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threadedComments/threadedComment2.xml" ContentType="application/vnd.ms-excel.threadedcomments+xml"/>
  <Override PartName="/xl/comments4.xml" ContentType="application/vnd.openxmlformats-officedocument.spreadsheetml.comments+xml"/>
  <Override PartName="/xl/threadedComments/threadedComment3.xml" ContentType="application/vnd.ms-excel.threadedcomments+xml"/>
  <Override PartName="/xl/comments5.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24226"/>
  <mc:AlternateContent xmlns:mc="http://schemas.openxmlformats.org/markup-compatibility/2006">
    <mc:Choice Requires="x15">
      <x15ac:absPath xmlns:x15ac="http://schemas.microsoft.com/office/spreadsheetml/2010/11/ac" url="https://massgov-my.sharepoint.com/personal/deborah_harrison_mass_gov/Documents/Documents/Agencies/EHS/Conor/"/>
    </mc:Choice>
  </mc:AlternateContent>
  <xr:revisionPtr revIDLastSave="0" documentId="8_{07B4A24A-F583-4F75-B896-9B6A27367C47}" xr6:coauthVersionLast="47" xr6:coauthVersionMax="47" xr10:uidLastSave="{00000000-0000-0000-0000-000000000000}"/>
  <bookViews>
    <workbookView xWindow="6060" yWindow="2355" windowWidth="18330" windowHeight="15045" tabRatio="726" firstSheet="28" activeTab="36" xr2:uid="{00000000-000D-0000-FFFF-FFFF00000000}"/>
  </bookViews>
  <sheets>
    <sheet name="Salary Bench Chart" sheetId="16" state="hidden" r:id="rId1"/>
    <sheet name="Rate Chart" sheetId="42" state="hidden" r:id="rId2"/>
    <sheet name="CAF Fall 2024" sheetId="37" r:id="rId3"/>
    <sheet name="M2023 BLS Chart" sheetId="38" r:id="rId4"/>
    <sheet name="state_M2023_dl" sheetId="39" state="hidden" r:id="rId5"/>
    <sheet name="M2021 BLS  SALARY CHART 53_PCT" sheetId="29" state="hidden" r:id="rId6"/>
    <sheet name="CAF FALL 2022" sheetId="28" state="hidden" r:id="rId7"/>
    <sheet name="CAF Fall 2020" sheetId="26" state="hidden" r:id="rId8"/>
    <sheet name="CAF Spring 2020" sheetId="15" state="hidden" r:id="rId9"/>
    <sheet name="Youth&amp;YA Group Resid CCYY" sheetId="56" r:id="rId10"/>
    <sheet name="Youth&amp;YA Supp.Living Comm CCYY " sheetId="57" r:id="rId11"/>
    <sheet name="Young Adult Supported Liv CCYY" sheetId="58" r:id="rId12"/>
    <sheet name="Young Parent Resi CCYY" sheetId="59" r:id="rId13"/>
    <sheet name="Comm Treatment Residence CCTR " sheetId="47" r:id="rId14"/>
    <sheet name="Specialty Treatment Resi CCTR" sheetId="48" r:id="rId15"/>
    <sheet name="Specialty TR -CSEC (CCTR) " sheetId="49" r:id="rId16"/>
    <sheet name="Intensive Treatment Resi (CCTR)" sheetId="50" r:id="rId17"/>
    <sheet name="Emergency Residence CCER" sheetId="51" r:id="rId18"/>
    <sheet name="Intensive Emergency Resid CCER" sheetId="52" r:id="rId19"/>
    <sheet name="Int Tment Res Emer Intake addon" sheetId="53" r:id="rId20"/>
    <sheet name=" Medically Complex Resid CCMR" sheetId="54" r:id="rId21"/>
    <sheet name="MedCmplx &amp; Behavioral Resi CCMR" sheetId="55" r:id="rId22"/>
    <sheet name="BLS CHART M2020" sheetId="24" state="hidden" r:id="rId23"/>
    <sheet name="Regulation Rates" sheetId="30" state="hidden" r:id="rId24"/>
    <sheet name="3073 Intensive Therapeutic FY24" sheetId="31" state="hidden" r:id="rId25"/>
    <sheet name="TAYYA " sheetId="46" r:id="rId26"/>
    <sheet name="YouthRes" sheetId="45" r:id="rId27"/>
    <sheet name="CIRT" sheetId="43" r:id="rId28"/>
    <sheet name="IRTP" sheetId="44" r:id="rId29"/>
    <sheet name=" Intensive Therapeutic Care" sheetId="17" r:id="rId30"/>
    <sheet name="3072 Therap Grp Care 6 FY24" sheetId="32" state="hidden" r:id="rId31"/>
    <sheet name="DMH wish list" sheetId="36" state="hidden" r:id="rId32"/>
    <sheet name=" Adult Theraputic Care" sheetId="22" r:id="rId33"/>
    <sheet name="3064 Adult Therap Care (FY24)" sheetId="35" state="hidden" r:id="rId34"/>
    <sheet name="Therapeutic Grp Care 6 Bed" sheetId="18" r:id="rId35"/>
    <sheet name="Therapeutic Grp Care 9 Bed " sheetId="19" r:id="rId36"/>
    <sheet name="Therapeutic Grp Care12 Bed " sheetId="20" r:id="rId37"/>
    <sheet name="FY26 Add on Rates" sheetId="14" r:id="rId38"/>
    <sheet name="BTL 3073" sheetId="41" state="hidden" r:id="rId39"/>
    <sheet name="3072 Therap Grp Care 9  FY24" sheetId="33" state="hidden" r:id="rId40"/>
    <sheet name="3072 Therap Grp Care 12 (FY24)" sheetId="34" state="hidden" r:id="rId41"/>
    <sheet name="IFC " sheetId="21" state="hidden" r:id="rId42"/>
    <sheet name="FY21 UFR TILP-YOUTH" sheetId="40" state="hidden" r:id="rId43"/>
  </sheets>
  <externalReferences>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s>
  <definedNames>
    <definedName name="_xlnm._FilterDatabase" localSheetId="4" hidden="1">state_M2023_dl!$A$1:$X$742</definedName>
    <definedName name="_Key1" localSheetId="2" hidden="1">#REF!</definedName>
    <definedName name="_Key1" localSheetId="42" hidden="1">#REF!</definedName>
    <definedName name="_Key1" hidden="1">#REF!</definedName>
    <definedName name="_Sort" localSheetId="2" hidden="1">#REF!</definedName>
    <definedName name="_Sort" localSheetId="42" hidden="1">#REF!</definedName>
    <definedName name="_Sort" hidden="1">#REF!</definedName>
    <definedName name="alldata" localSheetId="2">#REF!</definedName>
    <definedName name="alldata" localSheetId="42">#REF!</definedName>
    <definedName name="alldata" localSheetId="5">#REF!</definedName>
    <definedName name="alldata" localSheetId="3">#N/A</definedName>
    <definedName name="alldata" localSheetId="4">state_M2023_dl!$A$1:$L$1</definedName>
    <definedName name="alldata">#REF!</definedName>
    <definedName name="alled" localSheetId="2">#REF!</definedName>
    <definedName name="alled" localSheetId="42">#REF!</definedName>
    <definedName name="alled" localSheetId="5">#REF!</definedName>
    <definedName name="alled" localSheetId="3">#N/A</definedName>
    <definedName name="alled" localSheetId="4">#REF!</definedName>
    <definedName name="alled">#REF!</definedName>
    <definedName name="allstem" localSheetId="2">#REF!</definedName>
    <definedName name="allstem" localSheetId="42">#REF!</definedName>
    <definedName name="allstem" localSheetId="5">#REF!</definedName>
    <definedName name="allstem" localSheetId="3">#N/A</definedName>
    <definedName name="allstem" localSheetId="4">#REF!</definedName>
    <definedName name="allstem">#REF!</definedName>
    <definedName name="Area">[1]Sheet2!$A$2:$A$28</definedName>
    <definedName name="ARENEW">[2]amendA!$B$1:$U$51</definedName>
    <definedName name="asdfasd" localSheetId="2">'[3]Complete UFR List'!#REF!</definedName>
    <definedName name="asdfasd" localSheetId="42">'[3]Complete UFR List'!#REF!</definedName>
    <definedName name="asdfasd" localSheetId="3">'[3]Complete UFR List'!#REF!</definedName>
    <definedName name="asdfasd">'[3]Complete UFR List'!#REF!</definedName>
    <definedName name="asdfasdf" localSheetId="32">#REF!</definedName>
    <definedName name="asdfasdf" localSheetId="33">#REF!</definedName>
    <definedName name="asdfasdf" localSheetId="6">#REF!</definedName>
    <definedName name="asdfasdf" localSheetId="2">#REF!</definedName>
    <definedName name="asdfasdf" localSheetId="27">'[3]Complete UFR List'!#REF!</definedName>
    <definedName name="asdfasdf" localSheetId="42">#REF!</definedName>
    <definedName name="asdfasdf" localSheetId="37">#N/A</definedName>
    <definedName name="asdfasdf" localSheetId="41">#REF!</definedName>
    <definedName name="asdfasdf" localSheetId="28">'[3]Complete UFR List'!#REF!</definedName>
    <definedName name="asdfasdf" localSheetId="5">#REF!</definedName>
    <definedName name="asdfasdf" localSheetId="3">#N/A</definedName>
    <definedName name="asdfasdf" localSheetId="25">#REF!</definedName>
    <definedName name="asdfasdf" localSheetId="11">#N/A</definedName>
    <definedName name="asdfasdf" localSheetId="9">#N/A</definedName>
    <definedName name="asdfasdf" localSheetId="10">#N/A</definedName>
    <definedName name="asdfasdf" localSheetId="26">#REF!</definedName>
    <definedName name="asdfasdf">#N/A</definedName>
    <definedName name="ATTABOY">[2]amendA!$B$2:$S$2</definedName>
    <definedName name="AutoInsurance">[4]Universal!$C$19</definedName>
    <definedName name="autsupp2" localSheetId="2">#N/A</definedName>
    <definedName name="autsupp2" localSheetId="42">#REF!</definedName>
    <definedName name="autsupp2" localSheetId="3">#N/A</definedName>
    <definedName name="autsupp2">#REF!</definedName>
    <definedName name="Average" localSheetId="32">#REF!</definedName>
    <definedName name="Average" localSheetId="33">#REF!</definedName>
    <definedName name="Average" localSheetId="6">#REF!</definedName>
    <definedName name="Average" localSheetId="2">#REF!</definedName>
    <definedName name="Average" localSheetId="27">#REF!</definedName>
    <definedName name="Average" localSheetId="42">#REF!</definedName>
    <definedName name="Average" localSheetId="37">#N/A</definedName>
    <definedName name="Average" localSheetId="28">#REF!</definedName>
    <definedName name="Average" localSheetId="5">#REF!</definedName>
    <definedName name="Average" localSheetId="3">#N/A</definedName>
    <definedName name="Average" localSheetId="25">#REF!</definedName>
    <definedName name="Average" localSheetId="11">#N/A</definedName>
    <definedName name="Average" localSheetId="9">#N/A</definedName>
    <definedName name="Average" localSheetId="10">#N/A</definedName>
    <definedName name="Average" localSheetId="26">#REF!</definedName>
    <definedName name="Average">#N/A</definedName>
    <definedName name="BB6_4" localSheetId="2">#REF!</definedName>
    <definedName name="BB6_4" localSheetId="42">#REF!</definedName>
    <definedName name="BB6_4">#REF!</definedName>
    <definedName name="Break">'[5]Tech Stuff'!$E$4</definedName>
    <definedName name="CAF_NEW" localSheetId="6">[6]RawDataCalcs!$L$70:$DB$70</definedName>
    <definedName name="CAF_NEW" localSheetId="2">[7]RawDataCalcs!$L$70:$DB$70</definedName>
    <definedName name="CAF_NEW" localSheetId="5">[6]RawDataCalcs!$L$70:$DB$70</definedName>
    <definedName name="CAF_NEW">[7]RawDataCalcs!$L$70:$DB$70</definedName>
    <definedName name="Cap" localSheetId="6">[8]RawDataCalcs!$L$70:$DB$70</definedName>
    <definedName name="Cap" localSheetId="2">[8]RawDataCalcs!$L$70:$DB$70</definedName>
    <definedName name="Cap" localSheetId="27">'[9]RawDataCalcs3386&amp;3401'!$L$66:$DB$66</definedName>
    <definedName name="Cap" localSheetId="28">'[9]RawDataCalcs3386&amp;3401'!$L$66:$DB$66</definedName>
    <definedName name="Cap" localSheetId="5">[10]RawDataCalcs!$L$35:$DB$35</definedName>
    <definedName name="Cap" localSheetId="4">[10]RawDataCalcs!$L$35:$DB$35</definedName>
    <definedName name="Cap">[8]RawDataCalcs!$L$70:$DB$70</definedName>
    <definedName name="capa">[11]RawDataCalcs!$L$17:$DB$17</definedName>
    <definedName name="chart" localSheetId="27">#REF!</definedName>
    <definedName name="chart" localSheetId="28">#REF!</definedName>
    <definedName name="chart">#N/A</definedName>
    <definedName name="COLA">[4]Universal!$C$12</definedName>
    <definedName name="Data" localSheetId="32">#REF!</definedName>
    <definedName name="Data" localSheetId="33">#REF!</definedName>
    <definedName name="Data" localSheetId="6">#REF!</definedName>
    <definedName name="Data" localSheetId="2">#REF!</definedName>
    <definedName name="Data" localSheetId="27">#REF!</definedName>
    <definedName name="Data" localSheetId="42">#REF!</definedName>
    <definedName name="Data" localSheetId="37">#N/A</definedName>
    <definedName name="Data" localSheetId="28">#REF!</definedName>
    <definedName name="Data" localSheetId="5">#REF!</definedName>
    <definedName name="Data" localSheetId="3">#N/A</definedName>
    <definedName name="Data" localSheetId="25">#REF!</definedName>
    <definedName name="Data" localSheetId="11">#N/A</definedName>
    <definedName name="Data" localSheetId="9">#N/A</definedName>
    <definedName name="Data" localSheetId="10">#N/A</definedName>
    <definedName name="Data" localSheetId="26">#REF!</definedName>
    <definedName name="Data">#N/A</definedName>
    <definedName name="Electricity">[4]Universal!$C$21</definedName>
    <definedName name="Fisc" localSheetId="2">'[3]Complete UFR List'!#REF!</definedName>
    <definedName name="Fisc" localSheetId="42">'[3]Complete UFR List'!#REF!</definedName>
    <definedName name="Fisc" localSheetId="3">'[3]Complete UFR List'!#REF!</definedName>
    <definedName name="Fisc">'[3]Complete UFR List'!#REF!</definedName>
    <definedName name="fisc1">'[3]Complete UFR List'!#REF!</definedName>
    <definedName name="FiveDay">[4]Universal!$C$17</definedName>
    <definedName name="Floor" localSheetId="6">[8]RawDataCalcs!$L$69:$DB$69</definedName>
    <definedName name="Floor" localSheetId="2">[8]RawDataCalcs!$L$69:$DB$69</definedName>
    <definedName name="Floor" localSheetId="27">'[9]RawDataCalcs3386&amp;3401'!$L$65:$DB$65</definedName>
    <definedName name="Floor" localSheetId="28">'[9]RawDataCalcs3386&amp;3401'!$L$65:$DB$65</definedName>
    <definedName name="Floor" localSheetId="5">[10]RawDataCalcs!$L$34:$DB$34</definedName>
    <definedName name="Floor" localSheetId="4">[10]RawDataCalcs!$L$34:$DB$34</definedName>
    <definedName name="Floor">[8]RawDataCalcs!$L$69:$DB$69</definedName>
    <definedName name="Fringe">[4]Universal!$C$8</definedName>
    <definedName name="FROM">[2]amendA!$G$7</definedName>
    <definedName name="Funds" localSheetId="6">'[12]RawDataCalcs3386&amp;3401'!$L$68:$DB$68</definedName>
    <definedName name="Funds" localSheetId="2">'[13]RawDataCalcs3386&amp;3401'!$L$68:$DB$68</definedName>
    <definedName name="Funds" localSheetId="5">'[12]RawDataCalcs3386&amp;3401'!$L$68:$DB$68</definedName>
    <definedName name="Funds">'[13]RawDataCalcs3386&amp;3401'!$L$68:$DB$68</definedName>
    <definedName name="GA">[4]Universal!$C$13</definedName>
    <definedName name="Gas">[4]Universal!$C$22</definedName>
    <definedName name="gk" localSheetId="32">#REF!</definedName>
    <definedName name="gk" localSheetId="33">#REF!</definedName>
    <definedName name="gk" localSheetId="6">#REF!</definedName>
    <definedName name="gk" localSheetId="2">#REF!</definedName>
    <definedName name="gk" localSheetId="27">#REF!</definedName>
    <definedName name="gk" localSheetId="42">#REF!</definedName>
    <definedName name="gk" localSheetId="37">#N/A</definedName>
    <definedName name="gk" localSheetId="41">#REF!</definedName>
    <definedName name="gk" localSheetId="28">#REF!</definedName>
    <definedName name="gk" localSheetId="5">#REF!</definedName>
    <definedName name="gk" localSheetId="3">#N/A</definedName>
    <definedName name="gk" localSheetId="25">#REF!</definedName>
    <definedName name="gk" localSheetId="11">#N/A</definedName>
    <definedName name="gk" localSheetId="9">#N/A</definedName>
    <definedName name="gk" localSheetId="10">#N/A</definedName>
    <definedName name="gk" localSheetId="26">#REF!</definedName>
    <definedName name="gk">#N/A</definedName>
    <definedName name="hhh" localSheetId="32">#REF!</definedName>
    <definedName name="hhh" localSheetId="33">#REF!</definedName>
    <definedName name="hhh" localSheetId="6">#REF!</definedName>
    <definedName name="hhh" localSheetId="2">#REF!</definedName>
    <definedName name="hhh" localSheetId="27">#REF!</definedName>
    <definedName name="hhh" localSheetId="42">#REF!</definedName>
    <definedName name="hhh" localSheetId="37">#N/A</definedName>
    <definedName name="hhh" localSheetId="41">#REF!</definedName>
    <definedName name="hhh" localSheetId="28">#REF!</definedName>
    <definedName name="hhh" localSheetId="5">#REF!</definedName>
    <definedName name="hhh" localSheetId="3">#N/A</definedName>
    <definedName name="hhh" localSheetId="25">#REF!</definedName>
    <definedName name="hhh" localSheetId="11">#N/A</definedName>
    <definedName name="hhh" localSheetId="9">#N/A</definedName>
    <definedName name="hhh" localSheetId="10">#N/A</definedName>
    <definedName name="hhh" localSheetId="26">#REF!</definedName>
    <definedName name="hhh">#N/A</definedName>
    <definedName name="Holidays">[4]Universal!$C$49:$C$59</definedName>
    <definedName name="JailDAverage" localSheetId="32">#REF!</definedName>
    <definedName name="JailDAverage" localSheetId="33">#REF!</definedName>
    <definedName name="JailDAverage" localSheetId="6">#REF!</definedName>
    <definedName name="JailDAverage" localSheetId="2">#REF!</definedName>
    <definedName name="JailDAverage" localSheetId="27">#REF!</definedName>
    <definedName name="JailDAverage" localSheetId="42">#REF!</definedName>
    <definedName name="JailDAverage" localSheetId="37">#N/A</definedName>
    <definedName name="JailDAverage" localSheetId="28">#REF!</definedName>
    <definedName name="JailDAverage" localSheetId="5">#REF!</definedName>
    <definedName name="JailDAverage" localSheetId="3">#N/A</definedName>
    <definedName name="JailDAverage" localSheetId="25">#REF!</definedName>
    <definedName name="JailDAverage" localSheetId="11">#N/A</definedName>
    <definedName name="JailDAverage" localSheetId="9">#N/A</definedName>
    <definedName name="JailDAverage" localSheetId="10">#N/A</definedName>
    <definedName name="JailDAverage" localSheetId="26">#REF!</definedName>
    <definedName name="JailDAverage">#N/A</definedName>
    <definedName name="JailDCap" localSheetId="6">[14]ALLRawDataCalcs!$L$80:$DB$80</definedName>
    <definedName name="JailDCap" localSheetId="2">[15]ALLRawDataCalcs!$L$80:$DB$80</definedName>
    <definedName name="JailDCap" localSheetId="5">[14]ALLRawDataCalcs!$L$80:$DB$80</definedName>
    <definedName name="JailDCap">[15]ALLRawDataCalcs!$L$80:$DB$80</definedName>
    <definedName name="JailDFloor" localSheetId="6">[14]ALLRawDataCalcs!$L$79:$DB$79</definedName>
    <definedName name="JailDFloor" localSheetId="2">[15]ALLRawDataCalcs!$L$79:$DB$79</definedName>
    <definedName name="JailDFloor" localSheetId="5">[14]ALLRawDataCalcs!$L$79:$DB$79</definedName>
    <definedName name="JailDFloor">[15]ALLRawDataCalcs!$L$79:$DB$79</definedName>
    <definedName name="JailDgk" localSheetId="32">#REF!</definedName>
    <definedName name="JailDgk" localSheetId="33">#REF!</definedName>
    <definedName name="JailDgk" localSheetId="6">#REF!</definedName>
    <definedName name="JailDgk" localSheetId="2">#REF!</definedName>
    <definedName name="JailDgk" localSheetId="27">#REF!</definedName>
    <definedName name="JailDgk" localSheetId="42">#REF!</definedName>
    <definedName name="JailDgk" localSheetId="37">#N/A</definedName>
    <definedName name="JailDgk" localSheetId="28">#REF!</definedName>
    <definedName name="JailDgk" localSheetId="5">#REF!</definedName>
    <definedName name="JailDgk" localSheetId="3">#N/A</definedName>
    <definedName name="JailDgk" localSheetId="25">#REF!</definedName>
    <definedName name="JailDgk" localSheetId="11">#N/A</definedName>
    <definedName name="JailDgk" localSheetId="9">#N/A</definedName>
    <definedName name="JailDgk" localSheetId="10">#N/A</definedName>
    <definedName name="JailDgk" localSheetId="26">#REF!</definedName>
    <definedName name="JailDgk">#N/A</definedName>
    <definedName name="JailDMax" localSheetId="32">#REF!</definedName>
    <definedName name="JailDMax" localSheetId="33">#REF!</definedName>
    <definedName name="JailDMax" localSheetId="6">#REF!</definedName>
    <definedName name="JailDMax" localSheetId="2">#REF!</definedName>
    <definedName name="JailDMax" localSheetId="27">#REF!</definedName>
    <definedName name="JailDMax" localSheetId="42">#REF!</definedName>
    <definedName name="JailDMax" localSheetId="37">#N/A</definedName>
    <definedName name="JailDMax" localSheetId="28">#REF!</definedName>
    <definedName name="JailDMax" localSheetId="5">#REF!</definedName>
    <definedName name="JailDMax" localSheetId="3">#N/A</definedName>
    <definedName name="JailDMax" localSheetId="25">#REF!</definedName>
    <definedName name="JailDMax" localSheetId="11">#N/A</definedName>
    <definedName name="JailDMax" localSheetId="9">#N/A</definedName>
    <definedName name="JailDMax" localSheetId="10">#N/A</definedName>
    <definedName name="JailDMax" localSheetId="26">#REF!</definedName>
    <definedName name="JailDMax">#N/A</definedName>
    <definedName name="JailDMedian" localSheetId="32">#REF!</definedName>
    <definedName name="JailDMedian" localSheetId="33">#REF!</definedName>
    <definedName name="JailDMedian" localSheetId="6">#REF!</definedName>
    <definedName name="JailDMedian" localSheetId="2">#REF!</definedName>
    <definedName name="JailDMedian" localSheetId="27">#REF!</definedName>
    <definedName name="JailDMedian" localSheetId="42">#REF!</definedName>
    <definedName name="JailDMedian" localSheetId="37">#N/A</definedName>
    <definedName name="JailDMedian" localSheetId="28">#REF!</definedName>
    <definedName name="JailDMedian" localSheetId="5">#REF!</definedName>
    <definedName name="JailDMedian" localSheetId="3">#N/A</definedName>
    <definedName name="JailDMedian" localSheetId="25">#REF!</definedName>
    <definedName name="JailDMedian" localSheetId="11">#N/A</definedName>
    <definedName name="JailDMedian" localSheetId="9">#N/A</definedName>
    <definedName name="JailDMedian" localSheetId="10">#N/A</definedName>
    <definedName name="JailDMedian" localSheetId="26">#REF!</definedName>
    <definedName name="JailDMedian">#N/A</definedName>
    <definedName name="jm" localSheetId="2">'[3]Complete UFR List'!#REF!</definedName>
    <definedName name="jm" localSheetId="42">'[3]Complete UFR List'!#REF!</definedName>
    <definedName name="jm" localSheetId="3">'[3]Complete UFR List'!#REF!</definedName>
    <definedName name="jm">'[3]Complete UFR List'!#REF!</definedName>
    <definedName name="KARA" localSheetId="27">#REF!</definedName>
    <definedName name="KARA" localSheetId="28">#REF!</definedName>
    <definedName name="KARA">#N/A</definedName>
    <definedName name="kls" localSheetId="32">#REF!</definedName>
    <definedName name="kls" localSheetId="33">#REF!</definedName>
    <definedName name="kls" localSheetId="6">#REF!</definedName>
    <definedName name="kls" localSheetId="2">#REF!</definedName>
    <definedName name="kls" localSheetId="27">#REF!</definedName>
    <definedName name="kls" localSheetId="42">#REF!</definedName>
    <definedName name="kls" localSheetId="37">#N/A</definedName>
    <definedName name="kls" localSheetId="28">#REF!</definedName>
    <definedName name="kls" localSheetId="5">#REF!</definedName>
    <definedName name="kls" localSheetId="3">#N/A</definedName>
    <definedName name="kls" localSheetId="25">#REF!</definedName>
    <definedName name="kls" localSheetId="11">#N/A</definedName>
    <definedName name="kls" localSheetId="9">#N/A</definedName>
    <definedName name="kls" localSheetId="10">#N/A</definedName>
    <definedName name="kls" localSheetId="26">#REF!</definedName>
    <definedName name="kls">#N/A</definedName>
    <definedName name="ListProviders">'[16]List of Programs'!$A$24:$A$29</definedName>
    <definedName name="Max" localSheetId="32">#REF!</definedName>
    <definedName name="Max" localSheetId="33">#REF!</definedName>
    <definedName name="Max" localSheetId="6">#REF!</definedName>
    <definedName name="Max" localSheetId="2">#REF!</definedName>
    <definedName name="Max" localSheetId="27">#REF!</definedName>
    <definedName name="Max" localSheetId="42">#REF!</definedName>
    <definedName name="Max" localSheetId="37">#N/A</definedName>
    <definedName name="Max" localSheetId="28">#REF!</definedName>
    <definedName name="Max" localSheetId="5">#REF!</definedName>
    <definedName name="Max" localSheetId="3">#N/A</definedName>
    <definedName name="Max" localSheetId="25">#REF!</definedName>
    <definedName name="Max" localSheetId="11">#N/A</definedName>
    <definedName name="Max" localSheetId="9">#N/A</definedName>
    <definedName name="Max" localSheetId="10">#N/A</definedName>
    <definedName name="Max" localSheetId="26">#REF!</definedName>
    <definedName name="Max">#N/A</definedName>
    <definedName name="Median" localSheetId="32">#REF!</definedName>
    <definedName name="Median" localSheetId="33">#REF!</definedName>
    <definedName name="Median" localSheetId="6">#REF!</definedName>
    <definedName name="Median" localSheetId="2">#REF!</definedName>
    <definedName name="Median" localSheetId="27">#REF!</definedName>
    <definedName name="Median" localSheetId="42">#REF!</definedName>
    <definedName name="Median" localSheetId="37">#N/A</definedName>
    <definedName name="Median" localSheetId="28">#REF!</definedName>
    <definedName name="Median" localSheetId="5">#REF!</definedName>
    <definedName name="Median" localSheetId="3">#N/A</definedName>
    <definedName name="Median" localSheetId="25">#REF!</definedName>
    <definedName name="Median" localSheetId="11">#N/A</definedName>
    <definedName name="Median" localSheetId="9">#N/A</definedName>
    <definedName name="Median" localSheetId="10">#N/A</definedName>
    <definedName name="Median" localSheetId="26">#REF!</definedName>
    <definedName name="Median">#N/A</definedName>
    <definedName name="Min" localSheetId="32">#REF!</definedName>
    <definedName name="Min" localSheetId="33">#REF!</definedName>
    <definedName name="Min" localSheetId="6">#REF!</definedName>
    <definedName name="Min" localSheetId="2">#REF!</definedName>
    <definedName name="Min" localSheetId="27">#REF!</definedName>
    <definedName name="Min" localSheetId="42">#REF!</definedName>
    <definedName name="Min" localSheetId="37">#N/A</definedName>
    <definedName name="Min" localSheetId="28">#REF!</definedName>
    <definedName name="Min" localSheetId="5">#REF!</definedName>
    <definedName name="Min" localSheetId="3">#N/A</definedName>
    <definedName name="Min" localSheetId="25">#REF!</definedName>
    <definedName name="Min" localSheetId="11">#N/A</definedName>
    <definedName name="Min" localSheetId="9">#N/A</definedName>
    <definedName name="Min" localSheetId="10">#N/A</definedName>
    <definedName name="Min" localSheetId="26">#REF!</definedName>
    <definedName name="Min">#N/A</definedName>
    <definedName name="mr" localSheetId="2">#N/A</definedName>
    <definedName name="mr" localSheetId="42">#REF!</definedName>
    <definedName name="mr" localSheetId="3">#N/A</definedName>
    <definedName name="mr">#REF!</definedName>
    <definedName name="MT" localSheetId="32">#REF!</definedName>
    <definedName name="MT" localSheetId="33">#REF!</definedName>
    <definedName name="MT" localSheetId="6">#REF!</definedName>
    <definedName name="MT" localSheetId="2">#REF!</definedName>
    <definedName name="MT" localSheetId="27">#REF!</definedName>
    <definedName name="MT" localSheetId="42">#REF!</definedName>
    <definedName name="MT" localSheetId="37">#N/A</definedName>
    <definedName name="MT" localSheetId="28">#REF!</definedName>
    <definedName name="MT" localSheetId="5">#REF!</definedName>
    <definedName name="MT" localSheetId="3">#N/A</definedName>
    <definedName name="MT" localSheetId="25">#REF!</definedName>
    <definedName name="MT" localSheetId="11">#N/A</definedName>
    <definedName name="MT" localSheetId="9">#N/A</definedName>
    <definedName name="MT" localSheetId="10">#N/A</definedName>
    <definedName name="MT" localSheetId="26">#REF!</definedName>
    <definedName name="MT">#N/A</definedName>
    <definedName name="new" localSheetId="32">#REF!</definedName>
    <definedName name="new" localSheetId="33">#REF!</definedName>
    <definedName name="new" localSheetId="6">#REF!</definedName>
    <definedName name="new" localSheetId="2">#REF!</definedName>
    <definedName name="new" localSheetId="27">#REF!</definedName>
    <definedName name="new" localSheetId="42">#REF!</definedName>
    <definedName name="new" localSheetId="37">#N/A</definedName>
    <definedName name="new" localSheetId="28">#REF!</definedName>
    <definedName name="new" localSheetId="5">#REF!</definedName>
    <definedName name="new" localSheetId="3">#N/A</definedName>
    <definedName name="new" localSheetId="25">#REF!</definedName>
    <definedName name="new" localSheetId="11">#N/A</definedName>
    <definedName name="new" localSheetId="9">#N/A</definedName>
    <definedName name="new" localSheetId="10">#N/A</definedName>
    <definedName name="new" localSheetId="26">#REF!</definedName>
    <definedName name="new">#N/A</definedName>
    <definedName name="Oil">[4]Universal!$C$23</definedName>
    <definedName name="ok" localSheetId="32">#REF!</definedName>
    <definedName name="ok" localSheetId="33">#REF!</definedName>
    <definedName name="ok" localSheetId="6">#REF!</definedName>
    <definedName name="ok" localSheetId="2">#REF!</definedName>
    <definedName name="ok" localSheetId="27">#REF!</definedName>
    <definedName name="ok" localSheetId="42">#REF!</definedName>
    <definedName name="ok" localSheetId="37">#N/A</definedName>
    <definedName name="ok" localSheetId="41">#REF!</definedName>
    <definedName name="ok" localSheetId="28">#REF!</definedName>
    <definedName name="ok" localSheetId="5">#REF!</definedName>
    <definedName name="ok" localSheetId="3">#N/A</definedName>
    <definedName name="ok" localSheetId="25">#REF!</definedName>
    <definedName name="ok" localSheetId="11">#N/A</definedName>
    <definedName name="ok" localSheetId="9">#N/A</definedName>
    <definedName name="ok" localSheetId="10">#N/A</definedName>
    <definedName name="ok" localSheetId="26">#REF!</definedName>
    <definedName name="ok">#N/A</definedName>
    <definedName name="Paydays">[4]Universal!$C$33:$N$33</definedName>
    <definedName name="Phone">[4]Universal!$C$25</definedName>
    <definedName name="_xlnm.Print_Area" localSheetId="29">#N/A</definedName>
    <definedName name="_xlnm.Print_Area" localSheetId="33">#N/A</definedName>
    <definedName name="_xlnm.Print_Area" localSheetId="40">#N/A</definedName>
    <definedName name="_xlnm.Print_Area" localSheetId="30">#N/A</definedName>
    <definedName name="_xlnm.Print_Area" localSheetId="39">#N/A</definedName>
    <definedName name="_xlnm.Print_Area" localSheetId="24">#N/A</definedName>
    <definedName name="_xlnm.Print_Area" localSheetId="27">CIRT!$B$1:$G$40</definedName>
    <definedName name="_xlnm.Print_Area" localSheetId="13">'Comm Treatment Residence CCTR '!$B$1:$M$60</definedName>
    <definedName name="_xlnm.Print_Area" localSheetId="17">#N/A</definedName>
    <definedName name="_xlnm.Print_Area" localSheetId="41">#N/A</definedName>
    <definedName name="_xlnm.Print_Area" localSheetId="19">#N/A</definedName>
    <definedName name="_xlnm.Print_Area" localSheetId="18">#N/A</definedName>
    <definedName name="_xlnm.Print_Area" localSheetId="28">IRTP!$A$1:$J$38</definedName>
    <definedName name="_xlnm.Print_Area" localSheetId="5">'M2021 BLS  SALARY CHART 53_PCT'!$B$1:$H$41</definedName>
    <definedName name="_xlnm.Print_Area" localSheetId="3">'M2023 BLS Chart'!$B$1:$K$35</definedName>
    <definedName name="_xlnm.Print_Area" localSheetId="0">#N/A</definedName>
    <definedName name="_xlnm.Print_Area" localSheetId="15">#N/A</definedName>
    <definedName name="_xlnm.Print_Area" localSheetId="25">'TAYYA '!$A$37:$F$81</definedName>
    <definedName name="_xlnm.Print_Area" localSheetId="26">YouthRes!$B$41:$L$84</definedName>
    <definedName name="_xlnm.Print_Titles" localSheetId="7">'CAF Fall 2020'!$A:$A</definedName>
    <definedName name="_xlnm.Print_Titles" localSheetId="6">'CAF FALL 2022'!$A:$A</definedName>
    <definedName name="_xlnm.Print_Titles" localSheetId="2">'CAF Fall 2024'!$A:$A</definedName>
    <definedName name="_xlnm.Print_Titles" localSheetId="8">#N/A</definedName>
    <definedName name="Program_File" localSheetId="32">#REF!</definedName>
    <definedName name="Program_File" localSheetId="20">#N/A</definedName>
    <definedName name="Program_File" localSheetId="33">#REF!</definedName>
    <definedName name="Program_File" localSheetId="6">#REF!</definedName>
    <definedName name="Program_File" localSheetId="2">#REF!</definedName>
    <definedName name="Program_File" localSheetId="27">#REF!</definedName>
    <definedName name="Program_File" localSheetId="13">#N/A</definedName>
    <definedName name="Program_File" localSheetId="17">#N/A</definedName>
    <definedName name="Program_File" localSheetId="42">#REF!</definedName>
    <definedName name="Program_File" localSheetId="37">#N/A</definedName>
    <definedName name="Program_File" localSheetId="41">#REF!</definedName>
    <definedName name="Program_File" localSheetId="19">#N/A</definedName>
    <definedName name="Program_File" localSheetId="18">#N/A</definedName>
    <definedName name="Program_File" localSheetId="28">#REF!</definedName>
    <definedName name="Program_File" localSheetId="5">#REF!</definedName>
    <definedName name="Program_File" localSheetId="3">#N/A</definedName>
    <definedName name="Program_File" localSheetId="21">#N/A</definedName>
    <definedName name="Program_File" localSheetId="15">#N/A</definedName>
    <definedName name="Program_File" localSheetId="14">#N/A</definedName>
    <definedName name="Program_File" localSheetId="25">#REF!</definedName>
    <definedName name="Program_File" localSheetId="11">#N/A</definedName>
    <definedName name="Program_File" localSheetId="12">#N/A</definedName>
    <definedName name="Program_File" localSheetId="9">#N/A</definedName>
    <definedName name="Program_File" localSheetId="10">#N/A</definedName>
    <definedName name="Program_File" localSheetId="26">#REF!</definedName>
    <definedName name="Program_File">#N/A</definedName>
    <definedName name="Programs">'[16]List of Programs'!$B$3:$B$19</definedName>
    <definedName name="PropInsurance">[4]Universal!$C$20</definedName>
    <definedName name="ProvFTE" localSheetId="8">'[17]FTE Data'!$A$3:$AW$56</definedName>
    <definedName name="ProvFTE" localSheetId="27">'[18]FTE Data'!$A$3:$AW$56</definedName>
    <definedName name="ProvFTE" localSheetId="42">'[19]FTE Data'!$A$3:$AW$56</definedName>
    <definedName name="ProvFTE" localSheetId="37">'[17]FTE Data'!$A$3:$AW$56</definedName>
    <definedName name="ProvFTE" localSheetId="41">'[20]FTE Data'!$A$3:$AW$56</definedName>
    <definedName name="ProvFTE" localSheetId="28">'[18]FTE Data'!$A$3:$AW$56</definedName>
    <definedName name="ProvFTE" localSheetId="3">'[21]FTE Data'!$A$3:$AW$56</definedName>
    <definedName name="ProvFTE">'[20]FTE Data'!$A$3:$AW$56</definedName>
    <definedName name="PTO_Hours">[4]Universal!$F$72:$F$78</definedName>
    <definedName name="PTO_Years">[4]Universal!$B$72:$B$78</definedName>
    <definedName name="PurchasedBy" localSheetId="8">'[17]FTE Data'!$C$263:$AZ$657</definedName>
    <definedName name="PurchasedBy" localSheetId="27">'[18]FTE Data'!$C$263:$AZ$657</definedName>
    <definedName name="PurchasedBy" localSheetId="42">'[19]FTE Data'!$C$263:$AZ$657</definedName>
    <definedName name="PurchasedBy" localSheetId="37">'[17]FTE Data'!$C$263:$AZ$657</definedName>
    <definedName name="PurchasedBy" localSheetId="41">'[20]FTE Data'!$C$263:$AZ$657</definedName>
    <definedName name="PurchasedBy" localSheetId="28">'[18]FTE Data'!$C$263:$AZ$657</definedName>
    <definedName name="PurchasedBy" localSheetId="3">'[21]FTE Data'!$C$263:$AZ$657</definedName>
    <definedName name="PurchasedBy">'[20]FTE Data'!$C$263:$AZ$657</definedName>
    <definedName name="REGION">[1]Sheet2!$B$1:$B$5</definedName>
    <definedName name="Relief">[4]Universal!$C$14</definedName>
    <definedName name="resmay2007" localSheetId="32">#REF!</definedName>
    <definedName name="resmay2007" localSheetId="33">#REF!</definedName>
    <definedName name="resmay2007" localSheetId="6">#REF!</definedName>
    <definedName name="resmay2007" localSheetId="2">#REF!</definedName>
    <definedName name="resmay2007" localSheetId="27">#REF!</definedName>
    <definedName name="resmay2007" localSheetId="42">#REF!</definedName>
    <definedName name="resmay2007" localSheetId="37">#N/A</definedName>
    <definedName name="resmay2007" localSheetId="41">#REF!</definedName>
    <definedName name="resmay2007" localSheetId="28">#REF!</definedName>
    <definedName name="resmay2007" localSheetId="5">#REF!</definedName>
    <definedName name="resmay2007" localSheetId="3">#N/A</definedName>
    <definedName name="resmay2007" localSheetId="25">#REF!</definedName>
    <definedName name="resmay2007" localSheetId="11">#N/A</definedName>
    <definedName name="resmay2007" localSheetId="9">#N/A</definedName>
    <definedName name="resmay2007" localSheetId="10">#N/A</definedName>
    <definedName name="resmay2007" localSheetId="26">#REF!</definedName>
    <definedName name="resmay2007">#N/A</definedName>
    <definedName name="SevenDay">[4]Universal!$C$18</definedName>
    <definedName name="sheet1" localSheetId="2">#REF!</definedName>
    <definedName name="sheet1" localSheetId="42">#REF!</definedName>
    <definedName name="sheet1" localSheetId="5">#REF!</definedName>
    <definedName name="sheet1" localSheetId="3">#N/A</definedName>
    <definedName name="sheet1" localSheetId="4">#REF!</definedName>
    <definedName name="sheet1">#REF!</definedName>
    <definedName name="Site_list" localSheetId="8">[17]Lists!$A$2:$A$53</definedName>
    <definedName name="Site_list" localSheetId="27">[18]Lists!$A$2:$A$53</definedName>
    <definedName name="Site_list" localSheetId="42">[19]Lists!$A$2:$A$53</definedName>
    <definedName name="Site_list" localSheetId="37">[17]Lists!$A$2:$A$53</definedName>
    <definedName name="Site_list" localSheetId="41">[20]Lists!$A$2:$A$53</definedName>
    <definedName name="Site_list" localSheetId="28">[18]Lists!$A$2:$A$53</definedName>
    <definedName name="Site_list" localSheetId="3">[21]Lists!$A$2:$A$53</definedName>
    <definedName name="Site_list">[20]Lists!$A$2:$A$53</definedName>
    <definedName name="Source" localSheetId="32">#REF!</definedName>
    <definedName name="Source" localSheetId="33">#REF!</definedName>
    <definedName name="Source" localSheetId="6">#REF!</definedName>
    <definedName name="Source" localSheetId="2">#REF!</definedName>
    <definedName name="Source" localSheetId="27">#REF!</definedName>
    <definedName name="Source" localSheetId="42">#REF!</definedName>
    <definedName name="Source" localSheetId="37">#N/A</definedName>
    <definedName name="Source" localSheetId="41">#REF!</definedName>
    <definedName name="Source" localSheetId="28">#REF!</definedName>
    <definedName name="Source" localSheetId="5">#REF!</definedName>
    <definedName name="Source" localSheetId="3">#N/A</definedName>
    <definedName name="Source" localSheetId="25">#REF!</definedName>
    <definedName name="Source" localSheetId="11">#N/A</definedName>
    <definedName name="Source" localSheetId="9">#N/A</definedName>
    <definedName name="Source" localSheetId="10">#N/A</definedName>
    <definedName name="Source" localSheetId="26">#REF!</definedName>
    <definedName name="Source">#N/A</definedName>
    <definedName name="Source_2" localSheetId="32">#REF!</definedName>
    <definedName name="Source_2" localSheetId="33">#REF!</definedName>
    <definedName name="Source_2" localSheetId="6">#REF!</definedName>
    <definedName name="Source_2" localSheetId="2">#REF!</definedName>
    <definedName name="Source_2" localSheetId="27">#REF!</definedName>
    <definedName name="Source_2" localSheetId="42">#REF!</definedName>
    <definedName name="Source_2" localSheetId="37">#N/A</definedName>
    <definedName name="Source_2" localSheetId="41">#REF!</definedName>
    <definedName name="Source_2" localSheetId="28">#REF!</definedName>
    <definedName name="Source_2" localSheetId="5">#REF!</definedName>
    <definedName name="Source_2" localSheetId="3">#N/A</definedName>
    <definedName name="Source_2" localSheetId="25">#REF!</definedName>
    <definedName name="Source_2" localSheetId="11">#N/A</definedName>
    <definedName name="Source_2" localSheetId="9">#N/A</definedName>
    <definedName name="Source_2" localSheetId="10">#N/A</definedName>
    <definedName name="Source_2" localSheetId="26">#REF!</definedName>
    <definedName name="Source_2">#N/A</definedName>
    <definedName name="SourcePathAndFileName" localSheetId="32">#REF!</definedName>
    <definedName name="SourcePathAndFileName" localSheetId="33">#REF!</definedName>
    <definedName name="SourcePathAndFileName" localSheetId="6">#REF!</definedName>
    <definedName name="SourcePathAndFileName" localSheetId="2">#REF!</definedName>
    <definedName name="SourcePathAndFileName" localSheetId="27">#REF!</definedName>
    <definedName name="SourcePathAndFileName" localSheetId="42">#REF!</definedName>
    <definedName name="SourcePathAndFileName" localSheetId="37">#N/A</definedName>
    <definedName name="SourcePathAndFileName" localSheetId="28">#REF!</definedName>
    <definedName name="SourcePathAndFileName" localSheetId="5">#REF!</definedName>
    <definedName name="SourcePathAndFileName" localSheetId="3">#N/A</definedName>
    <definedName name="SourcePathAndFileName" localSheetId="25">#REF!</definedName>
    <definedName name="SourcePathAndFileName" localSheetId="11">#N/A</definedName>
    <definedName name="SourcePathAndFileName" localSheetId="9">#N/A</definedName>
    <definedName name="SourcePathAndFileName" localSheetId="10">#N/A</definedName>
    <definedName name="SourcePathAndFileName" localSheetId="26">#REF!</definedName>
    <definedName name="SourcePathAndFileName">#N/A</definedName>
    <definedName name="StaffApp">[4]Universal!$C$11</definedName>
    <definedName name="Tax">[4]Universal!$C$7</definedName>
    <definedName name="TO">[2]amendA!$K$7:$O$7</definedName>
    <definedName name="Total_UFR" localSheetId="32">#REF!</definedName>
    <definedName name="Total_UFR" localSheetId="33">#REF!</definedName>
    <definedName name="Total_UFR" localSheetId="6">#REF!</definedName>
    <definedName name="Total_UFR" localSheetId="2">#REF!</definedName>
    <definedName name="Total_UFR" localSheetId="27">#REF!</definedName>
    <definedName name="Total_UFR" localSheetId="42">#REF!</definedName>
    <definedName name="Total_UFR" localSheetId="37">#N/A</definedName>
    <definedName name="Total_UFR" localSheetId="41">#REF!</definedName>
    <definedName name="Total_UFR" localSheetId="28">#REF!</definedName>
    <definedName name="Total_UFR" localSheetId="5">#REF!</definedName>
    <definedName name="Total_UFR" localSheetId="3">#N/A</definedName>
    <definedName name="Total_UFR" localSheetId="25">#REF!</definedName>
    <definedName name="Total_UFR" localSheetId="11">#N/A</definedName>
    <definedName name="Total_UFR" localSheetId="9">#N/A</definedName>
    <definedName name="Total_UFR" localSheetId="10">#N/A</definedName>
    <definedName name="Total_UFR" localSheetId="26">#REF!</definedName>
    <definedName name="Total_UFR">#N/A</definedName>
    <definedName name="Total_UFRs" localSheetId="32">#REF!</definedName>
    <definedName name="Total_UFRs" localSheetId="33">#REF!</definedName>
    <definedName name="Total_UFRs" localSheetId="6">#REF!</definedName>
    <definedName name="Total_UFRs" localSheetId="2">#REF!</definedName>
    <definedName name="Total_UFRs" localSheetId="27">#REF!</definedName>
    <definedName name="Total_UFRs" localSheetId="42">#REF!</definedName>
    <definedName name="Total_UFRs" localSheetId="37">#N/A</definedName>
    <definedName name="Total_UFRs" localSheetId="28">#REF!</definedName>
    <definedName name="Total_UFRs" localSheetId="5">#REF!</definedName>
    <definedName name="Total_UFRs" localSheetId="3">#N/A</definedName>
    <definedName name="Total_UFRs" localSheetId="25">#REF!</definedName>
    <definedName name="Total_UFRs" localSheetId="11">#N/A</definedName>
    <definedName name="Total_UFRs" localSheetId="9">#N/A</definedName>
    <definedName name="Total_UFRs" localSheetId="10">#N/A</definedName>
    <definedName name="Total_UFRs" localSheetId="26">#REF!</definedName>
    <definedName name="Total_UFRs">#N/A</definedName>
    <definedName name="Total_UFRs_" localSheetId="32">#REF!</definedName>
    <definedName name="Total_UFRs_" localSheetId="33">#REF!</definedName>
    <definedName name="Total_UFRs_" localSheetId="6">#REF!</definedName>
    <definedName name="Total_UFRs_" localSheetId="2">#REF!</definedName>
    <definedName name="Total_UFRs_" localSheetId="27">#REF!</definedName>
    <definedName name="Total_UFRs_" localSheetId="42">#REF!</definedName>
    <definedName name="Total_UFRs_" localSheetId="37">#N/A</definedName>
    <definedName name="Total_UFRs_" localSheetId="28">#REF!</definedName>
    <definedName name="Total_UFRs_" localSheetId="5">#REF!</definedName>
    <definedName name="Total_UFRs_" localSheetId="3">#N/A</definedName>
    <definedName name="Total_UFRs_" localSheetId="25">#REF!</definedName>
    <definedName name="Total_UFRs_" localSheetId="11">#N/A</definedName>
    <definedName name="Total_UFRs_" localSheetId="9">#N/A</definedName>
    <definedName name="Total_UFRs_" localSheetId="10">#N/A</definedName>
    <definedName name="Total_UFRs_" localSheetId="26">#REF!</definedName>
    <definedName name="Total_UFRs_">#N/A</definedName>
    <definedName name="TotalDays">[4]Universal!$C$30:$N$30</definedName>
    <definedName name="UFR" localSheetId="32">'[3]Complete UFR List'!#REF!</definedName>
    <definedName name="UFR" localSheetId="33">'[3]Complete UFR List'!#REF!</definedName>
    <definedName name="UFR" localSheetId="2">'[3]Complete UFR List'!#REF!</definedName>
    <definedName name="UFR" localSheetId="42">'[3]Complete UFR List'!#REF!</definedName>
    <definedName name="UFR" localSheetId="37">'[3]Complete UFR List'!#REF!</definedName>
    <definedName name="UFR" localSheetId="3">'[3]Complete UFR List'!#REF!</definedName>
    <definedName name="UFR" localSheetId="25">'[3]Complete UFR List'!#REF!</definedName>
    <definedName name="UFR" localSheetId="11">'[3]Complete UFR List'!#REF!</definedName>
    <definedName name="UFR" localSheetId="9">'[3]Complete UFR List'!#REF!</definedName>
    <definedName name="UFR" localSheetId="10">'[3]Complete UFR List'!#REF!</definedName>
    <definedName name="UFR" localSheetId="26">'[3]Complete UFR List'!#REF!</definedName>
    <definedName name="UFR">'[3]Complete UFR List'!#REF!</definedName>
    <definedName name="UFRS" localSheetId="32">'[3]Complete UFR List'!#REF!</definedName>
    <definedName name="UFRS" localSheetId="33">'[3]Complete UFR List'!#REF!</definedName>
    <definedName name="UFRS" localSheetId="42">'[3]Complete UFR List'!#REF!</definedName>
    <definedName name="UFRS" localSheetId="37">'[3]Complete UFR List'!#REF!</definedName>
    <definedName name="UFRS" localSheetId="25">'[3]Complete UFR List'!#REF!</definedName>
    <definedName name="UFRS" localSheetId="26">'[3]Complete UFR List'!#REF!</definedName>
    <definedName name="UFRS">'[3]Complete UFR List'!#REF!</definedName>
    <definedName name="UPDATE" localSheetId="42">'[3]Complete UFR List'!#REF!</definedName>
    <definedName name="UPDATE">'[3]Complete UFR List'!#REF!</definedName>
    <definedName name="VacAccr">[4]Universal!$C$9</definedName>
    <definedName name="VBB">[4]Universal!$C$10</definedName>
    <definedName name="VBBDist">[4]Universal!$B$35:$N$35</definedName>
    <definedName name="VBBLines">[4]Universal!$B$85:$B$97</definedName>
    <definedName name="Wages5">[4]Universal!$C$37:$N$37</definedName>
    <definedName name="Wages7">[4]Universal!$C$38:$N$38</definedName>
    <definedName name="Water">[4]Universal!$C$24</definedName>
    <definedName name="Weekdays">[4]Universal!$C$31:$N$31</definedName>
    <definedName name="wefqwerqwe" localSheetId="2">'[3]Complete UFR List'!#REF!</definedName>
    <definedName name="wefqwerqwe" localSheetId="42">'[3]Complete UFR List'!#REF!</definedName>
    <definedName name="wefqwerqwe" localSheetId="3">'[3]Complete UFR List'!#REF!</definedName>
    <definedName name="wefqwerqwe">'[3]Complete UFR List'!#REF!</definedName>
    <definedName name="yes" localSheetId="42">'[3]Complete UFR List'!#REF!</definedName>
    <definedName name="yes" localSheetId="3">'[3]Complete UFR List'!#REF!</definedName>
    <definedName name="yes">'[3]Complete UFR List'!#REF!</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36" i="59" l="1"/>
  <c r="F36" i="59"/>
  <c r="K32" i="59"/>
  <c r="D32" i="59"/>
  <c r="B32" i="59"/>
  <c r="D30" i="59"/>
  <c r="E28" i="59"/>
  <c r="F28" i="59" s="1"/>
  <c r="B28" i="59"/>
  <c r="E27" i="59"/>
  <c r="L26" i="59"/>
  <c r="M26" i="59" s="1"/>
  <c r="E26" i="59"/>
  <c r="D23" i="59"/>
  <c r="K23" i="59" s="1"/>
  <c r="L21" i="59"/>
  <c r="E21" i="59"/>
  <c r="D19" i="59"/>
  <c r="D20" i="59" s="1"/>
  <c r="F20" i="59" s="1"/>
  <c r="D18" i="59"/>
  <c r="F18" i="59" s="1"/>
  <c r="D17" i="59"/>
  <c r="F17" i="59" s="1"/>
  <c r="D16" i="59"/>
  <c r="F16" i="59" s="1"/>
  <c r="K15" i="59"/>
  <c r="M15" i="59" s="1"/>
  <c r="K14" i="59"/>
  <c r="M14" i="59" s="1"/>
  <c r="D14" i="59"/>
  <c r="F14" i="59" s="1"/>
  <c r="D13" i="59"/>
  <c r="F13" i="59" s="1"/>
  <c r="K12" i="59"/>
  <c r="M12" i="59" s="1"/>
  <c r="D12" i="59"/>
  <c r="F12" i="59" s="1"/>
  <c r="K10" i="59"/>
  <c r="M10" i="59" s="1"/>
  <c r="D10" i="59"/>
  <c r="F10" i="59" s="1"/>
  <c r="F6" i="59"/>
  <c r="F27" i="59" s="1"/>
  <c r="F1" i="59"/>
  <c r="F35" i="58"/>
  <c r="D29" i="58"/>
  <c r="B29" i="58"/>
  <c r="D27" i="58"/>
  <c r="E25" i="58"/>
  <c r="F25" i="58" s="1"/>
  <c r="E24" i="58"/>
  <c r="F24" i="58" s="1"/>
  <c r="B24" i="58"/>
  <c r="E23" i="58"/>
  <c r="F23" i="58" s="1"/>
  <c r="D20" i="58"/>
  <c r="E18" i="58"/>
  <c r="F17" i="58"/>
  <c r="D17" i="58"/>
  <c r="D16" i="58"/>
  <c r="F16" i="58" s="1"/>
  <c r="D15" i="58"/>
  <c r="F15" i="58" s="1"/>
  <c r="D14" i="58"/>
  <c r="F14" i="58" s="1"/>
  <c r="F12" i="58"/>
  <c r="D12" i="58"/>
  <c r="D10" i="58"/>
  <c r="F10" i="58" s="1"/>
  <c r="F6" i="58"/>
  <c r="F1" i="58"/>
  <c r="F41" i="57"/>
  <c r="D36" i="57"/>
  <c r="B36" i="57"/>
  <c r="D34" i="57"/>
  <c r="E32" i="57"/>
  <c r="F32" i="57" s="1"/>
  <c r="E31" i="57"/>
  <c r="F31" i="57" s="1"/>
  <c r="B31" i="57"/>
  <c r="E30" i="57"/>
  <c r="F30" i="57" s="1"/>
  <c r="D27" i="57"/>
  <c r="E25" i="57"/>
  <c r="F24" i="57"/>
  <c r="E24" i="57"/>
  <c r="D24" i="57"/>
  <c r="F23" i="57"/>
  <c r="D23" i="57"/>
  <c r="D22" i="57"/>
  <c r="F22" i="57" s="1"/>
  <c r="D21" i="57"/>
  <c r="F21" i="57" s="1"/>
  <c r="D20" i="57"/>
  <c r="F20" i="57" s="1"/>
  <c r="F19" i="57"/>
  <c r="D19" i="57"/>
  <c r="D18" i="57"/>
  <c r="F18" i="57" s="1"/>
  <c r="D17" i="57"/>
  <c r="F17" i="57" s="1"/>
  <c r="D15" i="57"/>
  <c r="F15" i="57" s="1"/>
  <c r="F14" i="57"/>
  <c r="D14" i="57"/>
  <c r="D13" i="57"/>
  <c r="F13" i="57" s="1"/>
  <c r="D11" i="57"/>
  <c r="F11" i="57" s="1"/>
  <c r="F7" i="57"/>
  <c r="F1" i="57"/>
  <c r="F42" i="56"/>
  <c r="D36" i="56"/>
  <c r="B36" i="56"/>
  <c r="D34" i="56"/>
  <c r="E32" i="56"/>
  <c r="F32" i="56" s="1"/>
  <c r="E31" i="56"/>
  <c r="F31" i="56" s="1"/>
  <c r="B31" i="56"/>
  <c r="E30" i="56"/>
  <c r="D27" i="56"/>
  <c r="E24" i="56"/>
  <c r="E25" i="56" s="1"/>
  <c r="D24" i="56"/>
  <c r="F24" i="56" s="1"/>
  <c r="D23" i="56"/>
  <c r="F23" i="56" s="1"/>
  <c r="D22" i="56"/>
  <c r="F22" i="56" s="1"/>
  <c r="D21" i="56"/>
  <c r="F21" i="56" s="1"/>
  <c r="D20" i="56"/>
  <c r="F20" i="56" s="1"/>
  <c r="D19" i="56"/>
  <c r="F19" i="56" s="1"/>
  <c r="D18" i="56"/>
  <c r="F18" i="56" s="1"/>
  <c r="D17" i="56"/>
  <c r="F17" i="56" s="1"/>
  <c r="D15" i="56"/>
  <c r="F15" i="56" s="1"/>
  <c r="D14" i="56"/>
  <c r="F14" i="56" s="1"/>
  <c r="D13" i="56"/>
  <c r="F13" i="56" s="1"/>
  <c r="D11" i="56"/>
  <c r="F11" i="56" s="1"/>
  <c r="F7" i="56"/>
  <c r="F30" i="56" s="1"/>
  <c r="F1" i="56"/>
  <c r="F26" i="59" l="1"/>
  <c r="L27" i="59"/>
  <c r="M27" i="59" s="1"/>
  <c r="M21" i="59"/>
  <c r="F19" i="59"/>
  <c r="F21" i="59" s="1"/>
  <c r="F23" i="59" s="1"/>
  <c r="F24" i="59" s="1"/>
  <c r="F29" i="59" s="1"/>
  <c r="F18" i="58"/>
  <c r="F20" i="58" s="1"/>
  <c r="F21" i="58" s="1"/>
  <c r="F26" i="58" s="1"/>
  <c r="F25" i="57"/>
  <c r="F27" i="57"/>
  <c r="F28" i="57" s="1"/>
  <c r="F33" i="57" s="1"/>
  <c r="F25" i="56"/>
  <c r="F27" i="56"/>
  <c r="F28" i="56" s="1"/>
  <c r="F82" i="55"/>
  <c r="F81" i="55"/>
  <c r="F80" i="55"/>
  <c r="F79" i="55"/>
  <c r="F78" i="55"/>
  <c r="F77" i="55"/>
  <c r="F83" i="55" s="1"/>
  <c r="F71" i="55"/>
  <c r="F70" i="55"/>
  <c r="F69" i="55"/>
  <c r="F68" i="55"/>
  <c r="F67" i="55"/>
  <c r="F66" i="55"/>
  <c r="F65" i="55"/>
  <c r="B54" i="55"/>
  <c r="B50" i="55"/>
  <c r="L42" i="55"/>
  <c r="F42" i="55"/>
  <c r="D36" i="55"/>
  <c r="J36" i="55" s="1"/>
  <c r="B36" i="55"/>
  <c r="H36" i="55" s="1"/>
  <c r="J34" i="55"/>
  <c r="D34" i="55"/>
  <c r="E32" i="55"/>
  <c r="K32" i="55" s="1"/>
  <c r="L32" i="55" s="1"/>
  <c r="E31" i="55"/>
  <c r="F31" i="55" s="1"/>
  <c r="D28" i="55"/>
  <c r="J28" i="55" s="1"/>
  <c r="E26" i="55"/>
  <c r="E25" i="55"/>
  <c r="K25" i="55" s="1"/>
  <c r="K24" i="55"/>
  <c r="D24" i="55"/>
  <c r="D25" i="55" s="1"/>
  <c r="K23" i="55"/>
  <c r="D23" i="55"/>
  <c r="J23" i="55" s="1"/>
  <c r="L23" i="55" s="1"/>
  <c r="K22" i="55"/>
  <c r="J22" i="55"/>
  <c r="L22" i="55" s="1"/>
  <c r="F22" i="55"/>
  <c r="D22" i="55"/>
  <c r="F21" i="55"/>
  <c r="D21" i="55"/>
  <c r="J21" i="55" s="1"/>
  <c r="L21" i="55" s="1"/>
  <c r="K19" i="55"/>
  <c r="J19" i="55"/>
  <c r="L19" i="55" s="1"/>
  <c r="F19" i="55"/>
  <c r="D19" i="55"/>
  <c r="K18" i="55"/>
  <c r="D18" i="55"/>
  <c r="J18" i="55" s="1"/>
  <c r="L18" i="55" s="1"/>
  <c r="K17" i="55"/>
  <c r="D17" i="55"/>
  <c r="J17" i="55" s="1"/>
  <c r="L17" i="55" s="1"/>
  <c r="K16" i="55"/>
  <c r="J16" i="55"/>
  <c r="L16" i="55" s="1"/>
  <c r="F16" i="55"/>
  <c r="D16" i="55"/>
  <c r="L15" i="55"/>
  <c r="F15" i="55"/>
  <c r="K13" i="55"/>
  <c r="D13" i="55"/>
  <c r="F13" i="55" s="1"/>
  <c r="K12" i="55"/>
  <c r="K26" i="55" s="1"/>
  <c r="F12" i="55"/>
  <c r="D12" i="55"/>
  <c r="J12" i="55" s="1"/>
  <c r="L12" i="55" s="1"/>
  <c r="L8" i="55"/>
  <c r="F8" i="55"/>
  <c r="F1" i="55"/>
  <c r="F75" i="54"/>
  <c r="F74" i="54"/>
  <c r="F76" i="54" s="1"/>
  <c r="F68" i="54"/>
  <c r="F67" i="54"/>
  <c r="F69" i="54" s="1"/>
  <c r="F60" i="54"/>
  <c r="F59" i="54"/>
  <c r="F61" i="54" s="1"/>
  <c r="B50" i="54"/>
  <c r="B46" i="54"/>
  <c r="L40" i="54"/>
  <c r="F40" i="54"/>
  <c r="H34" i="54"/>
  <c r="D34" i="54"/>
  <c r="J34" i="54" s="1"/>
  <c r="B34" i="54"/>
  <c r="D32" i="54"/>
  <c r="J32" i="54" s="1"/>
  <c r="H30" i="54"/>
  <c r="E30" i="54"/>
  <c r="K30" i="54" s="1"/>
  <c r="L30" i="54" s="1"/>
  <c r="B30" i="54"/>
  <c r="K29" i="54"/>
  <c r="L29" i="54" s="1"/>
  <c r="E29" i="54"/>
  <c r="F29" i="54" s="1"/>
  <c r="D26" i="54"/>
  <c r="J26" i="54" s="1"/>
  <c r="K23" i="54"/>
  <c r="K24" i="54" s="1"/>
  <c r="E23" i="54"/>
  <c r="E24" i="54" s="1"/>
  <c r="F22" i="54"/>
  <c r="D22" i="54"/>
  <c r="D23" i="54" s="1"/>
  <c r="J21" i="54"/>
  <c r="L21" i="54" s="1"/>
  <c r="F21" i="54"/>
  <c r="D21" i="54"/>
  <c r="F20" i="54"/>
  <c r="D20" i="54"/>
  <c r="J20" i="54" s="1"/>
  <c r="L20" i="54" s="1"/>
  <c r="J19" i="54"/>
  <c r="L19" i="54" s="1"/>
  <c r="F19" i="54"/>
  <c r="D19" i="54"/>
  <c r="F17" i="54"/>
  <c r="D17" i="54"/>
  <c r="J17" i="54" s="1"/>
  <c r="L17" i="54" s="1"/>
  <c r="B17" i="54"/>
  <c r="D16" i="54"/>
  <c r="J16" i="54" s="1"/>
  <c r="L16" i="54" s="1"/>
  <c r="J15" i="54"/>
  <c r="L15" i="54" s="1"/>
  <c r="D15" i="54"/>
  <c r="F15" i="54" s="1"/>
  <c r="D13" i="54"/>
  <c r="J13" i="54" s="1"/>
  <c r="L13" i="54" s="1"/>
  <c r="L12" i="54"/>
  <c r="F12" i="54"/>
  <c r="J11" i="54"/>
  <c r="L11" i="54" s="1"/>
  <c r="F11" i="54"/>
  <c r="D11" i="54"/>
  <c r="L7" i="54"/>
  <c r="F7" i="54"/>
  <c r="F1" i="54"/>
  <c r="F37" i="53"/>
  <c r="D33" i="53"/>
  <c r="B33" i="53"/>
  <c r="D31" i="53"/>
  <c r="E28" i="53"/>
  <c r="E27" i="53"/>
  <c r="F27" i="53" s="1"/>
  <c r="D24" i="53"/>
  <c r="E22" i="53"/>
  <c r="F14" i="53"/>
  <c r="D14" i="53"/>
  <c r="F7" i="53"/>
  <c r="F28" i="53" s="1"/>
  <c r="F1" i="53"/>
  <c r="F44" i="52"/>
  <c r="D41" i="52"/>
  <c r="B41" i="52"/>
  <c r="D39" i="52"/>
  <c r="E37" i="52"/>
  <c r="F37" i="52" s="1"/>
  <c r="B37" i="52"/>
  <c r="E36" i="52"/>
  <c r="F36" i="52" s="1"/>
  <c r="E35" i="52"/>
  <c r="D32" i="52"/>
  <c r="E29" i="52"/>
  <c r="E30" i="52" s="1"/>
  <c r="B21" i="52"/>
  <c r="B19" i="52"/>
  <c r="D15" i="52"/>
  <c r="F15" i="52" s="1"/>
  <c r="F6" i="52"/>
  <c r="F35" i="52" s="1"/>
  <c r="F1" i="52"/>
  <c r="F43" i="51"/>
  <c r="D40" i="51"/>
  <c r="B40" i="51"/>
  <c r="D38" i="51"/>
  <c r="F36" i="51"/>
  <c r="E36" i="51"/>
  <c r="B36" i="51"/>
  <c r="E35" i="51"/>
  <c r="F35" i="51" s="1"/>
  <c r="E34" i="51"/>
  <c r="F34" i="51" s="1"/>
  <c r="D31" i="51"/>
  <c r="E28" i="51"/>
  <c r="E29" i="51" s="1"/>
  <c r="B18" i="51"/>
  <c r="D13" i="51"/>
  <c r="F13" i="51" s="1"/>
  <c r="B11" i="51"/>
  <c r="B10" i="51"/>
  <c r="F6" i="51"/>
  <c r="M48" i="50"/>
  <c r="F48" i="50"/>
  <c r="D43" i="50"/>
  <c r="K43" i="50" s="1"/>
  <c r="B43" i="50"/>
  <c r="I43" i="50" s="1"/>
  <c r="D41" i="50"/>
  <c r="K41" i="50" s="1"/>
  <c r="E39" i="50"/>
  <c r="L39" i="50" s="1"/>
  <c r="I38" i="50"/>
  <c r="E38" i="50"/>
  <c r="L38" i="50" s="1"/>
  <c r="B38" i="50"/>
  <c r="E37" i="50"/>
  <c r="F37" i="50" s="1"/>
  <c r="K34" i="50"/>
  <c r="D34" i="50"/>
  <c r="E31" i="50"/>
  <c r="E32" i="50" s="1"/>
  <c r="B26" i="50"/>
  <c r="I26" i="50" s="1"/>
  <c r="B18" i="50"/>
  <c r="I18" i="50" s="1"/>
  <c r="B16" i="50"/>
  <c r="I16" i="50" s="1"/>
  <c r="B15" i="50"/>
  <c r="I15" i="50" s="1"/>
  <c r="D13" i="50"/>
  <c r="K13" i="50" s="1"/>
  <c r="M13" i="50" s="1"/>
  <c r="M6" i="50"/>
  <c r="F6" i="50"/>
  <c r="F38" i="50" s="1"/>
  <c r="F1" i="50"/>
  <c r="F73" i="49"/>
  <c r="F72" i="49"/>
  <c r="F71" i="49"/>
  <c r="F70" i="49"/>
  <c r="F69" i="49"/>
  <c r="F68" i="49"/>
  <c r="F67" i="49"/>
  <c r="F66" i="49"/>
  <c r="F65" i="49"/>
  <c r="F74" i="49" s="1"/>
  <c r="B53" i="49"/>
  <c r="D41" i="49"/>
  <c r="B41" i="49"/>
  <c r="D39" i="49"/>
  <c r="E37" i="49"/>
  <c r="F37" i="49" s="1"/>
  <c r="E36" i="49"/>
  <c r="F36" i="49" s="1"/>
  <c r="B36" i="49"/>
  <c r="E35" i="49"/>
  <c r="F35" i="49" s="1"/>
  <c r="F34" i="49"/>
  <c r="E34" i="49"/>
  <c r="D31" i="49"/>
  <c r="E29" i="49"/>
  <c r="E28" i="49"/>
  <c r="D28" i="49"/>
  <c r="F28" i="49" s="1"/>
  <c r="D27" i="49"/>
  <c r="F27" i="49" s="1"/>
  <c r="F26" i="49"/>
  <c r="D26" i="49"/>
  <c r="D25" i="49"/>
  <c r="F25" i="49" s="1"/>
  <c r="D24" i="49"/>
  <c r="F24" i="49" s="1"/>
  <c r="D23" i="49"/>
  <c r="F23" i="49" s="1"/>
  <c r="F22" i="49"/>
  <c r="D22" i="49"/>
  <c r="B22" i="49"/>
  <c r="F21" i="49"/>
  <c r="D21" i="49"/>
  <c r="F20" i="49"/>
  <c r="D20" i="49"/>
  <c r="D19" i="49"/>
  <c r="F19" i="49" s="1"/>
  <c r="D17" i="49"/>
  <c r="F17" i="49" s="1"/>
  <c r="B17" i="49"/>
  <c r="D16" i="49"/>
  <c r="F16" i="49" s="1"/>
  <c r="D15" i="49"/>
  <c r="F15" i="49" s="1"/>
  <c r="B15" i="49"/>
  <c r="D14" i="49"/>
  <c r="F14" i="49" s="1"/>
  <c r="B14" i="49"/>
  <c r="D13" i="49"/>
  <c r="F13" i="49" s="1"/>
  <c r="B13" i="49"/>
  <c r="D12" i="49"/>
  <c r="F12" i="49" s="1"/>
  <c r="B12" i="49"/>
  <c r="D10" i="49"/>
  <c r="F10" i="49" s="1"/>
  <c r="B10" i="49"/>
  <c r="F9" i="49"/>
  <c r="D9" i="49"/>
  <c r="B9" i="49"/>
  <c r="F5" i="49"/>
  <c r="F1" i="49"/>
  <c r="M47" i="48"/>
  <c r="F47" i="48"/>
  <c r="J45" i="48"/>
  <c r="D42" i="48"/>
  <c r="K42" i="48" s="1"/>
  <c r="B42" i="48"/>
  <c r="I42" i="48" s="1"/>
  <c r="D40" i="48"/>
  <c r="K40" i="48" s="1"/>
  <c r="E38" i="48"/>
  <c r="L38" i="48" s="1"/>
  <c r="M38" i="48" s="1"/>
  <c r="B38" i="48"/>
  <c r="I38" i="48" s="1"/>
  <c r="E37" i="48"/>
  <c r="E36" i="48"/>
  <c r="L36" i="48" s="1"/>
  <c r="M36" i="48" s="1"/>
  <c r="D33" i="48"/>
  <c r="K33" i="48" s="1"/>
  <c r="E29" i="48"/>
  <c r="E30" i="48" s="1"/>
  <c r="L27" i="48"/>
  <c r="L26" i="48"/>
  <c r="K19" i="48"/>
  <c r="I18" i="48"/>
  <c r="B15" i="48"/>
  <c r="F13" i="48"/>
  <c r="D13" i="48"/>
  <c r="K13" i="48" s="1"/>
  <c r="M13" i="48" s="1"/>
  <c r="B11" i="48"/>
  <c r="B10" i="48"/>
  <c r="M6" i="48"/>
  <c r="F6" i="48"/>
  <c r="F38" i="48" s="1"/>
  <c r="F1" i="48"/>
  <c r="M45" i="47"/>
  <c r="J43" i="47"/>
  <c r="I40" i="47"/>
  <c r="D40" i="47"/>
  <c r="K40" i="47" s="1"/>
  <c r="D38" i="47"/>
  <c r="K38" i="47" s="1"/>
  <c r="I36" i="47"/>
  <c r="E36" i="47"/>
  <c r="L36" i="47" s="1"/>
  <c r="E35" i="47"/>
  <c r="L35" i="47" s="1"/>
  <c r="M35" i="47" s="1"/>
  <c r="E34" i="47"/>
  <c r="L34" i="47" s="1"/>
  <c r="M34" i="47" s="1"/>
  <c r="D31" i="47"/>
  <c r="K31" i="47" s="1"/>
  <c r="E29" i="47"/>
  <c r="L28" i="47"/>
  <c r="E28" i="47"/>
  <c r="L27" i="47"/>
  <c r="L26" i="47"/>
  <c r="I18" i="47"/>
  <c r="D13" i="47"/>
  <c r="K13" i="47" s="1"/>
  <c r="M13" i="47" s="1"/>
  <c r="M6" i="47"/>
  <c r="F6" i="47"/>
  <c r="F36" i="47" s="1"/>
  <c r="F1" i="47"/>
  <c r="F31" i="59" l="1"/>
  <c r="F30" i="59"/>
  <c r="F32" i="59" s="1"/>
  <c r="F34" i="59" s="1"/>
  <c r="F35" i="59" s="1"/>
  <c r="G36" i="59" s="1"/>
  <c r="M23" i="59"/>
  <c r="M24" i="59" s="1"/>
  <c r="M29" i="59" s="1"/>
  <c r="F28" i="58"/>
  <c r="F27" i="58"/>
  <c r="F29" i="58" s="1"/>
  <c r="F31" i="58" s="1"/>
  <c r="F35" i="57"/>
  <c r="F34" i="57"/>
  <c r="F36" i="57" s="1"/>
  <c r="F38" i="57" s="1"/>
  <c r="F33" i="56"/>
  <c r="E28" i="56"/>
  <c r="J25" i="55"/>
  <c r="L25" i="55" s="1"/>
  <c r="F25" i="55"/>
  <c r="J13" i="55"/>
  <c r="L13" i="55" s="1"/>
  <c r="L26" i="55" s="1"/>
  <c r="L28" i="55" s="1"/>
  <c r="L29" i="55" s="1"/>
  <c r="F18" i="55"/>
  <c r="F24" i="55"/>
  <c r="K31" i="55"/>
  <c r="L31" i="55" s="1"/>
  <c r="J24" i="55"/>
  <c r="L24" i="55" s="1"/>
  <c r="F17" i="55"/>
  <c r="F26" i="55" s="1"/>
  <c r="F28" i="55" s="1"/>
  <c r="F29" i="55" s="1"/>
  <c r="F23" i="55"/>
  <c r="F32" i="55"/>
  <c r="J23" i="54"/>
  <c r="L23" i="54" s="1"/>
  <c r="L24" i="54" s="1"/>
  <c r="L26" i="54" s="1"/>
  <c r="L27" i="54" s="1"/>
  <c r="L31" i="54" s="1"/>
  <c r="F23" i="54"/>
  <c r="J22" i="54"/>
  <c r="L22" i="54" s="1"/>
  <c r="F30" i="54"/>
  <c r="F13" i="54"/>
  <c r="F24" i="54" s="1"/>
  <c r="F26" i="54" s="1"/>
  <c r="F27" i="54" s="1"/>
  <c r="F31" i="54" s="1"/>
  <c r="F16" i="54"/>
  <c r="L37" i="50"/>
  <c r="M38" i="50"/>
  <c r="M37" i="50"/>
  <c r="F13" i="50"/>
  <c r="M39" i="50"/>
  <c r="F39" i="50"/>
  <c r="L31" i="50"/>
  <c r="L32" i="50" s="1"/>
  <c r="F29" i="49"/>
  <c r="F31" i="49" s="1"/>
  <c r="F32" i="49" s="1"/>
  <c r="F37" i="48"/>
  <c r="L37" i="48"/>
  <c r="M37" i="48" s="1"/>
  <c r="F36" i="48"/>
  <c r="L29" i="48"/>
  <c r="L30" i="48" s="1"/>
  <c r="F13" i="47"/>
  <c r="M36" i="47"/>
  <c r="L29" i="47"/>
  <c r="F35" i="47"/>
  <c r="F34" i="47"/>
  <c r="M30" i="59" l="1"/>
  <c r="M32" i="59" s="1"/>
  <c r="M35" i="59" s="1"/>
  <c r="N36" i="59" s="1"/>
  <c r="F32" i="58"/>
  <c r="G35" i="58" s="1"/>
  <c r="F33" i="58"/>
  <c r="F40" i="57"/>
  <c r="F39" i="57"/>
  <c r="G41" i="57" s="1"/>
  <c r="F34" i="56"/>
  <c r="F35" i="56" s="1"/>
  <c r="F36" i="56"/>
  <c r="F38" i="56" s="1"/>
  <c r="F33" i="55"/>
  <c r="E29" i="55"/>
  <c r="L33" i="55"/>
  <c r="K29" i="55"/>
  <c r="F34" i="54"/>
  <c r="F36" i="54" s="1"/>
  <c r="F33" i="54"/>
  <c r="F32" i="54"/>
  <c r="L32" i="54"/>
  <c r="L33" i="54" s="1"/>
  <c r="E32" i="49"/>
  <c r="F38" i="49"/>
  <c r="M31" i="59" l="1"/>
  <c r="F40" i="56"/>
  <c r="F39" i="56"/>
  <c r="G42" i="56" s="1"/>
  <c r="L34" i="55"/>
  <c r="L35" i="55" s="1"/>
  <c r="F34" i="55"/>
  <c r="F35" i="55" s="1"/>
  <c r="F36" i="55"/>
  <c r="F38" i="55" s="1"/>
  <c r="F38" i="54"/>
  <c r="F37" i="54"/>
  <c r="G40" i="54" s="1"/>
  <c r="L34" i="54"/>
  <c r="L36" i="54" s="1"/>
  <c r="F40" i="49"/>
  <c r="F41" i="49" s="1"/>
  <c r="F43" i="49" s="1"/>
  <c r="F39" i="49"/>
  <c r="L36" i="55" l="1"/>
  <c r="L38" i="55" s="1"/>
  <c r="F40" i="55"/>
  <c r="F39" i="55"/>
  <c r="G42" i="55" s="1"/>
  <c r="L37" i="54"/>
  <c r="M40" i="54" s="1"/>
  <c r="L38" i="54"/>
  <c r="F45" i="49"/>
  <c r="F44" i="49"/>
  <c r="G46" i="49" s="1"/>
  <c r="L40" i="55" l="1"/>
  <c r="L39" i="55"/>
  <c r="M42" i="55" s="1"/>
  <c r="D19" i="50" l="1"/>
  <c r="D20" i="48"/>
  <c r="D21" i="47"/>
  <c r="D23" i="50"/>
  <c r="D16" i="47"/>
  <c r="D16" i="51"/>
  <c r="F16" i="51" s="1"/>
  <c r="D16" i="48"/>
  <c r="D20" i="51"/>
  <c r="F20" i="51" s="1"/>
  <c r="D23" i="52"/>
  <c r="F23" i="52" s="1"/>
  <c r="D24" i="48"/>
  <c r="D26" i="50"/>
  <c r="D22" i="47"/>
  <c r="D15" i="53"/>
  <c r="F15" i="53" s="1"/>
  <c r="D14" i="51"/>
  <c r="F14" i="51" s="1"/>
  <c r="D14" i="47"/>
  <c r="D14" i="48"/>
  <c r="D14" i="50"/>
  <c r="D16" i="52"/>
  <c r="F16" i="52" s="1"/>
  <c r="D15" i="47"/>
  <c r="D15" i="50"/>
  <c r="D15" i="48"/>
  <c r="D15" i="51"/>
  <c r="F15" i="51" s="1"/>
  <c r="D10" i="47"/>
  <c r="D11" i="50"/>
  <c r="D11" i="48"/>
  <c r="D12" i="53"/>
  <c r="F12" i="53" s="1"/>
  <c r="D11" i="47"/>
  <c r="D18" i="51"/>
  <c r="F18" i="51" s="1"/>
  <c r="D18" i="50"/>
  <c r="D18" i="48"/>
  <c r="D18" i="47"/>
  <c r="D23" i="47"/>
  <c r="D25" i="50"/>
  <c r="D23" i="48"/>
  <c r="D23" i="51"/>
  <c r="F23" i="51" s="1"/>
  <c r="D24" i="52"/>
  <c r="F24" i="52" s="1"/>
  <c r="D19" i="53"/>
  <c r="F19" i="53" s="1"/>
  <c r="D10" i="48"/>
  <c r="D10" i="50"/>
  <c r="D11" i="53"/>
  <c r="F11" i="53" s="1"/>
  <c r="D16" i="50" l="1"/>
  <c r="K16" i="50" s="1"/>
  <c r="M16" i="50" s="1"/>
  <c r="K11" i="47"/>
  <c r="M11" i="47" s="1"/>
  <c r="F11" i="47"/>
  <c r="D29" i="50"/>
  <c r="D21" i="53"/>
  <c r="F21" i="53" s="1"/>
  <c r="D27" i="52"/>
  <c r="F27" i="52" s="1"/>
  <c r="D27" i="47"/>
  <c r="D27" i="48"/>
  <c r="D26" i="51"/>
  <c r="F26" i="51" s="1"/>
  <c r="K23" i="47"/>
  <c r="M23" i="47" s="1"/>
  <c r="F23" i="47"/>
  <c r="K15" i="50"/>
  <c r="M15" i="50" s="1"/>
  <c r="F15" i="50"/>
  <c r="F16" i="48"/>
  <c r="K16" i="48"/>
  <c r="M16" i="48" s="1"/>
  <c r="K14" i="47"/>
  <c r="M14" i="47" s="1"/>
  <c r="F14" i="47"/>
  <c r="K10" i="50"/>
  <c r="M10" i="50" s="1"/>
  <c r="F10" i="50"/>
  <c r="K11" i="48"/>
  <c r="M11" i="48" s="1"/>
  <c r="F11" i="48"/>
  <c r="K15" i="47"/>
  <c r="M15" i="47" s="1"/>
  <c r="F15" i="47"/>
  <c r="K25" i="50"/>
  <c r="M25" i="50" s="1"/>
  <c r="F25" i="50"/>
  <c r="K15" i="48"/>
  <c r="M15" i="48" s="1"/>
  <c r="F15" i="48"/>
  <c r="D17" i="47"/>
  <c r="D17" i="50"/>
  <c r="D17" i="51"/>
  <c r="F17" i="51" s="1"/>
  <c r="D17" i="48"/>
  <c r="D18" i="53"/>
  <c r="F18" i="53" s="1"/>
  <c r="D21" i="51"/>
  <c r="F21" i="51" s="1"/>
  <c r="D22" i="52"/>
  <c r="F22" i="52" s="1"/>
  <c r="D24" i="50"/>
  <c r="D22" i="48"/>
  <c r="D22" i="51"/>
  <c r="F22" i="51" s="1"/>
  <c r="D20" i="47"/>
  <c r="D19" i="52"/>
  <c r="F19" i="52" s="1"/>
  <c r="F10" i="48"/>
  <c r="K10" i="48"/>
  <c r="M10" i="48" s="1"/>
  <c r="K18" i="47"/>
  <c r="M18" i="47" s="1"/>
  <c r="F18" i="47"/>
  <c r="F11" i="50"/>
  <c r="K11" i="50"/>
  <c r="M11" i="50" s="1"/>
  <c r="K22" i="47"/>
  <c r="M22" i="47" s="1"/>
  <c r="F22" i="47"/>
  <c r="K16" i="47"/>
  <c r="M16" i="47" s="1"/>
  <c r="F16" i="47"/>
  <c r="D17" i="53"/>
  <c r="F17" i="53" s="1"/>
  <c r="F22" i="53" s="1"/>
  <c r="F24" i="53" s="1"/>
  <c r="F25" i="53" s="1"/>
  <c r="F30" i="53" s="1"/>
  <c r="D20" i="50"/>
  <c r="D21" i="48"/>
  <c r="D21" i="52"/>
  <c r="F21" i="52" s="1"/>
  <c r="K18" i="48"/>
  <c r="M18" i="48" s="1"/>
  <c r="F18" i="48"/>
  <c r="K19" i="50"/>
  <c r="M19" i="50" s="1"/>
  <c r="F19" i="50"/>
  <c r="D10" i="51"/>
  <c r="F10" i="51" s="1"/>
  <c r="D26" i="48"/>
  <c r="D26" i="47"/>
  <c r="D20" i="53"/>
  <c r="F20" i="53" s="1"/>
  <c r="D25" i="51"/>
  <c r="F25" i="51" s="1"/>
  <c r="D26" i="52"/>
  <c r="F26" i="52" s="1"/>
  <c r="D28" i="50"/>
  <c r="D17" i="52"/>
  <c r="F17" i="52" s="1"/>
  <c r="K18" i="50"/>
  <c r="M18" i="50" s="1"/>
  <c r="F18" i="50"/>
  <c r="K10" i="47"/>
  <c r="M10" i="47" s="1"/>
  <c r="F10" i="47"/>
  <c r="F26" i="50"/>
  <c r="K26" i="50"/>
  <c r="M26" i="50" s="1"/>
  <c r="K23" i="50"/>
  <c r="M23" i="50" s="1"/>
  <c r="F23" i="50"/>
  <c r="D14" i="52"/>
  <c r="F14" i="52" s="1"/>
  <c r="D13" i="52"/>
  <c r="F13" i="52" s="1"/>
  <c r="F14" i="50"/>
  <c r="K14" i="50"/>
  <c r="M14" i="50" s="1"/>
  <c r="K24" i="48"/>
  <c r="M24" i="48" s="1"/>
  <c r="F24" i="48"/>
  <c r="K21" i="47"/>
  <c r="M21" i="47" s="1"/>
  <c r="F21" i="47"/>
  <c r="D25" i="52"/>
  <c r="F25" i="52" s="1"/>
  <c r="D25" i="48"/>
  <c r="D24" i="47"/>
  <c r="D24" i="51"/>
  <c r="F24" i="51" s="1"/>
  <c r="D27" i="50"/>
  <c r="D11" i="51"/>
  <c r="F11" i="51" s="1"/>
  <c r="F23" i="48"/>
  <c r="K23" i="48"/>
  <c r="M23" i="48" s="1"/>
  <c r="K14" i="48"/>
  <c r="M14" i="48" s="1"/>
  <c r="F14" i="48"/>
  <c r="K20" i="48"/>
  <c r="M20" i="48" s="1"/>
  <c r="F20" i="48"/>
  <c r="F16" i="50" l="1"/>
  <c r="F31" i="53"/>
  <c r="F32" i="53" s="1"/>
  <c r="F33" i="53" s="1"/>
  <c r="F35" i="53" s="1"/>
  <c r="G37" i="53" s="1"/>
  <c r="D11" i="52"/>
  <c r="F11" i="52" s="1"/>
  <c r="K26" i="47"/>
  <c r="M26" i="47" s="1"/>
  <c r="F26" i="47"/>
  <c r="K22" i="48"/>
  <c r="M22" i="48" s="1"/>
  <c r="F22" i="48"/>
  <c r="F17" i="50"/>
  <c r="K17" i="50"/>
  <c r="M17" i="50" s="1"/>
  <c r="K27" i="47"/>
  <c r="M27" i="47" s="1"/>
  <c r="F27" i="47"/>
  <c r="K27" i="50"/>
  <c r="M27" i="50" s="1"/>
  <c r="F27" i="50"/>
  <c r="K26" i="48"/>
  <c r="M26" i="48" s="1"/>
  <c r="F26" i="48"/>
  <c r="K24" i="50"/>
  <c r="M24" i="50" s="1"/>
  <c r="F24" i="50"/>
  <c r="K17" i="47"/>
  <c r="M17" i="47" s="1"/>
  <c r="F17" i="47"/>
  <c r="K20" i="50"/>
  <c r="M20" i="50" s="1"/>
  <c r="F20" i="50"/>
  <c r="K17" i="48"/>
  <c r="M17" i="48" s="1"/>
  <c r="F17" i="48"/>
  <c r="K27" i="48"/>
  <c r="M27" i="48" s="1"/>
  <c r="F27" i="48"/>
  <c r="K24" i="47"/>
  <c r="M24" i="47" s="1"/>
  <c r="F24" i="47"/>
  <c r="K29" i="50"/>
  <c r="M29" i="50" s="1"/>
  <c r="F29" i="50"/>
  <c r="D18" i="52"/>
  <c r="F18" i="52" s="1"/>
  <c r="F25" i="48"/>
  <c r="K25" i="48"/>
  <c r="M25" i="48" s="1"/>
  <c r="D28" i="48"/>
  <c r="F28" i="50"/>
  <c r="K28" i="50"/>
  <c r="M28" i="50" s="1"/>
  <c r="D10" i="52"/>
  <c r="F10" i="52" s="1"/>
  <c r="K20" i="47"/>
  <c r="M20" i="47" s="1"/>
  <c r="F20" i="47"/>
  <c r="F21" i="48"/>
  <c r="K21" i="48"/>
  <c r="M21" i="48" s="1"/>
  <c r="F28" i="48" l="1"/>
  <c r="D29" i="48"/>
  <c r="K28" i="48"/>
  <c r="M28" i="48" s="1"/>
  <c r="F29" i="48" l="1"/>
  <c r="F30" i="48" s="1"/>
  <c r="F33" i="48" s="1"/>
  <c r="F34" i="48" s="1"/>
  <c r="K29" i="48"/>
  <c r="M29" i="48" s="1"/>
  <c r="M30" i="48" s="1"/>
  <c r="M33" i="48" s="1"/>
  <c r="M34" i="48" s="1"/>
  <c r="L34" i="48" l="1"/>
  <c r="M39" i="48"/>
  <c r="M40" i="48" s="1"/>
  <c r="M41" i="48" s="1"/>
  <c r="M42" i="48" s="1"/>
  <c r="M44" i="48" s="1"/>
  <c r="F39" i="48"/>
  <c r="F40" i="48" s="1"/>
  <c r="F41" i="48" s="1"/>
  <c r="F42" i="48" s="1"/>
  <c r="F44" i="48" s="1"/>
  <c r="E34" i="48"/>
  <c r="F45" i="48" l="1"/>
  <c r="G47" i="48" s="1"/>
  <c r="F46" i="48"/>
  <c r="M46" i="48"/>
  <c r="M45" i="48"/>
  <c r="N47" i="48" s="1"/>
  <c r="D31" i="50" l="1"/>
  <c r="F31" i="50" l="1"/>
  <c r="K31" i="50"/>
  <c r="M31" i="50" s="1"/>
  <c r="D28" i="52"/>
  <c r="D25" i="47"/>
  <c r="D30" i="50"/>
  <c r="D27" i="51"/>
  <c r="F27" i="51" l="1"/>
  <c r="F29" i="51" s="1"/>
  <c r="F31" i="51" s="1"/>
  <c r="F32" i="51" s="1"/>
  <c r="D28" i="51"/>
  <c r="F28" i="51" s="1"/>
  <c r="F30" i="50"/>
  <c r="F32" i="50" s="1"/>
  <c r="F34" i="50" s="1"/>
  <c r="F35" i="50" s="1"/>
  <c r="F40" i="50" s="1"/>
  <c r="F41" i="50" s="1"/>
  <c r="F42" i="50" s="1"/>
  <c r="F43" i="50" s="1"/>
  <c r="F45" i="50" s="1"/>
  <c r="K30" i="50"/>
  <c r="M30" i="50" s="1"/>
  <c r="M32" i="50" s="1"/>
  <c r="M34" i="50" s="1"/>
  <c r="M35" i="50" s="1"/>
  <c r="M40" i="50" s="1"/>
  <c r="M41" i="50" s="1"/>
  <c r="M42" i="50" s="1"/>
  <c r="M43" i="50" s="1"/>
  <c r="M45" i="50" s="1"/>
  <c r="D29" i="52"/>
  <c r="F29" i="52" s="1"/>
  <c r="F28" i="52"/>
  <c r="K25" i="47"/>
  <c r="M25" i="47" s="1"/>
  <c r="F25" i="47"/>
  <c r="D28" i="47"/>
  <c r="M46" i="50" l="1"/>
  <c r="N48" i="50" s="1"/>
  <c r="M47" i="50"/>
  <c r="F30" i="52"/>
  <c r="F32" i="52" s="1"/>
  <c r="F33" i="52" s="1"/>
  <c r="F38" i="52" s="1"/>
  <c r="F46" i="50"/>
  <c r="G48" i="50" s="1"/>
  <c r="F47" i="50"/>
  <c r="K28" i="47"/>
  <c r="M28" i="47" s="1"/>
  <c r="M29" i="47" s="1"/>
  <c r="M31" i="47" s="1"/>
  <c r="M32" i="47" s="1"/>
  <c r="F28" i="47"/>
  <c r="F29" i="47" s="1"/>
  <c r="F31" i="47" s="1"/>
  <c r="F32" i="47" s="1"/>
  <c r="F37" i="47" s="1"/>
  <c r="F37" i="51"/>
  <c r="E32" i="51"/>
  <c r="L32" i="47" l="1"/>
  <c r="M37" i="47"/>
  <c r="M38" i="47" s="1"/>
  <c r="M39" i="47" s="1"/>
  <c r="M40" i="47" s="1"/>
  <c r="M42" i="47" s="1"/>
  <c r="F38" i="47"/>
  <c r="F39" i="47" s="1"/>
  <c r="F40" i="47" s="1"/>
  <c r="F42" i="47" s="1"/>
  <c r="F39" i="52"/>
  <c r="F40" i="52" s="1"/>
  <c r="F41" i="52" s="1"/>
  <c r="F43" i="52" s="1"/>
  <c r="G44" i="52" s="1"/>
  <c r="F38" i="51"/>
  <c r="F39" i="51" s="1"/>
  <c r="F40" i="51" s="1"/>
  <c r="F42" i="51" s="1"/>
  <c r="G43" i="51" s="1"/>
  <c r="F43" i="47" l="1"/>
  <c r="G45" i="47" s="1"/>
  <c r="F44" i="47"/>
  <c r="M44" i="47"/>
  <c r="M43" i="47"/>
  <c r="N45" i="47" l="1"/>
  <c r="H91" i="47"/>
  <c r="D31" i="46" l="1"/>
  <c r="C31" i="46"/>
  <c r="J24" i="46" s="1"/>
  <c r="C30" i="46"/>
  <c r="J22" i="46" s="1"/>
  <c r="C29" i="46"/>
  <c r="C28" i="46"/>
  <c r="H24" i="46"/>
  <c r="H22" i="46"/>
  <c r="J21" i="46"/>
  <c r="K21" i="46" s="1"/>
  <c r="H21" i="46"/>
  <c r="I19" i="46"/>
  <c r="H19" i="46"/>
  <c r="J16" i="46"/>
  <c r="J15" i="46"/>
  <c r="J14" i="46"/>
  <c r="D14" i="46"/>
  <c r="J13" i="46"/>
  <c r="D13" i="46"/>
  <c r="J12" i="46"/>
  <c r="D12" i="46"/>
  <c r="J11" i="46"/>
  <c r="H11" i="46"/>
  <c r="D11" i="46"/>
  <c r="J10" i="46"/>
  <c r="D10" i="46"/>
  <c r="J9" i="46"/>
  <c r="D9" i="46"/>
  <c r="D8" i="46"/>
  <c r="J7" i="46"/>
  <c r="D7" i="46"/>
  <c r="J6" i="46"/>
  <c r="D6" i="46"/>
  <c r="J5" i="46"/>
  <c r="J17" i="46" s="1"/>
  <c r="D5" i="46"/>
  <c r="D4" i="46"/>
  <c r="I84" i="45"/>
  <c r="J83" i="45"/>
  <c r="I83" i="45"/>
  <c r="K83" i="45" s="1"/>
  <c r="J82" i="45"/>
  <c r="I82" i="45"/>
  <c r="K82" i="45" s="1"/>
  <c r="I81" i="45"/>
  <c r="J80" i="45"/>
  <c r="K80" i="45" s="1"/>
  <c r="I80" i="45"/>
  <c r="I79" i="45"/>
  <c r="I78" i="45"/>
  <c r="H78" i="45"/>
  <c r="H77" i="45"/>
  <c r="C43" i="45"/>
  <c r="C42" i="45"/>
  <c r="C41" i="45"/>
  <c r="C40" i="45"/>
  <c r="N29" i="45" s="1"/>
  <c r="O29" i="45" s="1"/>
  <c r="C39" i="45"/>
  <c r="C38" i="45"/>
  <c r="C37" i="45"/>
  <c r="N26" i="45" s="1"/>
  <c r="C36" i="45"/>
  <c r="M34" i="45"/>
  <c r="M32" i="45"/>
  <c r="N30" i="45"/>
  <c r="O30" i="45" s="1"/>
  <c r="L30" i="45"/>
  <c r="L29" i="45"/>
  <c r="O28" i="45"/>
  <c r="N28" i="45"/>
  <c r="L28" i="45"/>
  <c r="O27" i="45"/>
  <c r="N27" i="45"/>
  <c r="L27" i="45"/>
  <c r="L26" i="45"/>
  <c r="M24" i="45"/>
  <c r="N21" i="45"/>
  <c r="L21" i="45"/>
  <c r="N20" i="45"/>
  <c r="L20" i="45"/>
  <c r="N19" i="45"/>
  <c r="L19" i="45"/>
  <c r="N18" i="45"/>
  <c r="L18" i="45"/>
  <c r="N17" i="45"/>
  <c r="L17" i="45"/>
  <c r="N16" i="45"/>
  <c r="L16" i="45"/>
  <c r="N14" i="45"/>
  <c r="O14" i="45" s="1"/>
  <c r="L14" i="45"/>
  <c r="N13" i="45"/>
  <c r="L13" i="45"/>
  <c r="N12" i="45"/>
  <c r="L12" i="45"/>
  <c r="N11" i="45"/>
  <c r="L11" i="45"/>
  <c r="C11" i="45"/>
  <c r="M14" i="45" s="1"/>
  <c r="N10" i="45"/>
  <c r="M10" i="45"/>
  <c r="O10" i="45" s="1"/>
  <c r="L10" i="45"/>
  <c r="N9" i="45"/>
  <c r="L9" i="45"/>
  <c r="N8" i="45"/>
  <c r="L8" i="45"/>
  <c r="N7" i="45"/>
  <c r="L7" i="45"/>
  <c r="I7" i="45"/>
  <c r="C7" i="45"/>
  <c r="I6" i="45"/>
  <c r="I8" i="45" s="1"/>
  <c r="J8" i="45" s="1"/>
  <c r="O5" i="45"/>
  <c r="J84" i="45" s="1"/>
  <c r="K78" i="45" l="1"/>
  <c r="O26" i="45"/>
  <c r="K84" i="45"/>
  <c r="N22" i="45"/>
  <c r="J79" i="45" s="1"/>
  <c r="K79" i="45" s="1"/>
  <c r="J78" i="45"/>
  <c r="J81" i="45"/>
  <c r="K81" i="45" s="1"/>
  <c r="C9" i="46" l="1"/>
  <c r="I10" i="46" s="1"/>
  <c r="K10" i="46" s="1"/>
  <c r="C10" i="45" l="1"/>
  <c r="C6" i="45"/>
  <c r="M9" i="45" s="1"/>
  <c r="O9" i="45" s="1"/>
  <c r="C8" i="45"/>
  <c r="M11" i="45" s="1"/>
  <c r="O11" i="45" s="1"/>
  <c r="C6" i="46"/>
  <c r="I7" i="46" s="1"/>
  <c r="K7" i="46" s="1"/>
  <c r="C5" i="45"/>
  <c r="M8" i="45" s="1"/>
  <c r="O8" i="45" s="1"/>
  <c r="C15" i="45"/>
  <c r="M19" i="45" s="1"/>
  <c r="O19" i="45" s="1"/>
  <c r="C12" i="46"/>
  <c r="I14" i="46" s="1"/>
  <c r="K14" i="46" s="1"/>
  <c r="C17" i="45"/>
  <c r="M21" i="45" s="1"/>
  <c r="O21" i="45" s="1"/>
  <c r="C14" i="45"/>
  <c r="M18" i="45" s="1"/>
  <c r="O18" i="45" s="1"/>
  <c r="C12" i="45"/>
  <c r="M16" i="45" s="1"/>
  <c r="O16" i="45" s="1"/>
  <c r="C16" i="45"/>
  <c r="M20" i="45" s="1"/>
  <c r="O20" i="45" s="1"/>
  <c r="M15" i="45"/>
  <c r="O15" i="45" s="1"/>
  <c r="C8" i="46"/>
  <c r="I9" i="46" s="1"/>
  <c r="K9" i="46" s="1"/>
  <c r="C13" i="45"/>
  <c r="M17" i="45" s="1"/>
  <c r="O17" i="45" s="1"/>
  <c r="C10" i="46"/>
  <c r="I12" i="46" s="1"/>
  <c r="K12" i="46" s="1"/>
  <c r="C9" i="45"/>
  <c r="M12" i="45" s="1"/>
  <c r="O12" i="45" s="1"/>
  <c r="C4" i="45"/>
  <c r="M7" i="45" s="1"/>
  <c r="O7" i="45" s="1"/>
  <c r="C11" i="46"/>
  <c r="I13" i="46" s="1"/>
  <c r="K13" i="46" s="1"/>
  <c r="C5" i="46"/>
  <c r="I6" i="46" s="1"/>
  <c r="K6" i="46" s="1"/>
  <c r="C7" i="46"/>
  <c r="I8" i="46" s="1"/>
  <c r="K8" i="46" s="1"/>
  <c r="I11" i="46"/>
  <c r="K11" i="46" s="1"/>
  <c r="C4" i="46"/>
  <c r="I5" i="46" s="1"/>
  <c r="K5" i="46" s="1"/>
  <c r="C13" i="46" l="1"/>
  <c r="C18" i="45"/>
  <c r="M13" i="45"/>
  <c r="O13" i="45" s="1"/>
  <c r="O22" i="45" s="1"/>
  <c r="O24" i="45" l="1"/>
  <c r="O25" i="45" s="1"/>
  <c r="O31" i="45" s="1"/>
  <c r="O32" i="45" s="1"/>
  <c r="O33" i="45" s="1"/>
  <c r="O34" i="45" s="1"/>
  <c r="O35" i="45" s="1"/>
  <c r="O36" i="45" s="1"/>
  <c r="I15" i="46"/>
  <c r="K15" i="46" s="1"/>
  <c r="C14" i="46"/>
  <c r="I16" i="46" s="1"/>
  <c r="K16" i="46" s="1"/>
  <c r="K17" i="46" l="1"/>
  <c r="O37" i="45"/>
  <c r="P40" i="45" s="1"/>
  <c r="O38" i="45"/>
  <c r="P41" i="45" s="1"/>
  <c r="O39" i="45"/>
  <c r="K19" i="46" l="1"/>
  <c r="K20" i="46" s="1"/>
  <c r="K24" i="46" l="1"/>
  <c r="K22" i="46"/>
  <c r="K23" i="46" s="1"/>
  <c r="K25" i="46" s="1"/>
  <c r="K26" i="46" s="1"/>
  <c r="K30" i="46" l="1"/>
  <c r="K29" i="46"/>
  <c r="K28" i="46"/>
  <c r="L31" i="46" s="1"/>
  <c r="K27" i="46"/>
  <c r="V79" i="44" l="1"/>
  <c r="V80" i="44" s="1"/>
  <c r="V69" i="44"/>
  <c r="V70" i="44" s="1"/>
  <c r="V60" i="44"/>
  <c r="V61" i="44" s="1"/>
  <c r="V51" i="44"/>
  <c r="V50" i="44"/>
  <c r="H38" i="44"/>
  <c r="C32" i="44"/>
  <c r="C31" i="44"/>
  <c r="H29" i="44"/>
  <c r="E29" i="44"/>
  <c r="D29" i="44"/>
  <c r="D28" i="44"/>
  <c r="D27" i="44"/>
  <c r="E27" i="44" s="1"/>
  <c r="D26" i="44"/>
  <c r="E26" i="44" s="1"/>
  <c r="C24" i="44"/>
  <c r="E20" i="44"/>
  <c r="D20" i="44"/>
  <c r="C20" i="44"/>
  <c r="E19" i="44"/>
  <c r="D19" i="44"/>
  <c r="C19" i="44"/>
  <c r="D18" i="44"/>
  <c r="C18" i="44"/>
  <c r="E18" i="44" s="1"/>
  <c r="D17" i="44"/>
  <c r="C17" i="44"/>
  <c r="E17" i="44" s="1"/>
  <c r="D16" i="44"/>
  <c r="C16" i="44"/>
  <c r="E16" i="44" s="1"/>
  <c r="D15" i="44"/>
  <c r="E15" i="44" s="1"/>
  <c r="C15" i="44"/>
  <c r="D14" i="44"/>
  <c r="E14" i="44" s="1"/>
  <c r="C14" i="44"/>
  <c r="D12" i="44"/>
  <c r="C12" i="44"/>
  <c r="E12" i="44" s="1"/>
  <c r="E11" i="44"/>
  <c r="D11" i="44"/>
  <c r="C11" i="44"/>
  <c r="E10" i="44"/>
  <c r="D10" i="44"/>
  <c r="C10" i="44"/>
  <c r="D9" i="44"/>
  <c r="C9" i="44"/>
  <c r="E9" i="44" s="1"/>
  <c r="D8" i="44"/>
  <c r="C8" i="44"/>
  <c r="E8" i="44" s="1"/>
  <c r="D7" i="44"/>
  <c r="C7" i="44"/>
  <c r="E7" i="44" s="1"/>
  <c r="D5" i="44"/>
  <c r="E5" i="44" s="1"/>
  <c r="C5" i="44"/>
  <c r="E3" i="44"/>
  <c r="E28" i="44" s="1"/>
  <c r="W60" i="43"/>
  <c r="W61" i="43" s="1"/>
  <c r="W50" i="43"/>
  <c r="W51" i="43" s="1"/>
  <c r="W41" i="43"/>
  <c r="W42" i="43" s="1"/>
  <c r="I39" i="43"/>
  <c r="D33" i="43"/>
  <c r="D32" i="43"/>
  <c r="W31" i="43"/>
  <c r="W32" i="43" s="1"/>
  <c r="I30" i="43"/>
  <c r="E30" i="43"/>
  <c r="F30" i="43" s="1"/>
  <c r="E29" i="43"/>
  <c r="E28" i="43"/>
  <c r="F28" i="43" s="1"/>
  <c r="E27" i="43"/>
  <c r="D25" i="43"/>
  <c r="E21" i="43"/>
  <c r="D21" i="43"/>
  <c r="F21" i="43" s="1"/>
  <c r="E20" i="43"/>
  <c r="F20" i="43" s="1"/>
  <c r="D20" i="43"/>
  <c r="E19" i="43"/>
  <c r="D19" i="43"/>
  <c r="E18" i="43"/>
  <c r="D18" i="43"/>
  <c r="F18" i="43" s="1"/>
  <c r="E17" i="43"/>
  <c r="D17" i="43"/>
  <c r="F17" i="43" s="1"/>
  <c r="E16" i="43"/>
  <c r="D16" i="43"/>
  <c r="E15" i="43"/>
  <c r="D15" i="43"/>
  <c r="E14" i="43"/>
  <c r="D14" i="43"/>
  <c r="F14" i="43" s="1"/>
  <c r="E12" i="43"/>
  <c r="F12" i="43" s="1"/>
  <c r="D12" i="43"/>
  <c r="E11" i="43"/>
  <c r="F11" i="43" s="1"/>
  <c r="D11" i="43"/>
  <c r="E10" i="43"/>
  <c r="D10" i="43"/>
  <c r="F10" i="43" s="1"/>
  <c r="E9" i="43"/>
  <c r="D9" i="43"/>
  <c r="F9" i="43" s="1"/>
  <c r="E7" i="43"/>
  <c r="F7" i="43" s="1"/>
  <c r="D7" i="43"/>
  <c r="E5" i="43"/>
  <c r="D5" i="43"/>
  <c r="F3" i="43"/>
  <c r="F27" i="43" s="1"/>
  <c r="F5" i="43" l="1"/>
  <c r="F15" i="43"/>
  <c r="F19" i="43"/>
  <c r="F22" i="43" s="1"/>
  <c r="F25" i="43" s="1"/>
  <c r="F26" i="43" s="1"/>
  <c r="F16" i="43"/>
  <c r="F29" i="43"/>
  <c r="E21" i="44"/>
  <c r="E24" i="44" s="1"/>
  <c r="E25" i="44" s="1"/>
  <c r="V71" i="44"/>
  <c r="V72" i="44" s="1"/>
  <c r="D21" i="44"/>
  <c r="V52" i="44"/>
  <c r="V53" i="44" s="1"/>
  <c r="W33" i="43"/>
  <c r="W34" i="43" s="1"/>
  <c r="W52" i="43"/>
  <c r="W53" i="43" s="1"/>
  <c r="E22" i="43"/>
  <c r="E30" i="44" l="1"/>
  <c r="G32" i="44"/>
  <c r="H32" i="44"/>
  <c r="H30" i="44"/>
  <c r="H33" i="43"/>
  <c r="F31" i="43"/>
  <c r="I33" i="43"/>
  <c r="I31" i="43"/>
  <c r="E32" i="44" l="1"/>
  <c r="E31" i="44"/>
  <c r="E33" i="44" s="1"/>
  <c r="F35" i="44" s="1"/>
  <c r="J37" i="44" s="1"/>
  <c r="I32" i="44"/>
  <c r="F33" i="43"/>
  <c r="F32" i="43"/>
  <c r="F34" i="43" s="1"/>
  <c r="G36" i="43" s="1"/>
  <c r="K38" i="43" s="1"/>
  <c r="J33" i="43"/>
  <c r="F44" i="42" l="1"/>
  <c r="G44" i="42" s="1"/>
  <c r="F36" i="42"/>
  <c r="G36" i="42" s="1"/>
  <c r="L23" i="42"/>
  <c r="K23" i="42"/>
  <c r="J23" i="42"/>
  <c r="I23" i="42"/>
  <c r="M23" i="42" s="1"/>
  <c r="E4" i="42"/>
  <c r="E3" i="42"/>
  <c r="S24" i="41"/>
  <c r="S23" i="41"/>
  <c r="C20" i="41"/>
  <c r="F23" i="41"/>
  <c r="R41" i="17"/>
  <c r="R42" i="17" l="1"/>
  <c r="R40" i="17"/>
  <c r="N38" i="14" l="1"/>
  <c r="N17" i="14"/>
  <c r="K48" i="20"/>
  <c r="K47" i="20"/>
  <c r="K47" i="19"/>
  <c r="K46" i="19"/>
  <c r="K44" i="18"/>
  <c r="K43" i="18"/>
  <c r="M50" i="19" l="1"/>
  <c r="I50" i="19"/>
  <c r="I30" i="22" l="1"/>
  <c r="L30" i="22" s="1"/>
  <c r="M30" i="22" s="1"/>
  <c r="I28" i="22"/>
  <c r="L28" i="22" s="1"/>
  <c r="T34" i="22" l="1"/>
  <c r="T33" i="22"/>
  <c r="T32" i="22"/>
  <c r="T18" i="22"/>
  <c r="T15" i="35" l="1"/>
  <c r="R46" i="17" l="1"/>
  <c r="R36" i="17"/>
  <c r="E20" i="17" s="1"/>
  <c r="R9" i="17"/>
  <c r="AQ301" i="40" l="1"/>
  <c r="AO301" i="40"/>
  <c r="AM301" i="40"/>
  <c r="AK301" i="40"/>
  <c r="AI301" i="40"/>
  <c r="AG301" i="40"/>
  <c r="AE301" i="40"/>
  <c r="AC301" i="40"/>
  <c r="AA301" i="40"/>
  <c r="Y301" i="40"/>
  <c r="W301" i="40"/>
  <c r="U301" i="40"/>
  <c r="S301" i="40"/>
  <c r="Q301" i="40"/>
  <c r="O301" i="40"/>
  <c r="M301" i="40"/>
  <c r="K301" i="40"/>
  <c r="I301" i="40"/>
  <c r="G301" i="40"/>
  <c r="E301" i="40"/>
  <c r="AQ300" i="40"/>
  <c r="AO300" i="40"/>
  <c r="AM300" i="40"/>
  <c r="AK300" i="40"/>
  <c r="AI300" i="40"/>
  <c r="AG300" i="40"/>
  <c r="AE300" i="40"/>
  <c r="AC300" i="40"/>
  <c r="AA300" i="40"/>
  <c r="Y300" i="40"/>
  <c r="W300" i="40"/>
  <c r="U300" i="40"/>
  <c r="S300" i="40"/>
  <c r="Q300" i="40"/>
  <c r="O300" i="40"/>
  <c r="M300" i="40"/>
  <c r="K300" i="40"/>
  <c r="I300" i="40"/>
  <c r="G300" i="40"/>
  <c r="E300" i="40"/>
  <c r="AQ299" i="40"/>
  <c r="AO299" i="40"/>
  <c r="AM299" i="40"/>
  <c r="AK299" i="40"/>
  <c r="AI299" i="40"/>
  <c r="AG299" i="40"/>
  <c r="AE299" i="40"/>
  <c r="AC299" i="40"/>
  <c r="AA299" i="40"/>
  <c r="Y299" i="40"/>
  <c r="W299" i="40"/>
  <c r="U299" i="40"/>
  <c r="S299" i="40"/>
  <c r="Q299" i="40"/>
  <c r="O299" i="40"/>
  <c r="M299" i="40"/>
  <c r="K299" i="40"/>
  <c r="I299" i="40"/>
  <c r="G299" i="40"/>
  <c r="E299" i="40"/>
  <c r="AQ298" i="40"/>
  <c r="AO298" i="40"/>
  <c r="AM298" i="40"/>
  <c r="AK298" i="40"/>
  <c r="AI298" i="40"/>
  <c r="AG298" i="40"/>
  <c r="AE298" i="40"/>
  <c r="AC298" i="40"/>
  <c r="AA298" i="40"/>
  <c r="Y298" i="40"/>
  <c r="W298" i="40"/>
  <c r="U298" i="40"/>
  <c r="S298" i="40"/>
  <c r="Q298" i="40"/>
  <c r="O298" i="40"/>
  <c r="M298" i="40"/>
  <c r="K298" i="40"/>
  <c r="I298" i="40"/>
  <c r="G298" i="40"/>
  <c r="E298" i="40"/>
  <c r="AQ297" i="40"/>
  <c r="AO297" i="40"/>
  <c r="AM297" i="40"/>
  <c r="AK297" i="40"/>
  <c r="AI297" i="40"/>
  <c r="AG297" i="40"/>
  <c r="AE297" i="40"/>
  <c r="AC297" i="40"/>
  <c r="AA297" i="40"/>
  <c r="Y297" i="40"/>
  <c r="W297" i="40"/>
  <c r="U297" i="40"/>
  <c r="S297" i="40"/>
  <c r="Q297" i="40"/>
  <c r="O297" i="40"/>
  <c r="M297" i="40"/>
  <c r="K297" i="40"/>
  <c r="I297" i="40"/>
  <c r="G297" i="40"/>
  <c r="E297" i="40"/>
  <c r="AQ296" i="40"/>
  <c r="AO296" i="40"/>
  <c r="AM296" i="40"/>
  <c r="AK296" i="40"/>
  <c r="AI296" i="40"/>
  <c r="AG296" i="40"/>
  <c r="AE296" i="40"/>
  <c r="AC296" i="40"/>
  <c r="AA296" i="40"/>
  <c r="Y296" i="40"/>
  <c r="W296" i="40"/>
  <c r="U296" i="40"/>
  <c r="S296" i="40"/>
  <c r="Q296" i="40"/>
  <c r="O296" i="40"/>
  <c r="M296" i="40"/>
  <c r="K296" i="40"/>
  <c r="I296" i="40"/>
  <c r="G296" i="40"/>
  <c r="E296" i="40"/>
  <c r="AQ295" i="40"/>
  <c r="AO295" i="40"/>
  <c r="AM295" i="40"/>
  <c r="AK295" i="40"/>
  <c r="AI295" i="40"/>
  <c r="AG295" i="40"/>
  <c r="AE295" i="40"/>
  <c r="AC295" i="40"/>
  <c r="AA295" i="40"/>
  <c r="Y295" i="40"/>
  <c r="W295" i="40"/>
  <c r="U295" i="40"/>
  <c r="S295" i="40"/>
  <c r="Q295" i="40"/>
  <c r="O295" i="40"/>
  <c r="M295" i="40"/>
  <c r="K295" i="40"/>
  <c r="I295" i="40"/>
  <c r="G295" i="40"/>
  <c r="E295" i="40"/>
  <c r="AQ294" i="40"/>
  <c r="AO294" i="40"/>
  <c r="AM294" i="40"/>
  <c r="AK294" i="40"/>
  <c r="AI294" i="40"/>
  <c r="AG294" i="40"/>
  <c r="AE294" i="40"/>
  <c r="AC294" i="40"/>
  <c r="AA294" i="40"/>
  <c r="Y294" i="40"/>
  <c r="W294" i="40"/>
  <c r="U294" i="40"/>
  <c r="S294" i="40"/>
  <c r="Q294" i="40"/>
  <c r="O294" i="40"/>
  <c r="M294" i="40"/>
  <c r="K294" i="40"/>
  <c r="I294" i="40"/>
  <c r="G294" i="40"/>
  <c r="E294" i="40"/>
  <c r="AQ293" i="40"/>
  <c r="AO293" i="40"/>
  <c r="AM293" i="40"/>
  <c r="AK293" i="40"/>
  <c r="AI293" i="40"/>
  <c r="AG293" i="40"/>
  <c r="AE293" i="40"/>
  <c r="AC293" i="40"/>
  <c r="AA293" i="40"/>
  <c r="Y293" i="40"/>
  <c r="W293" i="40"/>
  <c r="U293" i="40"/>
  <c r="S293" i="40"/>
  <c r="Q293" i="40"/>
  <c r="O293" i="40"/>
  <c r="M293" i="40"/>
  <c r="K293" i="40"/>
  <c r="I293" i="40"/>
  <c r="G293" i="40"/>
  <c r="E293" i="40"/>
  <c r="AQ292" i="40"/>
  <c r="AO292" i="40"/>
  <c r="AM292" i="40"/>
  <c r="AK292" i="40"/>
  <c r="AI292" i="40"/>
  <c r="AG292" i="40"/>
  <c r="AE292" i="40"/>
  <c r="AC292" i="40"/>
  <c r="AA292" i="40"/>
  <c r="Y292" i="40"/>
  <c r="W292" i="40"/>
  <c r="U292" i="40"/>
  <c r="S292" i="40"/>
  <c r="Q292" i="40"/>
  <c r="O292" i="40"/>
  <c r="M292" i="40"/>
  <c r="K292" i="40"/>
  <c r="I292" i="40"/>
  <c r="G292" i="40"/>
  <c r="E292" i="40"/>
  <c r="AQ291" i="40"/>
  <c r="AO291" i="40"/>
  <c r="AM291" i="40"/>
  <c r="AK291" i="40"/>
  <c r="AI291" i="40"/>
  <c r="AG291" i="40"/>
  <c r="AE291" i="40"/>
  <c r="AC291" i="40"/>
  <c r="AA291" i="40"/>
  <c r="Y291" i="40"/>
  <c r="W291" i="40"/>
  <c r="U291" i="40"/>
  <c r="S291" i="40"/>
  <c r="Q291" i="40"/>
  <c r="O291" i="40"/>
  <c r="M291" i="40"/>
  <c r="K291" i="40"/>
  <c r="I291" i="40"/>
  <c r="G291" i="40"/>
  <c r="E291" i="40"/>
  <c r="AQ290" i="40"/>
  <c r="AO290" i="40"/>
  <c r="AM290" i="40"/>
  <c r="AK290" i="40"/>
  <c r="AI290" i="40"/>
  <c r="AG290" i="40"/>
  <c r="AE290" i="40"/>
  <c r="AC290" i="40"/>
  <c r="AA290" i="40"/>
  <c r="Y290" i="40"/>
  <c r="W290" i="40"/>
  <c r="U290" i="40"/>
  <c r="S290" i="40"/>
  <c r="Q290" i="40"/>
  <c r="O290" i="40"/>
  <c r="M290" i="40"/>
  <c r="K290" i="40"/>
  <c r="I290" i="40"/>
  <c r="G290" i="40"/>
  <c r="E290" i="40"/>
  <c r="AQ289" i="40"/>
  <c r="AO289" i="40"/>
  <c r="AM289" i="40"/>
  <c r="AK289" i="40"/>
  <c r="AI289" i="40"/>
  <c r="AG289" i="40"/>
  <c r="AE289" i="40"/>
  <c r="AC289" i="40"/>
  <c r="AA289" i="40"/>
  <c r="Y289" i="40"/>
  <c r="W289" i="40"/>
  <c r="U289" i="40"/>
  <c r="S289" i="40"/>
  <c r="Q289" i="40"/>
  <c r="O289" i="40"/>
  <c r="M289" i="40"/>
  <c r="K289" i="40"/>
  <c r="I289" i="40"/>
  <c r="G289" i="40"/>
  <c r="E289" i="40"/>
  <c r="AQ288" i="40"/>
  <c r="AO288" i="40"/>
  <c r="AM288" i="40"/>
  <c r="AK288" i="40"/>
  <c r="AI288" i="40"/>
  <c r="AG288" i="40"/>
  <c r="AE288" i="40"/>
  <c r="AC288" i="40"/>
  <c r="AA288" i="40"/>
  <c r="Y288" i="40"/>
  <c r="W288" i="40"/>
  <c r="U288" i="40"/>
  <c r="S288" i="40"/>
  <c r="Q288" i="40"/>
  <c r="O288" i="40"/>
  <c r="M288" i="40"/>
  <c r="K288" i="40"/>
  <c r="I288" i="40"/>
  <c r="G288" i="40"/>
  <c r="E288" i="40"/>
  <c r="AQ287" i="40"/>
  <c r="AO287" i="40"/>
  <c r="AM287" i="40"/>
  <c r="AK287" i="40"/>
  <c r="AI287" i="40"/>
  <c r="AG287" i="40"/>
  <c r="AE287" i="40"/>
  <c r="AC287" i="40"/>
  <c r="AA287" i="40"/>
  <c r="Y287" i="40"/>
  <c r="W287" i="40"/>
  <c r="U287" i="40"/>
  <c r="S287" i="40"/>
  <c r="Q287" i="40"/>
  <c r="O287" i="40"/>
  <c r="M287" i="40"/>
  <c r="K287" i="40"/>
  <c r="I287" i="40"/>
  <c r="G287" i="40"/>
  <c r="E287" i="40"/>
  <c r="AQ286" i="40"/>
  <c r="AO286" i="40"/>
  <c r="AM286" i="40"/>
  <c r="AK286" i="40"/>
  <c r="AI286" i="40"/>
  <c r="AG286" i="40"/>
  <c r="AE286" i="40"/>
  <c r="AC286" i="40"/>
  <c r="AA286" i="40"/>
  <c r="Y286" i="40"/>
  <c r="W286" i="40"/>
  <c r="U286" i="40"/>
  <c r="S286" i="40"/>
  <c r="Q286" i="40"/>
  <c r="O286" i="40"/>
  <c r="M286" i="40"/>
  <c r="K286" i="40"/>
  <c r="I286" i="40"/>
  <c r="G286" i="40"/>
  <c r="E286" i="40"/>
  <c r="AQ285" i="40"/>
  <c r="AO285" i="40"/>
  <c r="AM285" i="40"/>
  <c r="AK285" i="40"/>
  <c r="AI285" i="40"/>
  <c r="AG285" i="40"/>
  <c r="AE285" i="40"/>
  <c r="AC285" i="40"/>
  <c r="AA285" i="40"/>
  <c r="Y285" i="40"/>
  <c r="W285" i="40"/>
  <c r="U285" i="40"/>
  <c r="S285" i="40"/>
  <c r="Q285" i="40"/>
  <c r="O285" i="40"/>
  <c r="M285" i="40"/>
  <c r="K285" i="40"/>
  <c r="I285" i="40"/>
  <c r="G285" i="40"/>
  <c r="E285" i="40"/>
  <c r="AQ284" i="40"/>
  <c r="AO284" i="40"/>
  <c r="AM284" i="40"/>
  <c r="AK284" i="40"/>
  <c r="AI284" i="40"/>
  <c r="AG284" i="40"/>
  <c r="AE284" i="40"/>
  <c r="AC284" i="40"/>
  <c r="AA284" i="40"/>
  <c r="Y284" i="40"/>
  <c r="W284" i="40"/>
  <c r="U284" i="40"/>
  <c r="S284" i="40"/>
  <c r="Q284" i="40"/>
  <c r="O284" i="40"/>
  <c r="M284" i="40"/>
  <c r="K284" i="40"/>
  <c r="I284" i="40"/>
  <c r="G284" i="40"/>
  <c r="E284" i="40"/>
  <c r="AQ283" i="40"/>
  <c r="AO283" i="40"/>
  <c r="AM283" i="40"/>
  <c r="AK283" i="40"/>
  <c r="AI283" i="40"/>
  <c r="AG283" i="40"/>
  <c r="AE283" i="40"/>
  <c r="AC283" i="40"/>
  <c r="AA283" i="40"/>
  <c r="Y283" i="40"/>
  <c r="W283" i="40"/>
  <c r="U283" i="40"/>
  <c r="S283" i="40"/>
  <c r="Q283" i="40"/>
  <c r="O283" i="40"/>
  <c r="M283" i="40"/>
  <c r="K283" i="40"/>
  <c r="I283" i="40"/>
  <c r="G283" i="40"/>
  <c r="E283" i="40"/>
  <c r="AQ282" i="40"/>
  <c r="AO282" i="40"/>
  <c r="AM282" i="40"/>
  <c r="AK282" i="40"/>
  <c r="AI282" i="40"/>
  <c r="AG282" i="40"/>
  <c r="AE282" i="40"/>
  <c r="AC282" i="40"/>
  <c r="AA282" i="40"/>
  <c r="Y282" i="40"/>
  <c r="W282" i="40"/>
  <c r="U282" i="40"/>
  <c r="S282" i="40"/>
  <c r="Q282" i="40"/>
  <c r="O282" i="40"/>
  <c r="M282" i="40"/>
  <c r="K282" i="40"/>
  <c r="I282" i="40"/>
  <c r="G282" i="40"/>
  <c r="E282" i="40"/>
  <c r="AQ281" i="40"/>
  <c r="AO281" i="40"/>
  <c r="AM281" i="40"/>
  <c r="AK281" i="40"/>
  <c r="AI281" i="40"/>
  <c r="AG281" i="40"/>
  <c r="AE281" i="40"/>
  <c r="AC281" i="40"/>
  <c r="AA281" i="40"/>
  <c r="Y281" i="40"/>
  <c r="W281" i="40"/>
  <c r="U281" i="40"/>
  <c r="S281" i="40"/>
  <c r="Q281" i="40"/>
  <c r="O281" i="40"/>
  <c r="M281" i="40"/>
  <c r="K281" i="40"/>
  <c r="I281" i="40"/>
  <c r="G281" i="40"/>
  <c r="E281" i="40"/>
  <c r="AQ280" i="40"/>
  <c r="AO280" i="40"/>
  <c r="AM280" i="40"/>
  <c r="AK280" i="40"/>
  <c r="AI280" i="40"/>
  <c r="AG280" i="40"/>
  <c r="AE280" i="40"/>
  <c r="AC280" i="40"/>
  <c r="AA280" i="40"/>
  <c r="Y280" i="40"/>
  <c r="W280" i="40"/>
  <c r="U280" i="40"/>
  <c r="S280" i="40"/>
  <c r="Q280" i="40"/>
  <c r="O280" i="40"/>
  <c r="M280" i="40"/>
  <c r="K280" i="40"/>
  <c r="I280" i="40"/>
  <c r="G280" i="40"/>
  <c r="E280" i="40"/>
  <c r="AQ279" i="40"/>
  <c r="AO279" i="40"/>
  <c r="AM279" i="40"/>
  <c r="AK279" i="40"/>
  <c r="AI279" i="40"/>
  <c r="AG279" i="40"/>
  <c r="AE279" i="40"/>
  <c r="AC279" i="40"/>
  <c r="AA279" i="40"/>
  <c r="Y279" i="40"/>
  <c r="W279" i="40"/>
  <c r="U279" i="40"/>
  <c r="S279" i="40"/>
  <c r="Q279" i="40"/>
  <c r="O279" i="40"/>
  <c r="M279" i="40"/>
  <c r="K279" i="40"/>
  <c r="I279" i="40"/>
  <c r="G279" i="40"/>
  <c r="E279" i="40"/>
  <c r="AQ278" i="40"/>
  <c r="AO278" i="40"/>
  <c r="AM278" i="40"/>
  <c r="AK278" i="40"/>
  <c r="AI278" i="40"/>
  <c r="AG278" i="40"/>
  <c r="AE278" i="40"/>
  <c r="AC278" i="40"/>
  <c r="AA278" i="40"/>
  <c r="Y278" i="40"/>
  <c r="W278" i="40"/>
  <c r="U278" i="40"/>
  <c r="S278" i="40"/>
  <c r="Q278" i="40"/>
  <c r="O278" i="40"/>
  <c r="M278" i="40"/>
  <c r="K278" i="40"/>
  <c r="I278" i="40"/>
  <c r="G278" i="40"/>
  <c r="E278" i="40"/>
  <c r="AQ277" i="40"/>
  <c r="AO277" i="40"/>
  <c r="AM277" i="40"/>
  <c r="AK277" i="40"/>
  <c r="AI277" i="40"/>
  <c r="AG277" i="40"/>
  <c r="AE277" i="40"/>
  <c r="AC277" i="40"/>
  <c r="AA277" i="40"/>
  <c r="Y277" i="40"/>
  <c r="W277" i="40"/>
  <c r="U277" i="40"/>
  <c r="S277" i="40"/>
  <c r="Q277" i="40"/>
  <c r="O277" i="40"/>
  <c r="M277" i="40"/>
  <c r="K277" i="40"/>
  <c r="I277" i="40"/>
  <c r="G277" i="40"/>
  <c r="E277" i="40"/>
  <c r="AQ276" i="40"/>
  <c r="AO276" i="40"/>
  <c r="AM276" i="40"/>
  <c r="AK276" i="40"/>
  <c r="AI276" i="40"/>
  <c r="AG276" i="40"/>
  <c r="AE276" i="40"/>
  <c r="AC276" i="40"/>
  <c r="AA276" i="40"/>
  <c r="Y276" i="40"/>
  <c r="W276" i="40"/>
  <c r="U276" i="40"/>
  <c r="S276" i="40"/>
  <c r="Q276" i="40"/>
  <c r="O276" i="40"/>
  <c r="M276" i="40"/>
  <c r="K276" i="40"/>
  <c r="I276" i="40"/>
  <c r="G276" i="40"/>
  <c r="E276" i="40"/>
  <c r="AQ275" i="40"/>
  <c r="AO275" i="40"/>
  <c r="AM275" i="40"/>
  <c r="AK275" i="40"/>
  <c r="AI275" i="40"/>
  <c r="AG275" i="40"/>
  <c r="AE275" i="40"/>
  <c r="AC275" i="40"/>
  <c r="AA275" i="40"/>
  <c r="Y275" i="40"/>
  <c r="W275" i="40"/>
  <c r="U275" i="40"/>
  <c r="S275" i="40"/>
  <c r="Q275" i="40"/>
  <c r="O275" i="40"/>
  <c r="M275" i="40"/>
  <c r="K275" i="40"/>
  <c r="I275" i="40"/>
  <c r="G275" i="40"/>
  <c r="E275" i="40"/>
  <c r="AQ274" i="40"/>
  <c r="AO274" i="40"/>
  <c r="AM274" i="40"/>
  <c r="AK274" i="40"/>
  <c r="AI274" i="40"/>
  <c r="AG274" i="40"/>
  <c r="AE274" i="40"/>
  <c r="AC274" i="40"/>
  <c r="AA274" i="40"/>
  <c r="Y274" i="40"/>
  <c r="W274" i="40"/>
  <c r="U274" i="40"/>
  <c r="S274" i="40"/>
  <c r="Q274" i="40"/>
  <c r="O274" i="40"/>
  <c r="M274" i="40"/>
  <c r="K274" i="40"/>
  <c r="I274" i="40"/>
  <c r="G274" i="40"/>
  <c r="E274" i="40"/>
  <c r="AQ273" i="40"/>
  <c r="AO273" i="40"/>
  <c r="AM273" i="40"/>
  <c r="AK273" i="40"/>
  <c r="AI273" i="40"/>
  <c r="AG273" i="40"/>
  <c r="AE273" i="40"/>
  <c r="AC273" i="40"/>
  <c r="AA273" i="40"/>
  <c r="Y273" i="40"/>
  <c r="W273" i="40"/>
  <c r="U273" i="40"/>
  <c r="S273" i="40"/>
  <c r="Q273" i="40"/>
  <c r="O273" i="40"/>
  <c r="M273" i="40"/>
  <c r="K273" i="40"/>
  <c r="I273" i="40"/>
  <c r="G273" i="40"/>
  <c r="E273" i="40"/>
  <c r="AQ272" i="40"/>
  <c r="AO272" i="40"/>
  <c r="AM272" i="40"/>
  <c r="AK272" i="40"/>
  <c r="AI272" i="40"/>
  <c r="AG272" i="40"/>
  <c r="AE272" i="40"/>
  <c r="AC272" i="40"/>
  <c r="AA272" i="40"/>
  <c r="Y272" i="40"/>
  <c r="W272" i="40"/>
  <c r="U272" i="40"/>
  <c r="S272" i="40"/>
  <c r="Q272" i="40"/>
  <c r="O272" i="40"/>
  <c r="M272" i="40"/>
  <c r="K272" i="40"/>
  <c r="I272" i="40"/>
  <c r="G272" i="40"/>
  <c r="E272" i="40"/>
  <c r="AQ271" i="40"/>
  <c r="AO271" i="40"/>
  <c r="AM271" i="40"/>
  <c r="AK271" i="40"/>
  <c r="AI271" i="40"/>
  <c r="AG271" i="40"/>
  <c r="AE271" i="40"/>
  <c r="AC271" i="40"/>
  <c r="AA271" i="40"/>
  <c r="Y271" i="40"/>
  <c r="W271" i="40"/>
  <c r="U271" i="40"/>
  <c r="S271" i="40"/>
  <c r="Q271" i="40"/>
  <c r="O271" i="40"/>
  <c r="M271" i="40"/>
  <c r="K271" i="40"/>
  <c r="I271" i="40"/>
  <c r="G271" i="40"/>
  <c r="E271" i="40"/>
  <c r="AQ270" i="40"/>
  <c r="AO270" i="40"/>
  <c r="AM270" i="40"/>
  <c r="AK270" i="40"/>
  <c r="AI270" i="40"/>
  <c r="AG270" i="40"/>
  <c r="AE270" i="40"/>
  <c r="AC270" i="40"/>
  <c r="AA270" i="40"/>
  <c r="Y270" i="40"/>
  <c r="W270" i="40"/>
  <c r="U270" i="40"/>
  <c r="S270" i="40"/>
  <c r="Q270" i="40"/>
  <c r="O270" i="40"/>
  <c r="M270" i="40"/>
  <c r="K270" i="40"/>
  <c r="I270" i="40"/>
  <c r="G270" i="40"/>
  <c r="E270" i="40"/>
  <c r="AQ269" i="40"/>
  <c r="AO269" i="40"/>
  <c r="AM269" i="40"/>
  <c r="AK269" i="40"/>
  <c r="AI269" i="40"/>
  <c r="AG269" i="40"/>
  <c r="AE269" i="40"/>
  <c r="AC269" i="40"/>
  <c r="AA269" i="40"/>
  <c r="Y269" i="40"/>
  <c r="W269" i="40"/>
  <c r="U269" i="40"/>
  <c r="S269" i="40"/>
  <c r="Q269" i="40"/>
  <c r="O269" i="40"/>
  <c r="M269" i="40"/>
  <c r="K269" i="40"/>
  <c r="I269" i="40"/>
  <c r="G269" i="40"/>
  <c r="E269" i="40"/>
  <c r="AQ268" i="40"/>
  <c r="AO268" i="40"/>
  <c r="AM268" i="40"/>
  <c r="AK268" i="40"/>
  <c r="AI268" i="40"/>
  <c r="AG268" i="40"/>
  <c r="AE268" i="40"/>
  <c r="AC268" i="40"/>
  <c r="AA268" i="40"/>
  <c r="Y268" i="40"/>
  <c r="W268" i="40"/>
  <c r="U268" i="40"/>
  <c r="S268" i="40"/>
  <c r="Q268" i="40"/>
  <c r="O268" i="40"/>
  <c r="M268" i="40"/>
  <c r="K268" i="40"/>
  <c r="I268" i="40"/>
  <c r="G268" i="40"/>
  <c r="E268" i="40"/>
  <c r="AQ267" i="40"/>
  <c r="AO267" i="40"/>
  <c r="AM267" i="40"/>
  <c r="AK267" i="40"/>
  <c r="AI267" i="40"/>
  <c r="AG267" i="40"/>
  <c r="AE267" i="40"/>
  <c r="AC267" i="40"/>
  <c r="AA267" i="40"/>
  <c r="Y267" i="40"/>
  <c r="W267" i="40"/>
  <c r="U267" i="40"/>
  <c r="S267" i="40"/>
  <c r="Q267" i="40"/>
  <c r="O267" i="40"/>
  <c r="M267" i="40"/>
  <c r="K267" i="40"/>
  <c r="I267" i="40"/>
  <c r="G267" i="40"/>
  <c r="E267" i="40"/>
  <c r="AQ266" i="40"/>
  <c r="AO266" i="40"/>
  <c r="AM266" i="40"/>
  <c r="AK266" i="40"/>
  <c r="AI266" i="40"/>
  <c r="AG266" i="40"/>
  <c r="AE266" i="40"/>
  <c r="AC266" i="40"/>
  <c r="AA266" i="40"/>
  <c r="Y266" i="40"/>
  <c r="W266" i="40"/>
  <c r="U266" i="40"/>
  <c r="S266" i="40"/>
  <c r="Q266" i="40"/>
  <c r="O266" i="40"/>
  <c r="M266" i="40"/>
  <c r="K266" i="40"/>
  <c r="I266" i="40"/>
  <c r="G266" i="40"/>
  <c r="E266" i="40"/>
  <c r="AQ265" i="40"/>
  <c r="AO265" i="40"/>
  <c r="AM265" i="40"/>
  <c r="AK265" i="40"/>
  <c r="AI265" i="40"/>
  <c r="AG265" i="40"/>
  <c r="AE265" i="40"/>
  <c r="AC265" i="40"/>
  <c r="AA265" i="40"/>
  <c r="Y265" i="40"/>
  <c r="W265" i="40"/>
  <c r="U265" i="40"/>
  <c r="S265" i="40"/>
  <c r="Q265" i="40"/>
  <c r="O265" i="40"/>
  <c r="M265" i="40"/>
  <c r="K265" i="40"/>
  <c r="I265" i="40"/>
  <c r="G265" i="40"/>
  <c r="E265" i="40"/>
  <c r="AQ264" i="40"/>
  <c r="AO264" i="40"/>
  <c r="AM264" i="40"/>
  <c r="AK264" i="40"/>
  <c r="AI264" i="40"/>
  <c r="AG264" i="40"/>
  <c r="AE264" i="40"/>
  <c r="AC264" i="40"/>
  <c r="AA264" i="40"/>
  <c r="Y264" i="40"/>
  <c r="W264" i="40"/>
  <c r="U264" i="40"/>
  <c r="S264" i="40"/>
  <c r="Q264" i="40"/>
  <c r="O264" i="40"/>
  <c r="M264" i="40"/>
  <c r="K264" i="40"/>
  <c r="I264" i="40"/>
  <c r="G264" i="40"/>
  <c r="E264" i="40"/>
  <c r="AQ263" i="40"/>
  <c r="AO263" i="40"/>
  <c r="AM263" i="40"/>
  <c r="AK263" i="40"/>
  <c r="AI263" i="40"/>
  <c r="AG263" i="40"/>
  <c r="AE263" i="40"/>
  <c r="AC263" i="40"/>
  <c r="AA263" i="40"/>
  <c r="Y263" i="40"/>
  <c r="W263" i="40"/>
  <c r="U263" i="40"/>
  <c r="S263" i="40"/>
  <c r="Q263" i="40"/>
  <c r="O263" i="40"/>
  <c r="M263" i="40"/>
  <c r="K263" i="40"/>
  <c r="I263" i="40"/>
  <c r="G263" i="40"/>
  <c r="E263" i="40"/>
  <c r="AQ262" i="40"/>
  <c r="AO262" i="40"/>
  <c r="AM262" i="40"/>
  <c r="AK262" i="40"/>
  <c r="AI262" i="40"/>
  <c r="AG262" i="40"/>
  <c r="AE262" i="40"/>
  <c r="AC262" i="40"/>
  <c r="AA262" i="40"/>
  <c r="Y262" i="40"/>
  <c r="W262" i="40"/>
  <c r="U262" i="40"/>
  <c r="S262" i="40"/>
  <c r="Q262" i="40"/>
  <c r="O262" i="40"/>
  <c r="M262" i="40"/>
  <c r="K262" i="40"/>
  <c r="I262" i="40"/>
  <c r="G262" i="40"/>
  <c r="E262" i="40"/>
  <c r="AQ261" i="40"/>
  <c r="AO261" i="40"/>
  <c r="AM261" i="40"/>
  <c r="AK261" i="40"/>
  <c r="AI261" i="40"/>
  <c r="AG261" i="40"/>
  <c r="AE261" i="40"/>
  <c r="AC261" i="40"/>
  <c r="AA261" i="40"/>
  <c r="Y261" i="40"/>
  <c r="W261" i="40"/>
  <c r="U261" i="40"/>
  <c r="S261" i="40"/>
  <c r="Q261" i="40"/>
  <c r="O261" i="40"/>
  <c r="M261" i="40"/>
  <c r="K261" i="40"/>
  <c r="I261" i="40"/>
  <c r="G261" i="40"/>
  <c r="E261" i="40"/>
  <c r="AQ260" i="40"/>
  <c r="AO260" i="40"/>
  <c r="AM260" i="40"/>
  <c r="AK260" i="40"/>
  <c r="AI260" i="40"/>
  <c r="AG260" i="40"/>
  <c r="AE260" i="40"/>
  <c r="AC260" i="40"/>
  <c r="AA260" i="40"/>
  <c r="Y260" i="40"/>
  <c r="W260" i="40"/>
  <c r="U260" i="40"/>
  <c r="S260" i="40"/>
  <c r="Q260" i="40"/>
  <c r="O260" i="40"/>
  <c r="M260" i="40"/>
  <c r="K260" i="40"/>
  <c r="I260" i="40"/>
  <c r="G260" i="40"/>
  <c r="E260" i="40"/>
  <c r="AQ259" i="40"/>
  <c r="AO259" i="40"/>
  <c r="AM259" i="40"/>
  <c r="AK259" i="40"/>
  <c r="AI259" i="40"/>
  <c r="AG259" i="40"/>
  <c r="AE259" i="40"/>
  <c r="AC259" i="40"/>
  <c r="AA259" i="40"/>
  <c r="Y259" i="40"/>
  <c r="W259" i="40"/>
  <c r="U259" i="40"/>
  <c r="S259" i="40"/>
  <c r="Q259" i="40"/>
  <c r="O259" i="40"/>
  <c r="M259" i="40"/>
  <c r="K259" i="40"/>
  <c r="I259" i="40"/>
  <c r="G259" i="40"/>
  <c r="E259" i="40"/>
  <c r="AQ258" i="40"/>
  <c r="AO258" i="40"/>
  <c r="AM258" i="40"/>
  <c r="AK258" i="40"/>
  <c r="AI258" i="40"/>
  <c r="AG258" i="40"/>
  <c r="AE258" i="40"/>
  <c r="AC258" i="40"/>
  <c r="AA258" i="40"/>
  <c r="Y258" i="40"/>
  <c r="W258" i="40"/>
  <c r="U258" i="40"/>
  <c r="S258" i="40"/>
  <c r="Q258" i="40"/>
  <c r="O258" i="40"/>
  <c r="M258" i="40"/>
  <c r="K258" i="40"/>
  <c r="I258" i="40"/>
  <c r="G258" i="40"/>
  <c r="E258" i="40"/>
  <c r="AQ257" i="40"/>
  <c r="AO257" i="40"/>
  <c r="AM257" i="40"/>
  <c r="AK257" i="40"/>
  <c r="AI257" i="40"/>
  <c r="AG257" i="40"/>
  <c r="AE257" i="40"/>
  <c r="AC257" i="40"/>
  <c r="AA257" i="40"/>
  <c r="Y257" i="40"/>
  <c r="W257" i="40"/>
  <c r="U257" i="40"/>
  <c r="S257" i="40"/>
  <c r="Q257" i="40"/>
  <c r="O257" i="40"/>
  <c r="M257" i="40"/>
  <c r="K257" i="40"/>
  <c r="I257" i="40"/>
  <c r="G257" i="40"/>
  <c r="E257" i="40"/>
  <c r="AQ256" i="40"/>
  <c r="AO256" i="40"/>
  <c r="AM256" i="40"/>
  <c r="AK256" i="40"/>
  <c r="AI256" i="40"/>
  <c r="AG256" i="40"/>
  <c r="AE256" i="40"/>
  <c r="AC256" i="40"/>
  <c r="AA256" i="40"/>
  <c r="Y256" i="40"/>
  <c r="W256" i="40"/>
  <c r="U256" i="40"/>
  <c r="S256" i="40"/>
  <c r="Q256" i="40"/>
  <c r="O256" i="40"/>
  <c r="M256" i="40"/>
  <c r="K256" i="40"/>
  <c r="I256" i="40"/>
  <c r="G256" i="40"/>
  <c r="E256" i="40"/>
  <c r="AQ255" i="40"/>
  <c r="AO255" i="40"/>
  <c r="AM255" i="40"/>
  <c r="AK255" i="40"/>
  <c r="AI255" i="40"/>
  <c r="AG255" i="40"/>
  <c r="AE255" i="40"/>
  <c r="AC255" i="40"/>
  <c r="AA255" i="40"/>
  <c r="Y255" i="40"/>
  <c r="W255" i="40"/>
  <c r="U255" i="40"/>
  <c r="S255" i="40"/>
  <c r="Q255" i="40"/>
  <c r="O255" i="40"/>
  <c r="M255" i="40"/>
  <c r="K255" i="40"/>
  <c r="I255" i="40"/>
  <c r="G255" i="40"/>
  <c r="E255" i="40"/>
  <c r="AQ254" i="40"/>
  <c r="AO254" i="40"/>
  <c r="AM254" i="40"/>
  <c r="AK254" i="40"/>
  <c r="AI254" i="40"/>
  <c r="AG254" i="40"/>
  <c r="AE254" i="40"/>
  <c r="AC254" i="40"/>
  <c r="AA254" i="40"/>
  <c r="Y254" i="40"/>
  <c r="W254" i="40"/>
  <c r="U254" i="40"/>
  <c r="S254" i="40"/>
  <c r="Q254" i="40"/>
  <c r="O254" i="40"/>
  <c r="M254" i="40"/>
  <c r="K254" i="40"/>
  <c r="I254" i="40"/>
  <c r="G254" i="40"/>
  <c r="E254" i="40"/>
  <c r="AQ253" i="40"/>
  <c r="AO253" i="40"/>
  <c r="AM253" i="40"/>
  <c r="AK253" i="40"/>
  <c r="AI253" i="40"/>
  <c r="AG253" i="40"/>
  <c r="AE253" i="40"/>
  <c r="AC253" i="40"/>
  <c r="AA253" i="40"/>
  <c r="Y253" i="40"/>
  <c r="W253" i="40"/>
  <c r="U253" i="40"/>
  <c r="S253" i="40"/>
  <c r="Q253" i="40"/>
  <c r="O253" i="40"/>
  <c r="M253" i="40"/>
  <c r="K253" i="40"/>
  <c r="I253" i="40"/>
  <c r="G253" i="40"/>
  <c r="E253" i="40"/>
  <c r="AQ252" i="40"/>
  <c r="AO252" i="40"/>
  <c r="AM252" i="40"/>
  <c r="AK252" i="40"/>
  <c r="AI252" i="40"/>
  <c r="AG252" i="40"/>
  <c r="AE252" i="40"/>
  <c r="AC252" i="40"/>
  <c r="AA252" i="40"/>
  <c r="Y252" i="40"/>
  <c r="W252" i="40"/>
  <c r="U252" i="40"/>
  <c r="S252" i="40"/>
  <c r="Q252" i="40"/>
  <c r="O252" i="40"/>
  <c r="M252" i="40"/>
  <c r="K252" i="40"/>
  <c r="I252" i="40"/>
  <c r="G252" i="40"/>
  <c r="E252" i="40"/>
  <c r="AQ251" i="40"/>
  <c r="AO251" i="40"/>
  <c r="AM251" i="40"/>
  <c r="AK251" i="40"/>
  <c r="AI251" i="40"/>
  <c r="AG251" i="40"/>
  <c r="AE251" i="40"/>
  <c r="AC251" i="40"/>
  <c r="AA251" i="40"/>
  <c r="Y251" i="40"/>
  <c r="W251" i="40"/>
  <c r="U251" i="40"/>
  <c r="S251" i="40"/>
  <c r="Q251" i="40"/>
  <c r="O251" i="40"/>
  <c r="M251" i="40"/>
  <c r="K251" i="40"/>
  <c r="I251" i="40"/>
  <c r="G251" i="40"/>
  <c r="E251" i="40"/>
  <c r="AQ250" i="40"/>
  <c r="AO250" i="40"/>
  <c r="AM250" i="40"/>
  <c r="AK250" i="40"/>
  <c r="AI250" i="40"/>
  <c r="AG250" i="40"/>
  <c r="AE250" i="40"/>
  <c r="AC250" i="40"/>
  <c r="AA250" i="40"/>
  <c r="Y250" i="40"/>
  <c r="W250" i="40"/>
  <c r="U250" i="40"/>
  <c r="S250" i="40"/>
  <c r="Q250" i="40"/>
  <c r="O250" i="40"/>
  <c r="M250" i="40"/>
  <c r="K250" i="40"/>
  <c r="I250" i="40"/>
  <c r="G250" i="40"/>
  <c r="E250" i="40"/>
  <c r="AQ249" i="40"/>
  <c r="AO249" i="40"/>
  <c r="AM249" i="40"/>
  <c r="AK249" i="40"/>
  <c r="AI249" i="40"/>
  <c r="AG249" i="40"/>
  <c r="AE249" i="40"/>
  <c r="AC249" i="40"/>
  <c r="AA249" i="40"/>
  <c r="Y249" i="40"/>
  <c r="W249" i="40"/>
  <c r="U249" i="40"/>
  <c r="S249" i="40"/>
  <c r="Q249" i="40"/>
  <c r="O249" i="40"/>
  <c r="M249" i="40"/>
  <c r="K249" i="40"/>
  <c r="I249" i="40"/>
  <c r="G249" i="40"/>
  <c r="E249" i="40"/>
  <c r="AQ248" i="40"/>
  <c r="AO248" i="40"/>
  <c r="AM248" i="40"/>
  <c r="AK248" i="40"/>
  <c r="AI248" i="40"/>
  <c r="AG248" i="40"/>
  <c r="AE248" i="40"/>
  <c r="AC248" i="40"/>
  <c r="AA248" i="40"/>
  <c r="Y248" i="40"/>
  <c r="W248" i="40"/>
  <c r="U248" i="40"/>
  <c r="S248" i="40"/>
  <c r="Q248" i="40"/>
  <c r="O248" i="40"/>
  <c r="M248" i="40"/>
  <c r="K248" i="40"/>
  <c r="I248" i="40"/>
  <c r="G248" i="40"/>
  <c r="E248" i="40"/>
  <c r="AQ247" i="40"/>
  <c r="AO247" i="40"/>
  <c r="AM247" i="40"/>
  <c r="AK247" i="40"/>
  <c r="AI247" i="40"/>
  <c r="AG247" i="40"/>
  <c r="AE247" i="40"/>
  <c r="AC247" i="40"/>
  <c r="AA247" i="40"/>
  <c r="Y247" i="40"/>
  <c r="W247" i="40"/>
  <c r="U247" i="40"/>
  <c r="S247" i="40"/>
  <c r="Q247" i="40"/>
  <c r="O247" i="40"/>
  <c r="M247" i="40"/>
  <c r="K247" i="40"/>
  <c r="I247" i="40"/>
  <c r="G247" i="40"/>
  <c r="E247" i="40"/>
  <c r="AQ246" i="40"/>
  <c r="AO246" i="40"/>
  <c r="AM246" i="40"/>
  <c r="AK246" i="40"/>
  <c r="AI246" i="40"/>
  <c r="AG246" i="40"/>
  <c r="AE246" i="40"/>
  <c r="AC246" i="40"/>
  <c r="AA246" i="40"/>
  <c r="Y246" i="40"/>
  <c r="W246" i="40"/>
  <c r="U246" i="40"/>
  <c r="S246" i="40"/>
  <c r="Q246" i="40"/>
  <c r="O246" i="40"/>
  <c r="M246" i="40"/>
  <c r="K246" i="40"/>
  <c r="I246" i="40"/>
  <c r="G246" i="40"/>
  <c r="E246" i="40"/>
  <c r="AQ245" i="40"/>
  <c r="AO245" i="40"/>
  <c r="AM245" i="40"/>
  <c r="AK245" i="40"/>
  <c r="AI245" i="40"/>
  <c r="AG245" i="40"/>
  <c r="AE245" i="40"/>
  <c r="AC245" i="40"/>
  <c r="AA245" i="40"/>
  <c r="Y245" i="40"/>
  <c r="W245" i="40"/>
  <c r="U245" i="40"/>
  <c r="S245" i="40"/>
  <c r="Q245" i="40"/>
  <c r="O245" i="40"/>
  <c r="M245" i="40"/>
  <c r="K245" i="40"/>
  <c r="I245" i="40"/>
  <c r="G245" i="40"/>
  <c r="E245" i="40"/>
  <c r="AQ244" i="40"/>
  <c r="AO244" i="40"/>
  <c r="AM244" i="40"/>
  <c r="AK244" i="40"/>
  <c r="AI244" i="40"/>
  <c r="AG244" i="40"/>
  <c r="AE244" i="40"/>
  <c r="AC244" i="40"/>
  <c r="AA244" i="40"/>
  <c r="Y244" i="40"/>
  <c r="W244" i="40"/>
  <c r="U244" i="40"/>
  <c r="S244" i="40"/>
  <c r="Q244" i="40"/>
  <c r="O244" i="40"/>
  <c r="M244" i="40"/>
  <c r="K244" i="40"/>
  <c r="I244" i="40"/>
  <c r="G244" i="40"/>
  <c r="E244" i="40"/>
  <c r="AQ243" i="40"/>
  <c r="AO243" i="40"/>
  <c r="AM243" i="40"/>
  <c r="AK243" i="40"/>
  <c r="AI243" i="40"/>
  <c r="AG243" i="40"/>
  <c r="AE243" i="40"/>
  <c r="AC243" i="40"/>
  <c r="AA243" i="40"/>
  <c r="Y243" i="40"/>
  <c r="W243" i="40"/>
  <c r="U243" i="40"/>
  <c r="S243" i="40"/>
  <c r="Q243" i="40"/>
  <c r="O243" i="40"/>
  <c r="M243" i="40"/>
  <c r="K243" i="40"/>
  <c r="I243" i="40"/>
  <c r="G243" i="40"/>
  <c r="E243" i="40"/>
  <c r="AQ242" i="40"/>
  <c r="AO242" i="40"/>
  <c r="AM242" i="40"/>
  <c r="AK242" i="40"/>
  <c r="AI242" i="40"/>
  <c r="AG242" i="40"/>
  <c r="AE242" i="40"/>
  <c r="AC242" i="40"/>
  <c r="AA242" i="40"/>
  <c r="Y242" i="40"/>
  <c r="W242" i="40"/>
  <c r="U242" i="40"/>
  <c r="S242" i="40"/>
  <c r="Q242" i="40"/>
  <c r="O242" i="40"/>
  <c r="M242" i="40"/>
  <c r="K242" i="40"/>
  <c r="I242" i="40"/>
  <c r="G242" i="40"/>
  <c r="E242" i="40"/>
  <c r="AQ241" i="40"/>
  <c r="AO241" i="40"/>
  <c r="AM241" i="40"/>
  <c r="AK241" i="40"/>
  <c r="AI241" i="40"/>
  <c r="AG241" i="40"/>
  <c r="AE241" i="40"/>
  <c r="AC241" i="40"/>
  <c r="AA241" i="40"/>
  <c r="Y241" i="40"/>
  <c r="W241" i="40"/>
  <c r="U241" i="40"/>
  <c r="S241" i="40"/>
  <c r="Q241" i="40"/>
  <c r="O241" i="40"/>
  <c r="M241" i="40"/>
  <c r="K241" i="40"/>
  <c r="I241" i="40"/>
  <c r="G241" i="40"/>
  <c r="E241" i="40"/>
  <c r="AQ240" i="40"/>
  <c r="AO240" i="40"/>
  <c r="AM240" i="40"/>
  <c r="AK240" i="40"/>
  <c r="AI240" i="40"/>
  <c r="AG240" i="40"/>
  <c r="AE240" i="40"/>
  <c r="AC240" i="40"/>
  <c r="AA240" i="40"/>
  <c r="Y240" i="40"/>
  <c r="W240" i="40"/>
  <c r="U240" i="40"/>
  <c r="S240" i="40"/>
  <c r="Q240" i="40"/>
  <c r="O240" i="40"/>
  <c r="M240" i="40"/>
  <c r="K240" i="40"/>
  <c r="I240" i="40"/>
  <c r="G240" i="40"/>
  <c r="E240" i="40"/>
  <c r="AQ239" i="40"/>
  <c r="AO239" i="40"/>
  <c r="AM239" i="40"/>
  <c r="AK239" i="40"/>
  <c r="AI239" i="40"/>
  <c r="AG239" i="40"/>
  <c r="AE239" i="40"/>
  <c r="AC239" i="40"/>
  <c r="AA239" i="40"/>
  <c r="Y239" i="40"/>
  <c r="W239" i="40"/>
  <c r="U239" i="40"/>
  <c r="S239" i="40"/>
  <c r="Q239" i="40"/>
  <c r="O239" i="40"/>
  <c r="M239" i="40"/>
  <c r="K239" i="40"/>
  <c r="I239" i="40"/>
  <c r="G239" i="40"/>
  <c r="E239" i="40"/>
  <c r="AQ238" i="40"/>
  <c r="AO238" i="40"/>
  <c r="AM238" i="40"/>
  <c r="AK238" i="40"/>
  <c r="AI238" i="40"/>
  <c r="AG238" i="40"/>
  <c r="AE238" i="40"/>
  <c r="AC238" i="40"/>
  <c r="AA238" i="40"/>
  <c r="Y238" i="40"/>
  <c r="W238" i="40"/>
  <c r="U238" i="40"/>
  <c r="S238" i="40"/>
  <c r="Q238" i="40"/>
  <c r="O238" i="40"/>
  <c r="M238" i="40"/>
  <c r="K238" i="40"/>
  <c r="I238" i="40"/>
  <c r="G238" i="40"/>
  <c r="E238" i="40"/>
  <c r="AQ237" i="40"/>
  <c r="AO237" i="40"/>
  <c r="AM237" i="40"/>
  <c r="AK237" i="40"/>
  <c r="AI237" i="40"/>
  <c r="AG237" i="40"/>
  <c r="AE237" i="40"/>
  <c r="AC237" i="40"/>
  <c r="AA237" i="40"/>
  <c r="Y237" i="40"/>
  <c r="W237" i="40"/>
  <c r="U237" i="40"/>
  <c r="S237" i="40"/>
  <c r="Q237" i="40"/>
  <c r="O237" i="40"/>
  <c r="M237" i="40"/>
  <c r="K237" i="40"/>
  <c r="I237" i="40"/>
  <c r="G237" i="40"/>
  <c r="E237" i="40"/>
  <c r="AQ236" i="40"/>
  <c r="AO236" i="40"/>
  <c r="AM236" i="40"/>
  <c r="AK236" i="40"/>
  <c r="AI236" i="40"/>
  <c r="AG236" i="40"/>
  <c r="AE236" i="40"/>
  <c r="AC236" i="40"/>
  <c r="AA236" i="40"/>
  <c r="Y236" i="40"/>
  <c r="W236" i="40"/>
  <c r="U236" i="40"/>
  <c r="S236" i="40"/>
  <c r="Q236" i="40"/>
  <c r="O236" i="40"/>
  <c r="M236" i="40"/>
  <c r="K236" i="40"/>
  <c r="I236" i="40"/>
  <c r="G236" i="40"/>
  <c r="E236" i="40"/>
  <c r="AQ235" i="40"/>
  <c r="AO235" i="40"/>
  <c r="AM235" i="40"/>
  <c r="AK235" i="40"/>
  <c r="AI235" i="40"/>
  <c r="AG235" i="40"/>
  <c r="AE235" i="40"/>
  <c r="AC235" i="40"/>
  <c r="AA235" i="40"/>
  <c r="Y235" i="40"/>
  <c r="W235" i="40"/>
  <c r="U235" i="40"/>
  <c r="S235" i="40"/>
  <c r="Q235" i="40"/>
  <c r="O235" i="40"/>
  <c r="M235" i="40"/>
  <c r="K235" i="40"/>
  <c r="I235" i="40"/>
  <c r="G235" i="40"/>
  <c r="E235" i="40"/>
  <c r="AQ234" i="40"/>
  <c r="AO234" i="40"/>
  <c r="AM234" i="40"/>
  <c r="AK234" i="40"/>
  <c r="AI234" i="40"/>
  <c r="AG234" i="40"/>
  <c r="AE234" i="40"/>
  <c r="AC234" i="40"/>
  <c r="AA234" i="40"/>
  <c r="Y234" i="40"/>
  <c r="W234" i="40"/>
  <c r="U234" i="40"/>
  <c r="S234" i="40"/>
  <c r="Q234" i="40"/>
  <c r="O234" i="40"/>
  <c r="M234" i="40"/>
  <c r="K234" i="40"/>
  <c r="I234" i="40"/>
  <c r="G234" i="40"/>
  <c r="E234" i="40"/>
  <c r="AQ233" i="40"/>
  <c r="AO233" i="40"/>
  <c r="AM233" i="40"/>
  <c r="AK233" i="40"/>
  <c r="AI233" i="40"/>
  <c r="AG233" i="40"/>
  <c r="AE233" i="40"/>
  <c r="AC233" i="40"/>
  <c r="AA233" i="40"/>
  <c r="Y233" i="40"/>
  <c r="W233" i="40"/>
  <c r="U233" i="40"/>
  <c r="S233" i="40"/>
  <c r="Q233" i="40"/>
  <c r="O233" i="40"/>
  <c r="M233" i="40"/>
  <c r="K233" i="40"/>
  <c r="I233" i="40"/>
  <c r="G233" i="40"/>
  <c r="E233" i="40"/>
  <c r="AQ232" i="40"/>
  <c r="AO232" i="40"/>
  <c r="AM232" i="40"/>
  <c r="AK232" i="40"/>
  <c r="AI232" i="40"/>
  <c r="AG232" i="40"/>
  <c r="AE232" i="40"/>
  <c r="AC232" i="40"/>
  <c r="AA232" i="40"/>
  <c r="Y232" i="40"/>
  <c r="W232" i="40"/>
  <c r="U232" i="40"/>
  <c r="S232" i="40"/>
  <c r="Q232" i="40"/>
  <c r="O232" i="40"/>
  <c r="M232" i="40"/>
  <c r="K232" i="40"/>
  <c r="I232" i="40"/>
  <c r="G232" i="40"/>
  <c r="E232" i="40"/>
  <c r="AQ231" i="40"/>
  <c r="AO231" i="40"/>
  <c r="AM231" i="40"/>
  <c r="AK231" i="40"/>
  <c r="AI231" i="40"/>
  <c r="AG231" i="40"/>
  <c r="AE231" i="40"/>
  <c r="AC231" i="40"/>
  <c r="AA231" i="40"/>
  <c r="Y231" i="40"/>
  <c r="W231" i="40"/>
  <c r="U231" i="40"/>
  <c r="S231" i="40"/>
  <c r="Q231" i="40"/>
  <c r="O231" i="40"/>
  <c r="M231" i="40"/>
  <c r="K231" i="40"/>
  <c r="I231" i="40"/>
  <c r="G231" i="40"/>
  <c r="E231" i="40"/>
  <c r="AQ230" i="40"/>
  <c r="AO230" i="40"/>
  <c r="AM230" i="40"/>
  <c r="AK230" i="40"/>
  <c r="AI230" i="40"/>
  <c r="AG230" i="40"/>
  <c r="AE230" i="40"/>
  <c r="AC230" i="40"/>
  <c r="AA230" i="40"/>
  <c r="Y230" i="40"/>
  <c r="W230" i="40"/>
  <c r="U230" i="40"/>
  <c r="S230" i="40"/>
  <c r="Q230" i="40"/>
  <c r="O230" i="40"/>
  <c r="M230" i="40"/>
  <c r="K230" i="40"/>
  <c r="I230" i="40"/>
  <c r="G230" i="40"/>
  <c r="E230" i="40"/>
  <c r="AQ229" i="40"/>
  <c r="AO229" i="40"/>
  <c r="AM229" i="40"/>
  <c r="AK229" i="40"/>
  <c r="AI229" i="40"/>
  <c r="AG229" i="40"/>
  <c r="AE229" i="40"/>
  <c r="AC229" i="40"/>
  <c r="AA229" i="40"/>
  <c r="Y229" i="40"/>
  <c r="W229" i="40"/>
  <c r="U229" i="40"/>
  <c r="S229" i="40"/>
  <c r="Q229" i="40"/>
  <c r="O229" i="40"/>
  <c r="M229" i="40"/>
  <c r="K229" i="40"/>
  <c r="I229" i="40"/>
  <c r="G229" i="40"/>
  <c r="E229" i="40"/>
  <c r="AQ228" i="40"/>
  <c r="AO228" i="40"/>
  <c r="AM228" i="40"/>
  <c r="AK228" i="40"/>
  <c r="AI228" i="40"/>
  <c r="AG228" i="40"/>
  <c r="AE228" i="40"/>
  <c r="AC228" i="40"/>
  <c r="AA228" i="40"/>
  <c r="Y228" i="40"/>
  <c r="W228" i="40"/>
  <c r="U228" i="40"/>
  <c r="S228" i="40"/>
  <c r="Q228" i="40"/>
  <c r="O228" i="40"/>
  <c r="M228" i="40"/>
  <c r="K228" i="40"/>
  <c r="I228" i="40"/>
  <c r="G228" i="40"/>
  <c r="E228" i="40"/>
  <c r="AQ227" i="40"/>
  <c r="AO227" i="40"/>
  <c r="AM227" i="40"/>
  <c r="AK227" i="40"/>
  <c r="AI227" i="40"/>
  <c r="AG227" i="40"/>
  <c r="AE227" i="40"/>
  <c r="AC227" i="40"/>
  <c r="AA227" i="40"/>
  <c r="Y227" i="40"/>
  <c r="W227" i="40"/>
  <c r="U227" i="40"/>
  <c r="S227" i="40"/>
  <c r="Q227" i="40"/>
  <c r="O227" i="40"/>
  <c r="M227" i="40"/>
  <c r="K227" i="40"/>
  <c r="I227" i="40"/>
  <c r="G227" i="40"/>
  <c r="E227" i="40"/>
  <c r="AQ226" i="40"/>
  <c r="AO226" i="40"/>
  <c r="AM226" i="40"/>
  <c r="AK226" i="40"/>
  <c r="AI226" i="40"/>
  <c r="AG226" i="40"/>
  <c r="AE226" i="40"/>
  <c r="AC226" i="40"/>
  <c r="AA226" i="40"/>
  <c r="Y226" i="40"/>
  <c r="W226" i="40"/>
  <c r="U226" i="40"/>
  <c r="S226" i="40"/>
  <c r="Q226" i="40"/>
  <c r="O226" i="40"/>
  <c r="M226" i="40"/>
  <c r="K226" i="40"/>
  <c r="I226" i="40"/>
  <c r="G226" i="40"/>
  <c r="E226" i="40"/>
  <c r="AQ225" i="40"/>
  <c r="AO225" i="40"/>
  <c r="AM225" i="40"/>
  <c r="AK225" i="40"/>
  <c r="AI225" i="40"/>
  <c r="AG225" i="40"/>
  <c r="AE225" i="40"/>
  <c r="AC225" i="40"/>
  <c r="AA225" i="40"/>
  <c r="Y225" i="40"/>
  <c r="W225" i="40"/>
  <c r="U225" i="40"/>
  <c r="S225" i="40"/>
  <c r="Q225" i="40"/>
  <c r="O225" i="40"/>
  <c r="M225" i="40"/>
  <c r="K225" i="40"/>
  <c r="I225" i="40"/>
  <c r="G225" i="40"/>
  <c r="E225" i="40"/>
  <c r="AQ224" i="40"/>
  <c r="AO224" i="40"/>
  <c r="AM224" i="40"/>
  <c r="AK224" i="40"/>
  <c r="AI224" i="40"/>
  <c r="AG224" i="40"/>
  <c r="AE224" i="40"/>
  <c r="AC224" i="40"/>
  <c r="AA224" i="40"/>
  <c r="Y224" i="40"/>
  <c r="W224" i="40"/>
  <c r="U224" i="40"/>
  <c r="S224" i="40"/>
  <c r="Q224" i="40"/>
  <c r="O224" i="40"/>
  <c r="M224" i="40"/>
  <c r="K224" i="40"/>
  <c r="I224" i="40"/>
  <c r="G224" i="40"/>
  <c r="E224" i="40"/>
  <c r="AQ223" i="40"/>
  <c r="AO223" i="40"/>
  <c r="AM223" i="40"/>
  <c r="AK223" i="40"/>
  <c r="AI223" i="40"/>
  <c r="AG223" i="40"/>
  <c r="AE223" i="40"/>
  <c r="AC223" i="40"/>
  <c r="AA223" i="40"/>
  <c r="Y223" i="40"/>
  <c r="W223" i="40"/>
  <c r="U223" i="40"/>
  <c r="S223" i="40"/>
  <c r="Q223" i="40"/>
  <c r="O223" i="40"/>
  <c r="M223" i="40"/>
  <c r="K223" i="40"/>
  <c r="I223" i="40"/>
  <c r="G223" i="40"/>
  <c r="E223" i="40"/>
  <c r="AQ222" i="40"/>
  <c r="AO222" i="40"/>
  <c r="AM222" i="40"/>
  <c r="AK222" i="40"/>
  <c r="AI222" i="40"/>
  <c r="AG222" i="40"/>
  <c r="AE222" i="40"/>
  <c r="AC222" i="40"/>
  <c r="AA222" i="40"/>
  <c r="Y222" i="40"/>
  <c r="W222" i="40"/>
  <c r="U222" i="40"/>
  <c r="S222" i="40"/>
  <c r="Q222" i="40"/>
  <c r="O222" i="40"/>
  <c r="M222" i="40"/>
  <c r="K222" i="40"/>
  <c r="I222" i="40"/>
  <c r="G222" i="40"/>
  <c r="E222" i="40"/>
  <c r="AQ221" i="40"/>
  <c r="AO221" i="40"/>
  <c r="AM221" i="40"/>
  <c r="AK221" i="40"/>
  <c r="AI221" i="40"/>
  <c r="AG221" i="40"/>
  <c r="AE221" i="40"/>
  <c r="AC221" i="40"/>
  <c r="AA221" i="40"/>
  <c r="Y221" i="40"/>
  <c r="W221" i="40"/>
  <c r="U221" i="40"/>
  <c r="S221" i="40"/>
  <c r="Q221" i="40"/>
  <c r="O221" i="40"/>
  <c r="M221" i="40"/>
  <c r="K221" i="40"/>
  <c r="I221" i="40"/>
  <c r="G221" i="40"/>
  <c r="E221" i="40"/>
  <c r="AQ220" i="40"/>
  <c r="AO220" i="40"/>
  <c r="AM220" i="40"/>
  <c r="AK220" i="40"/>
  <c r="AI220" i="40"/>
  <c r="AG220" i="40"/>
  <c r="AE220" i="40"/>
  <c r="AC220" i="40"/>
  <c r="AA220" i="40"/>
  <c r="Y220" i="40"/>
  <c r="W220" i="40"/>
  <c r="U220" i="40"/>
  <c r="S220" i="40"/>
  <c r="Q220" i="40"/>
  <c r="O220" i="40"/>
  <c r="M220" i="40"/>
  <c r="K220" i="40"/>
  <c r="I220" i="40"/>
  <c r="G220" i="40"/>
  <c r="E220" i="40"/>
  <c r="AQ219" i="40"/>
  <c r="AO219" i="40"/>
  <c r="AM219" i="40"/>
  <c r="AK219" i="40"/>
  <c r="AI219" i="40"/>
  <c r="AG219" i="40"/>
  <c r="AE219" i="40"/>
  <c r="AC219" i="40"/>
  <c r="AA219" i="40"/>
  <c r="Y219" i="40"/>
  <c r="W219" i="40"/>
  <c r="U219" i="40"/>
  <c r="S219" i="40"/>
  <c r="Q219" i="40"/>
  <c r="O219" i="40"/>
  <c r="M219" i="40"/>
  <c r="K219" i="40"/>
  <c r="I219" i="40"/>
  <c r="G219" i="40"/>
  <c r="E219" i="40"/>
  <c r="AQ218" i="40"/>
  <c r="AO218" i="40"/>
  <c r="AM218" i="40"/>
  <c r="AK218" i="40"/>
  <c r="AI218" i="40"/>
  <c r="AG218" i="40"/>
  <c r="AE218" i="40"/>
  <c r="AC218" i="40"/>
  <c r="AA218" i="40"/>
  <c r="Y218" i="40"/>
  <c r="W218" i="40"/>
  <c r="U218" i="40"/>
  <c r="S218" i="40"/>
  <c r="Q218" i="40"/>
  <c r="O218" i="40"/>
  <c r="M218" i="40"/>
  <c r="K218" i="40"/>
  <c r="I218" i="40"/>
  <c r="G218" i="40"/>
  <c r="E218" i="40"/>
  <c r="AQ217" i="40"/>
  <c r="AO217" i="40"/>
  <c r="AM217" i="40"/>
  <c r="AK217" i="40"/>
  <c r="AI217" i="40"/>
  <c r="AG217" i="40"/>
  <c r="AE217" i="40"/>
  <c r="AC217" i="40"/>
  <c r="AA217" i="40"/>
  <c r="Y217" i="40"/>
  <c r="W217" i="40"/>
  <c r="U217" i="40"/>
  <c r="S217" i="40"/>
  <c r="Q217" i="40"/>
  <c r="O217" i="40"/>
  <c r="M217" i="40"/>
  <c r="K217" i="40"/>
  <c r="I217" i="40"/>
  <c r="G217" i="40"/>
  <c r="E217" i="40"/>
  <c r="AQ216" i="40"/>
  <c r="AO216" i="40"/>
  <c r="AM216" i="40"/>
  <c r="AK216" i="40"/>
  <c r="AI216" i="40"/>
  <c r="AG216" i="40"/>
  <c r="AE216" i="40"/>
  <c r="AC216" i="40"/>
  <c r="AA216" i="40"/>
  <c r="Y216" i="40"/>
  <c r="W216" i="40"/>
  <c r="U216" i="40"/>
  <c r="S216" i="40"/>
  <c r="Q216" i="40"/>
  <c r="O216" i="40"/>
  <c r="M216" i="40"/>
  <c r="K216" i="40"/>
  <c r="I216" i="40"/>
  <c r="G216" i="40"/>
  <c r="E216" i="40"/>
  <c r="AQ215" i="40"/>
  <c r="AO215" i="40"/>
  <c r="AM215" i="40"/>
  <c r="AK215" i="40"/>
  <c r="AI215" i="40"/>
  <c r="AG215" i="40"/>
  <c r="AE215" i="40"/>
  <c r="AC215" i="40"/>
  <c r="AA215" i="40"/>
  <c r="Y215" i="40"/>
  <c r="W215" i="40"/>
  <c r="U215" i="40"/>
  <c r="S215" i="40"/>
  <c r="Q215" i="40"/>
  <c r="O215" i="40"/>
  <c r="M215" i="40"/>
  <c r="K215" i="40"/>
  <c r="I215" i="40"/>
  <c r="G215" i="40"/>
  <c r="E215" i="40"/>
  <c r="AQ214" i="40"/>
  <c r="AO214" i="40"/>
  <c r="AM214" i="40"/>
  <c r="AK214" i="40"/>
  <c r="AI214" i="40"/>
  <c r="AG214" i="40"/>
  <c r="AE214" i="40"/>
  <c r="AC214" i="40"/>
  <c r="AA214" i="40"/>
  <c r="Y214" i="40"/>
  <c r="W214" i="40"/>
  <c r="U214" i="40"/>
  <c r="S214" i="40"/>
  <c r="Q214" i="40"/>
  <c r="O214" i="40"/>
  <c r="M214" i="40"/>
  <c r="K214" i="40"/>
  <c r="I214" i="40"/>
  <c r="G214" i="40"/>
  <c r="E214" i="40"/>
  <c r="AQ213" i="40"/>
  <c r="AO213" i="40"/>
  <c r="AM213" i="40"/>
  <c r="AK213" i="40"/>
  <c r="AI213" i="40"/>
  <c r="AG213" i="40"/>
  <c r="AE213" i="40"/>
  <c r="AC213" i="40"/>
  <c r="AA213" i="40"/>
  <c r="Y213" i="40"/>
  <c r="W213" i="40"/>
  <c r="U213" i="40"/>
  <c r="S213" i="40"/>
  <c r="Q213" i="40"/>
  <c r="O213" i="40"/>
  <c r="M213" i="40"/>
  <c r="K213" i="40"/>
  <c r="I213" i="40"/>
  <c r="G213" i="40"/>
  <c r="E213" i="40"/>
  <c r="AQ212" i="40"/>
  <c r="AO212" i="40"/>
  <c r="AM212" i="40"/>
  <c r="AK212" i="40"/>
  <c r="AI212" i="40"/>
  <c r="AG212" i="40"/>
  <c r="AE212" i="40"/>
  <c r="AC212" i="40"/>
  <c r="AA212" i="40"/>
  <c r="Y212" i="40"/>
  <c r="W212" i="40"/>
  <c r="U212" i="40"/>
  <c r="S212" i="40"/>
  <c r="Q212" i="40"/>
  <c r="O212" i="40"/>
  <c r="M212" i="40"/>
  <c r="K212" i="40"/>
  <c r="I212" i="40"/>
  <c r="G212" i="40"/>
  <c r="E212" i="40"/>
  <c r="AQ211" i="40"/>
  <c r="AO211" i="40"/>
  <c r="AM211" i="40"/>
  <c r="AK211" i="40"/>
  <c r="AI211" i="40"/>
  <c r="AG211" i="40"/>
  <c r="AE211" i="40"/>
  <c r="AC211" i="40"/>
  <c r="AA211" i="40"/>
  <c r="Y211" i="40"/>
  <c r="W211" i="40"/>
  <c r="U211" i="40"/>
  <c r="S211" i="40"/>
  <c r="Q211" i="40"/>
  <c r="O211" i="40"/>
  <c r="M211" i="40"/>
  <c r="K211" i="40"/>
  <c r="I211" i="40"/>
  <c r="G211" i="40"/>
  <c r="E211" i="40"/>
  <c r="AQ210" i="40"/>
  <c r="AO210" i="40"/>
  <c r="AM210" i="40"/>
  <c r="AK210" i="40"/>
  <c r="AI210" i="40"/>
  <c r="AG210" i="40"/>
  <c r="AE210" i="40"/>
  <c r="AC210" i="40"/>
  <c r="AA210" i="40"/>
  <c r="Y210" i="40"/>
  <c r="W210" i="40"/>
  <c r="U210" i="40"/>
  <c r="S210" i="40"/>
  <c r="Q210" i="40"/>
  <c r="O210" i="40"/>
  <c r="M210" i="40"/>
  <c r="K210" i="40"/>
  <c r="I210" i="40"/>
  <c r="G210" i="40"/>
  <c r="E210" i="40"/>
  <c r="AQ209" i="40"/>
  <c r="AO209" i="40"/>
  <c r="AM209" i="40"/>
  <c r="AK209" i="40"/>
  <c r="AI209" i="40"/>
  <c r="AG209" i="40"/>
  <c r="AE209" i="40"/>
  <c r="AC209" i="40"/>
  <c r="AA209" i="40"/>
  <c r="Y209" i="40"/>
  <c r="W209" i="40"/>
  <c r="U209" i="40"/>
  <c r="S209" i="40"/>
  <c r="Q209" i="40"/>
  <c r="O209" i="40"/>
  <c r="M209" i="40"/>
  <c r="K209" i="40"/>
  <c r="I209" i="40"/>
  <c r="G209" i="40"/>
  <c r="E209" i="40"/>
  <c r="AQ208" i="40"/>
  <c r="AO208" i="40"/>
  <c r="AM208" i="40"/>
  <c r="AK208" i="40"/>
  <c r="AI208" i="40"/>
  <c r="AG208" i="40"/>
  <c r="AE208" i="40"/>
  <c r="AC208" i="40"/>
  <c r="AA208" i="40"/>
  <c r="Y208" i="40"/>
  <c r="W208" i="40"/>
  <c r="U208" i="40"/>
  <c r="S208" i="40"/>
  <c r="Q208" i="40"/>
  <c r="O208" i="40"/>
  <c r="M208" i="40"/>
  <c r="K208" i="40"/>
  <c r="I208" i="40"/>
  <c r="G208" i="40"/>
  <c r="E208" i="40"/>
  <c r="AQ207" i="40"/>
  <c r="AO207" i="40"/>
  <c r="AM207" i="40"/>
  <c r="AK207" i="40"/>
  <c r="AI207" i="40"/>
  <c r="AG207" i="40"/>
  <c r="AE207" i="40"/>
  <c r="AC207" i="40"/>
  <c r="AA207" i="40"/>
  <c r="Y207" i="40"/>
  <c r="W207" i="40"/>
  <c r="U207" i="40"/>
  <c r="S207" i="40"/>
  <c r="Q207" i="40"/>
  <c r="O207" i="40"/>
  <c r="M207" i="40"/>
  <c r="K207" i="40"/>
  <c r="I207" i="40"/>
  <c r="G207" i="40"/>
  <c r="E207" i="40"/>
  <c r="AQ206" i="40"/>
  <c r="AO206" i="40"/>
  <c r="AM206" i="40"/>
  <c r="AK206" i="40"/>
  <c r="AI206" i="40"/>
  <c r="AG206" i="40"/>
  <c r="AE206" i="40"/>
  <c r="AC206" i="40"/>
  <c r="AA206" i="40"/>
  <c r="Y206" i="40"/>
  <c r="W206" i="40"/>
  <c r="U206" i="40"/>
  <c r="S206" i="40"/>
  <c r="Q206" i="40"/>
  <c r="O206" i="40"/>
  <c r="M206" i="40"/>
  <c r="K206" i="40"/>
  <c r="I206" i="40"/>
  <c r="G206" i="40"/>
  <c r="E206" i="40"/>
  <c r="AQ205" i="40"/>
  <c r="AO205" i="40"/>
  <c r="AM205" i="40"/>
  <c r="AK205" i="40"/>
  <c r="AI205" i="40"/>
  <c r="AG205" i="40"/>
  <c r="AE205" i="40"/>
  <c r="AC205" i="40"/>
  <c r="AA205" i="40"/>
  <c r="Y205" i="40"/>
  <c r="W205" i="40"/>
  <c r="U205" i="40"/>
  <c r="S205" i="40"/>
  <c r="Q205" i="40"/>
  <c r="O205" i="40"/>
  <c r="M205" i="40"/>
  <c r="K205" i="40"/>
  <c r="I205" i="40"/>
  <c r="G205" i="40"/>
  <c r="E205" i="40"/>
  <c r="AQ204" i="40"/>
  <c r="AO204" i="40"/>
  <c r="AM204" i="40"/>
  <c r="AK204" i="40"/>
  <c r="AI204" i="40"/>
  <c r="AG204" i="40"/>
  <c r="AE204" i="40"/>
  <c r="AC204" i="40"/>
  <c r="AA204" i="40"/>
  <c r="Y204" i="40"/>
  <c r="W204" i="40"/>
  <c r="U204" i="40"/>
  <c r="S204" i="40"/>
  <c r="Q204" i="40"/>
  <c r="O204" i="40"/>
  <c r="M204" i="40"/>
  <c r="K204" i="40"/>
  <c r="I204" i="40"/>
  <c r="G204" i="40"/>
  <c r="E204" i="40"/>
  <c r="AQ203" i="40"/>
  <c r="AO203" i="40"/>
  <c r="AM203" i="40"/>
  <c r="AK203" i="40"/>
  <c r="AI203" i="40"/>
  <c r="AG203" i="40"/>
  <c r="AE203" i="40"/>
  <c r="AC203" i="40"/>
  <c r="AA203" i="40"/>
  <c r="Y203" i="40"/>
  <c r="W203" i="40"/>
  <c r="U203" i="40"/>
  <c r="S203" i="40"/>
  <c r="Q203" i="40"/>
  <c r="O203" i="40"/>
  <c r="M203" i="40"/>
  <c r="K203" i="40"/>
  <c r="I203" i="40"/>
  <c r="G203" i="40"/>
  <c r="E203" i="40"/>
  <c r="AQ202" i="40"/>
  <c r="AO202" i="40"/>
  <c r="AM202" i="40"/>
  <c r="AK202" i="40"/>
  <c r="AI202" i="40"/>
  <c r="AG202" i="40"/>
  <c r="AE202" i="40"/>
  <c r="AC202" i="40"/>
  <c r="AA202" i="40"/>
  <c r="Y202" i="40"/>
  <c r="W202" i="40"/>
  <c r="U202" i="40"/>
  <c r="S202" i="40"/>
  <c r="Q202" i="40"/>
  <c r="O202" i="40"/>
  <c r="M202" i="40"/>
  <c r="K202" i="40"/>
  <c r="I202" i="40"/>
  <c r="G202" i="40"/>
  <c r="E202" i="40"/>
  <c r="AQ201" i="40"/>
  <c r="AO201" i="40"/>
  <c r="AM201" i="40"/>
  <c r="AK201" i="40"/>
  <c r="AI201" i="40"/>
  <c r="AG201" i="40"/>
  <c r="AE201" i="40"/>
  <c r="AC201" i="40"/>
  <c r="AA201" i="40"/>
  <c r="Y201" i="40"/>
  <c r="W201" i="40"/>
  <c r="U201" i="40"/>
  <c r="S201" i="40"/>
  <c r="Q201" i="40"/>
  <c r="O201" i="40"/>
  <c r="M201" i="40"/>
  <c r="K201" i="40"/>
  <c r="I201" i="40"/>
  <c r="G201" i="40"/>
  <c r="E201" i="40"/>
  <c r="AQ200" i="40"/>
  <c r="AO200" i="40"/>
  <c r="AM200" i="40"/>
  <c r="AK200" i="40"/>
  <c r="AI200" i="40"/>
  <c r="AG200" i="40"/>
  <c r="AE200" i="40"/>
  <c r="AC200" i="40"/>
  <c r="AA200" i="40"/>
  <c r="Y200" i="40"/>
  <c r="W200" i="40"/>
  <c r="U200" i="40"/>
  <c r="S200" i="40"/>
  <c r="Q200" i="40"/>
  <c r="O200" i="40"/>
  <c r="M200" i="40"/>
  <c r="K200" i="40"/>
  <c r="I200" i="40"/>
  <c r="G200" i="40"/>
  <c r="E200" i="40"/>
  <c r="AQ199" i="40"/>
  <c r="AO199" i="40"/>
  <c r="AM199" i="40"/>
  <c r="AK199" i="40"/>
  <c r="AI199" i="40"/>
  <c r="AG199" i="40"/>
  <c r="AE199" i="40"/>
  <c r="AC199" i="40"/>
  <c r="AA199" i="40"/>
  <c r="Y199" i="40"/>
  <c r="W199" i="40"/>
  <c r="U199" i="40"/>
  <c r="S199" i="40"/>
  <c r="Q199" i="40"/>
  <c r="O199" i="40"/>
  <c r="M199" i="40"/>
  <c r="K199" i="40"/>
  <c r="I199" i="40"/>
  <c r="G199" i="40"/>
  <c r="E199" i="40"/>
  <c r="AQ198" i="40"/>
  <c r="AO198" i="40"/>
  <c r="AM198" i="40"/>
  <c r="AK198" i="40"/>
  <c r="AI198" i="40"/>
  <c r="AG198" i="40"/>
  <c r="AE198" i="40"/>
  <c r="AC198" i="40"/>
  <c r="AA198" i="40"/>
  <c r="Y198" i="40"/>
  <c r="W198" i="40"/>
  <c r="U198" i="40"/>
  <c r="S198" i="40"/>
  <c r="Q198" i="40"/>
  <c r="O198" i="40"/>
  <c r="M198" i="40"/>
  <c r="K198" i="40"/>
  <c r="I198" i="40"/>
  <c r="G198" i="40"/>
  <c r="E198" i="40"/>
  <c r="AQ197" i="40"/>
  <c r="AO197" i="40"/>
  <c r="AM197" i="40"/>
  <c r="AK197" i="40"/>
  <c r="AI197" i="40"/>
  <c r="AG197" i="40"/>
  <c r="AE197" i="40"/>
  <c r="AC197" i="40"/>
  <c r="AA197" i="40"/>
  <c r="Y197" i="40"/>
  <c r="W197" i="40"/>
  <c r="U197" i="40"/>
  <c r="S197" i="40"/>
  <c r="Q197" i="40"/>
  <c r="O197" i="40"/>
  <c r="M197" i="40"/>
  <c r="K197" i="40"/>
  <c r="I197" i="40"/>
  <c r="G197" i="40"/>
  <c r="E197" i="40"/>
  <c r="AQ196" i="40"/>
  <c r="AO196" i="40"/>
  <c r="AM196" i="40"/>
  <c r="AK196" i="40"/>
  <c r="AI196" i="40"/>
  <c r="AG196" i="40"/>
  <c r="AE196" i="40"/>
  <c r="AC196" i="40"/>
  <c r="AA196" i="40"/>
  <c r="Y196" i="40"/>
  <c r="W196" i="40"/>
  <c r="U196" i="40"/>
  <c r="S196" i="40"/>
  <c r="Q196" i="40"/>
  <c r="O196" i="40"/>
  <c r="M196" i="40"/>
  <c r="K196" i="40"/>
  <c r="I196" i="40"/>
  <c r="G196" i="40"/>
  <c r="E196" i="40"/>
  <c r="AQ195" i="40"/>
  <c r="AO195" i="40"/>
  <c r="AM195" i="40"/>
  <c r="AK195" i="40"/>
  <c r="AI195" i="40"/>
  <c r="AG195" i="40"/>
  <c r="AE195" i="40"/>
  <c r="AC195" i="40"/>
  <c r="AA195" i="40"/>
  <c r="Y195" i="40"/>
  <c r="W195" i="40"/>
  <c r="U195" i="40"/>
  <c r="S195" i="40"/>
  <c r="Q195" i="40"/>
  <c r="O195" i="40"/>
  <c r="M195" i="40"/>
  <c r="K195" i="40"/>
  <c r="I195" i="40"/>
  <c r="G195" i="40"/>
  <c r="E195" i="40"/>
  <c r="AQ194" i="40"/>
  <c r="AO194" i="40"/>
  <c r="AM194" i="40"/>
  <c r="AK194" i="40"/>
  <c r="AI194" i="40"/>
  <c r="AG194" i="40"/>
  <c r="AE194" i="40"/>
  <c r="AC194" i="40"/>
  <c r="AA194" i="40"/>
  <c r="Y194" i="40"/>
  <c r="W194" i="40"/>
  <c r="U194" i="40"/>
  <c r="S194" i="40"/>
  <c r="Q194" i="40"/>
  <c r="O194" i="40"/>
  <c r="M194" i="40"/>
  <c r="K194" i="40"/>
  <c r="I194" i="40"/>
  <c r="G194" i="40"/>
  <c r="E194" i="40"/>
  <c r="AQ193" i="40"/>
  <c r="AO193" i="40"/>
  <c r="AM193" i="40"/>
  <c r="AK193" i="40"/>
  <c r="AI193" i="40"/>
  <c r="AG193" i="40"/>
  <c r="AE193" i="40"/>
  <c r="AC193" i="40"/>
  <c r="AA193" i="40"/>
  <c r="Y193" i="40"/>
  <c r="W193" i="40"/>
  <c r="U193" i="40"/>
  <c r="S193" i="40"/>
  <c r="Q193" i="40"/>
  <c r="O193" i="40"/>
  <c r="M193" i="40"/>
  <c r="K193" i="40"/>
  <c r="I193" i="40"/>
  <c r="G193" i="40"/>
  <c r="E193" i="40"/>
  <c r="AQ192" i="40"/>
  <c r="AO192" i="40"/>
  <c r="AM192" i="40"/>
  <c r="AK192" i="40"/>
  <c r="AI192" i="40"/>
  <c r="AG192" i="40"/>
  <c r="AE192" i="40"/>
  <c r="AC192" i="40"/>
  <c r="AA192" i="40"/>
  <c r="Y192" i="40"/>
  <c r="W192" i="40"/>
  <c r="U192" i="40"/>
  <c r="S192" i="40"/>
  <c r="Q192" i="40"/>
  <c r="O192" i="40"/>
  <c r="M192" i="40"/>
  <c r="K192" i="40"/>
  <c r="I192" i="40"/>
  <c r="G192" i="40"/>
  <c r="E192" i="40"/>
  <c r="AQ191" i="40"/>
  <c r="AO191" i="40"/>
  <c r="AM191" i="40"/>
  <c r="AK191" i="40"/>
  <c r="AI191" i="40"/>
  <c r="AG191" i="40"/>
  <c r="AE191" i="40"/>
  <c r="AC191" i="40"/>
  <c r="AA191" i="40"/>
  <c r="Y191" i="40"/>
  <c r="W191" i="40"/>
  <c r="U191" i="40"/>
  <c r="S191" i="40"/>
  <c r="Q191" i="40"/>
  <c r="O191" i="40"/>
  <c r="M191" i="40"/>
  <c r="K191" i="40"/>
  <c r="I191" i="40"/>
  <c r="G191" i="40"/>
  <c r="E191" i="40"/>
  <c r="AQ190" i="40"/>
  <c r="AO190" i="40"/>
  <c r="AM190" i="40"/>
  <c r="AK190" i="40"/>
  <c r="AI190" i="40"/>
  <c r="AG190" i="40"/>
  <c r="AE190" i="40"/>
  <c r="AC190" i="40"/>
  <c r="AA190" i="40"/>
  <c r="Y190" i="40"/>
  <c r="W190" i="40"/>
  <c r="U190" i="40"/>
  <c r="S190" i="40"/>
  <c r="Q190" i="40"/>
  <c r="O190" i="40"/>
  <c r="M190" i="40"/>
  <c r="K190" i="40"/>
  <c r="I190" i="40"/>
  <c r="G190" i="40"/>
  <c r="E190" i="40"/>
  <c r="AQ189" i="40"/>
  <c r="AO189" i="40"/>
  <c r="AM189" i="40"/>
  <c r="AK189" i="40"/>
  <c r="AI189" i="40"/>
  <c r="AG189" i="40"/>
  <c r="AE189" i="40"/>
  <c r="AC189" i="40"/>
  <c r="AA189" i="40"/>
  <c r="Y189" i="40"/>
  <c r="W189" i="40"/>
  <c r="U189" i="40"/>
  <c r="S189" i="40"/>
  <c r="Q189" i="40"/>
  <c r="O189" i="40"/>
  <c r="M189" i="40"/>
  <c r="K189" i="40"/>
  <c r="I189" i="40"/>
  <c r="G189" i="40"/>
  <c r="E189" i="40"/>
  <c r="AQ188" i="40"/>
  <c r="AO188" i="40"/>
  <c r="AM188" i="40"/>
  <c r="AK188" i="40"/>
  <c r="AI188" i="40"/>
  <c r="AG188" i="40"/>
  <c r="AE188" i="40"/>
  <c r="AC188" i="40"/>
  <c r="AA188" i="40"/>
  <c r="Y188" i="40"/>
  <c r="W188" i="40"/>
  <c r="U188" i="40"/>
  <c r="S188" i="40"/>
  <c r="Q188" i="40"/>
  <c r="O188" i="40"/>
  <c r="M188" i="40"/>
  <c r="K188" i="40"/>
  <c r="I188" i="40"/>
  <c r="G188" i="40"/>
  <c r="E188" i="40"/>
  <c r="AQ187" i="40"/>
  <c r="AO187" i="40"/>
  <c r="AM187" i="40"/>
  <c r="AK187" i="40"/>
  <c r="AI187" i="40"/>
  <c r="AG187" i="40"/>
  <c r="AE187" i="40"/>
  <c r="AC187" i="40"/>
  <c r="AA187" i="40"/>
  <c r="Y187" i="40"/>
  <c r="W187" i="40"/>
  <c r="U187" i="40"/>
  <c r="S187" i="40"/>
  <c r="Q187" i="40"/>
  <c r="O187" i="40"/>
  <c r="M187" i="40"/>
  <c r="K187" i="40"/>
  <c r="I187" i="40"/>
  <c r="G187" i="40"/>
  <c r="E187" i="40"/>
  <c r="AQ186" i="40"/>
  <c r="AO186" i="40"/>
  <c r="AM186" i="40"/>
  <c r="AK186" i="40"/>
  <c r="AI186" i="40"/>
  <c r="AG186" i="40"/>
  <c r="AE186" i="40"/>
  <c r="AC186" i="40"/>
  <c r="AA186" i="40"/>
  <c r="Y186" i="40"/>
  <c r="W186" i="40"/>
  <c r="U186" i="40"/>
  <c r="S186" i="40"/>
  <c r="Q186" i="40"/>
  <c r="O186" i="40"/>
  <c r="M186" i="40"/>
  <c r="K186" i="40"/>
  <c r="I186" i="40"/>
  <c r="G186" i="40"/>
  <c r="E186" i="40"/>
  <c r="AQ185" i="40"/>
  <c r="AO185" i="40"/>
  <c r="AM185" i="40"/>
  <c r="AK185" i="40"/>
  <c r="AI185" i="40"/>
  <c r="AG185" i="40"/>
  <c r="AE185" i="40"/>
  <c r="AC185" i="40"/>
  <c r="AA185" i="40"/>
  <c r="Y185" i="40"/>
  <c r="W185" i="40"/>
  <c r="U185" i="40"/>
  <c r="S185" i="40"/>
  <c r="Q185" i="40"/>
  <c r="O185" i="40"/>
  <c r="M185" i="40"/>
  <c r="K185" i="40"/>
  <c r="I185" i="40"/>
  <c r="G185" i="40"/>
  <c r="E185" i="40"/>
  <c r="AQ184" i="40"/>
  <c r="AO184" i="40"/>
  <c r="AM184" i="40"/>
  <c r="AK184" i="40"/>
  <c r="AI184" i="40"/>
  <c r="AG184" i="40"/>
  <c r="AE184" i="40"/>
  <c r="AC184" i="40"/>
  <c r="AA184" i="40"/>
  <c r="Y184" i="40"/>
  <c r="W184" i="40"/>
  <c r="U184" i="40"/>
  <c r="S184" i="40"/>
  <c r="Q184" i="40"/>
  <c r="O184" i="40"/>
  <c r="M184" i="40"/>
  <c r="K184" i="40"/>
  <c r="I184" i="40"/>
  <c r="G184" i="40"/>
  <c r="E184" i="40"/>
  <c r="AQ183" i="40"/>
  <c r="AO183" i="40"/>
  <c r="AM183" i="40"/>
  <c r="AK183" i="40"/>
  <c r="AI183" i="40"/>
  <c r="AG183" i="40"/>
  <c r="AE183" i="40"/>
  <c r="AC183" i="40"/>
  <c r="AA183" i="40"/>
  <c r="Y183" i="40"/>
  <c r="W183" i="40"/>
  <c r="U183" i="40"/>
  <c r="S183" i="40"/>
  <c r="Q183" i="40"/>
  <c r="O183" i="40"/>
  <c r="M183" i="40"/>
  <c r="K183" i="40"/>
  <c r="I183" i="40"/>
  <c r="G183" i="40"/>
  <c r="E183" i="40"/>
  <c r="AQ182" i="40"/>
  <c r="AO182" i="40"/>
  <c r="AM182" i="40"/>
  <c r="AK182" i="40"/>
  <c r="AI182" i="40"/>
  <c r="AG182" i="40"/>
  <c r="AE182" i="40"/>
  <c r="AC182" i="40"/>
  <c r="AA182" i="40"/>
  <c r="Y182" i="40"/>
  <c r="W182" i="40"/>
  <c r="U182" i="40"/>
  <c r="S182" i="40"/>
  <c r="Q182" i="40"/>
  <c r="O182" i="40"/>
  <c r="M182" i="40"/>
  <c r="K182" i="40"/>
  <c r="I182" i="40"/>
  <c r="G182" i="40"/>
  <c r="E182" i="40"/>
  <c r="AQ181" i="40"/>
  <c r="AO181" i="40"/>
  <c r="AM181" i="40"/>
  <c r="AK181" i="40"/>
  <c r="AI181" i="40"/>
  <c r="AG181" i="40"/>
  <c r="AE181" i="40"/>
  <c r="AC181" i="40"/>
  <c r="AA181" i="40"/>
  <c r="Y181" i="40"/>
  <c r="W181" i="40"/>
  <c r="U181" i="40"/>
  <c r="S181" i="40"/>
  <c r="Q181" i="40"/>
  <c r="O181" i="40"/>
  <c r="M181" i="40"/>
  <c r="K181" i="40"/>
  <c r="I181" i="40"/>
  <c r="G181" i="40"/>
  <c r="E181" i="40"/>
  <c r="AQ180" i="40"/>
  <c r="AO180" i="40"/>
  <c r="AM180" i="40"/>
  <c r="AK180" i="40"/>
  <c r="AI180" i="40"/>
  <c r="AG180" i="40"/>
  <c r="AE180" i="40"/>
  <c r="AC180" i="40"/>
  <c r="AA180" i="40"/>
  <c r="Y180" i="40"/>
  <c r="W180" i="40"/>
  <c r="U180" i="40"/>
  <c r="S180" i="40"/>
  <c r="Q180" i="40"/>
  <c r="O180" i="40"/>
  <c r="M180" i="40"/>
  <c r="K180" i="40"/>
  <c r="I180" i="40"/>
  <c r="G180" i="40"/>
  <c r="E180" i="40"/>
  <c r="AQ179" i="40"/>
  <c r="AO179" i="40"/>
  <c r="AM179" i="40"/>
  <c r="AK179" i="40"/>
  <c r="AI179" i="40"/>
  <c r="AG179" i="40"/>
  <c r="AE179" i="40"/>
  <c r="AC179" i="40"/>
  <c r="AA179" i="40"/>
  <c r="Y179" i="40"/>
  <c r="W179" i="40"/>
  <c r="U179" i="40"/>
  <c r="S179" i="40"/>
  <c r="Q179" i="40"/>
  <c r="O179" i="40"/>
  <c r="M179" i="40"/>
  <c r="K179" i="40"/>
  <c r="I179" i="40"/>
  <c r="G179" i="40"/>
  <c r="E179" i="40"/>
  <c r="AQ178" i="40"/>
  <c r="AO178" i="40"/>
  <c r="AM178" i="40"/>
  <c r="AK178" i="40"/>
  <c r="AI178" i="40"/>
  <c r="AG178" i="40"/>
  <c r="AE178" i="40"/>
  <c r="AC178" i="40"/>
  <c r="AA178" i="40"/>
  <c r="Y178" i="40"/>
  <c r="W178" i="40"/>
  <c r="U178" i="40"/>
  <c r="S178" i="40"/>
  <c r="Q178" i="40"/>
  <c r="O178" i="40"/>
  <c r="M178" i="40"/>
  <c r="K178" i="40"/>
  <c r="I178" i="40"/>
  <c r="G178" i="40"/>
  <c r="E178" i="40"/>
  <c r="AQ177" i="40"/>
  <c r="AO177" i="40"/>
  <c r="AM177" i="40"/>
  <c r="AK177" i="40"/>
  <c r="AI177" i="40"/>
  <c r="AG177" i="40"/>
  <c r="AE177" i="40"/>
  <c r="AC177" i="40"/>
  <c r="AA177" i="40"/>
  <c r="Y177" i="40"/>
  <c r="W177" i="40"/>
  <c r="U177" i="40"/>
  <c r="S177" i="40"/>
  <c r="Q177" i="40"/>
  <c r="O177" i="40"/>
  <c r="M177" i="40"/>
  <c r="K177" i="40"/>
  <c r="I177" i="40"/>
  <c r="G177" i="40"/>
  <c r="E177" i="40"/>
  <c r="AQ176" i="40"/>
  <c r="AO176" i="40"/>
  <c r="AM176" i="40"/>
  <c r="AK176" i="40"/>
  <c r="AI176" i="40"/>
  <c r="AG176" i="40"/>
  <c r="AE176" i="40"/>
  <c r="AC176" i="40"/>
  <c r="AA176" i="40"/>
  <c r="Y176" i="40"/>
  <c r="W176" i="40"/>
  <c r="U176" i="40"/>
  <c r="S176" i="40"/>
  <c r="Q176" i="40"/>
  <c r="O176" i="40"/>
  <c r="M176" i="40"/>
  <c r="K176" i="40"/>
  <c r="I176" i="40"/>
  <c r="G176" i="40"/>
  <c r="E176" i="40"/>
  <c r="AQ175" i="40"/>
  <c r="AO175" i="40"/>
  <c r="AM175" i="40"/>
  <c r="AK175" i="40"/>
  <c r="AI175" i="40"/>
  <c r="AG175" i="40"/>
  <c r="AE175" i="40"/>
  <c r="AC175" i="40"/>
  <c r="AA175" i="40"/>
  <c r="Y175" i="40"/>
  <c r="W175" i="40"/>
  <c r="U175" i="40"/>
  <c r="S175" i="40"/>
  <c r="Q175" i="40"/>
  <c r="O175" i="40"/>
  <c r="M175" i="40"/>
  <c r="K175" i="40"/>
  <c r="I175" i="40"/>
  <c r="G175" i="40"/>
  <c r="E175" i="40"/>
  <c r="AQ174" i="40"/>
  <c r="AO174" i="40"/>
  <c r="AM174" i="40"/>
  <c r="AK174" i="40"/>
  <c r="AI174" i="40"/>
  <c r="AG174" i="40"/>
  <c r="AE174" i="40"/>
  <c r="AC174" i="40"/>
  <c r="AA174" i="40"/>
  <c r="Y174" i="40"/>
  <c r="W174" i="40"/>
  <c r="U174" i="40"/>
  <c r="S174" i="40"/>
  <c r="Q174" i="40"/>
  <c r="O174" i="40"/>
  <c r="M174" i="40"/>
  <c r="K174" i="40"/>
  <c r="I174" i="40"/>
  <c r="G174" i="40"/>
  <c r="E174" i="40"/>
  <c r="AQ173" i="40"/>
  <c r="AO173" i="40"/>
  <c r="AM173" i="40"/>
  <c r="AK173" i="40"/>
  <c r="AI173" i="40"/>
  <c r="AG173" i="40"/>
  <c r="AE173" i="40"/>
  <c r="AC173" i="40"/>
  <c r="AA173" i="40"/>
  <c r="Y173" i="40"/>
  <c r="W173" i="40"/>
  <c r="U173" i="40"/>
  <c r="S173" i="40"/>
  <c r="Q173" i="40"/>
  <c r="O173" i="40"/>
  <c r="M173" i="40"/>
  <c r="K173" i="40"/>
  <c r="I173" i="40"/>
  <c r="G173" i="40"/>
  <c r="E173" i="40"/>
  <c r="AQ172" i="40"/>
  <c r="AO172" i="40"/>
  <c r="AM172" i="40"/>
  <c r="AK172" i="40"/>
  <c r="AI172" i="40"/>
  <c r="AG172" i="40"/>
  <c r="AE172" i="40"/>
  <c r="AC172" i="40"/>
  <c r="AA172" i="40"/>
  <c r="Y172" i="40"/>
  <c r="W172" i="40"/>
  <c r="U172" i="40"/>
  <c r="S172" i="40"/>
  <c r="Q172" i="40"/>
  <c r="O172" i="40"/>
  <c r="M172" i="40"/>
  <c r="K172" i="40"/>
  <c r="I172" i="40"/>
  <c r="G172" i="40"/>
  <c r="E172" i="40"/>
  <c r="AQ171" i="40"/>
  <c r="AO171" i="40"/>
  <c r="AM171" i="40"/>
  <c r="AK171" i="40"/>
  <c r="AI171" i="40"/>
  <c r="AG171" i="40"/>
  <c r="AE171" i="40"/>
  <c r="AC171" i="40"/>
  <c r="AA171" i="40"/>
  <c r="Y171" i="40"/>
  <c r="W171" i="40"/>
  <c r="U171" i="40"/>
  <c r="S171" i="40"/>
  <c r="Q171" i="40"/>
  <c r="O171" i="40"/>
  <c r="M171" i="40"/>
  <c r="K171" i="40"/>
  <c r="I171" i="40"/>
  <c r="G171" i="40"/>
  <c r="E171" i="40"/>
  <c r="AQ170" i="40"/>
  <c r="AO170" i="40"/>
  <c r="AM170" i="40"/>
  <c r="AK170" i="40"/>
  <c r="AI170" i="40"/>
  <c r="AG170" i="40"/>
  <c r="AE170" i="40"/>
  <c r="AC170" i="40"/>
  <c r="AA170" i="40"/>
  <c r="Y170" i="40"/>
  <c r="W170" i="40"/>
  <c r="U170" i="40"/>
  <c r="S170" i="40"/>
  <c r="Q170" i="40"/>
  <c r="O170" i="40"/>
  <c r="M170" i="40"/>
  <c r="K170" i="40"/>
  <c r="I170" i="40"/>
  <c r="G170" i="40"/>
  <c r="E170" i="40"/>
  <c r="AQ169" i="40"/>
  <c r="AO169" i="40"/>
  <c r="AM169" i="40"/>
  <c r="AK169" i="40"/>
  <c r="AI169" i="40"/>
  <c r="AG169" i="40"/>
  <c r="AE169" i="40"/>
  <c r="AC169" i="40"/>
  <c r="AA169" i="40"/>
  <c r="Y169" i="40"/>
  <c r="W169" i="40"/>
  <c r="U169" i="40"/>
  <c r="S169" i="40"/>
  <c r="Q169" i="40"/>
  <c r="O169" i="40"/>
  <c r="M169" i="40"/>
  <c r="K169" i="40"/>
  <c r="I169" i="40"/>
  <c r="G169" i="40"/>
  <c r="E169" i="40"/>
  <c r="AQ168" i="40"/>
  <c r="AO168" i="40"/>
  <c r="AM168" i="40"/>
  <c r="AK168" i="40"/>
  <c r="AI168" i="40"/>
  <c r="AG168" i="40"/>
  <c r="AE168" i="40"/>
  <c r="AC168" i="40"/>
  <c r="AA168" i="40"/>
  <c r="Y168" i="40"/>
  <c r="W168" i="40"/>
  <c r="U168" i="40"/>
  <c r="S168" i="40"/>
  <c r="Q168" i="40"/>
  <c r="O168" i="40"/>
  <c r="M168" i="40"/>
  <c r="K168" i="40"/>
  <c r="I168" i="40"/>
  <c r="G168" i="40"/>
  <c r="E168" i="40"/>
  <c r="AQ167" i="40"/>
  <c r="AO167" i="40"/>
  <c r="AM167" i="40"/>
  <c r="AK167" i="40"/>
  <c r="AI167" i="40"/>
  <c r="AG167" i="40"/>
  <c r="AE167" i="40"/>
  <c r="AC167" i="40"/>
  <c r="AA167" i="40"/>
  <c r="Y167" i="40"/>
  <c r="W167" i="40"/>
  <c r="U167" i="40"/>
  <c r="S167" i="40"/>
  <c r="Q167" i="40"/>
  <c r="O167" i="40"/>
  <c r="M167" i="40"/>
  <c r="K167" i="40"/>
  <c r="I167" i="40"/>
  <c r="G167" i="40"/>
  <c r="E167" i="40"/>
  <c r="AQ166" i="40"/>
  <c r="AO166" i="40"/>
  <c r="AM166" i="40"/>
  <c r="AK166" i="40"/>
  <c r="AI166" i="40"/>
  <c r="AG166" i="40"/>
  <c r="AE166" i="40"/>
  <c r="AC166" i="40"/>
  <c r="AA166" i="40"/>
  <c r="Y166" i="40"/>
  <c r="W166" i="40"/>
  <c r="U166" i="40"/>
  <c r="S166" i="40"/>
  <c r="Q166" i="40"/>
  <c r="O166" i="40"/>
  <c r="M166" i="40"/>
  <c r="K166" i="40"/>
  <c r="I166" i="40"/>
  <c r="G166" i="40"/>
  <c r="E166" i="40"/>
  <c r="AQ165" i="40"/>
  <c r="AO165" i="40"/>
  <c r="AM165" i="40"/>
  <c r="AK165" i="40"/>
  <c r="AI165" i="40"/>
  <c r="AG165" i="40"/>
  <c r="AE165" i="40"/>
  <c r="AC165" i="40"/>
  <c r="AA165" i="40"/>
  <c r="Y165" i="40"/>
  <c r="W165" i="40"/>
  <c r="U165" i="40"/>
  <c r="S165" i="40"/>
  <c r="Q165" i="40"/>
  <c r="O165" i="40"/>
  <c r="M165" i="40"/>
  <c r="K165" i="40"/>
  <c r="I165" i="40"/>
  <c r="G165" i="40"/>
  <c r="E165" i="40"/>
  <c r="AQ164" i="40"/>
  <c r="AO164" i="40"/>
  <c r="AM164" i="40"/>
  <c r="AK164" i="40"/>
  <c r="AI164" i="40"/>
  <c r="AG164" i="40"/>
  <c r="AE164" i="40"/>
  <c r="AC164" i="40"/>
  <c r="AA164" i="40"/>
  <c r="Y164" i="40"/>
  <c r="W164" i="40"/>
  <c r="U164" i="40"/>
  <c r="S164" i="40"/>
  <c r="Q164" i="40"/>
  <c r="O164" i="40"/>
  <c r="M164" i="40"/>
  <c r="K164" i="40"/>
  <c r="I164" i="40"/>
  <c r="G164" i="40"/>
  <c r="E164" i="40"/>
  <c r="AQ163" i="40"/>
  <c r="AO163" i="40"/>
  <c r="AM163" i="40"/>
  <c r="AK163" i="40"/>
  <c r="AI163" i="40"/>
  <c r="AG163" i="40"/>
  <c r="AE163" i="40"/>
  <c r="AC163" i="40"/>
  <c r="AA163" i="40"/>
  <c r="Y163" i="40"/>
  <c r="W163" i="40"/>
  <c r="U163" i="40"/>
  <c r="S163" i="40"/>
  <c r="Q163" i="40"/>
  <c r="O163" i="40"/>
  <c r="M163" i="40"/>
  <c r="K163" i="40"/>
  <c r="I163" i="40"/>
  <c r="G163" i="40"/>
  <c r="E163" i="40"/>
  <c r="AQ162" i="40"/>
  <c r="AO162" i="40"/>
  <c r="AM162" i="40"/>
  <c r="AK162" i="40"/>
  <c r="AI162" i="40"/>
  <c r="AG162" i="40"/>
  <c r="AE162" i="40"/>
  <c r="AC162" i="40"/>
  <c r="AA162" i="40"/>
  <c r="Y162" i="40"/>
  <c r="W162" i="40"/>
  <c r="U162" i="40"/>
  <c r="S162" i="40"/>
  <c r="Q162" i="40"/>
  <c r="O162" i="40"/>
  <c r="M162" i="40"/>
  <c r="K162" i="40"/>
  <c r="I162" i="40"/>
  <c r="G162" i="40"/>
  <c r="E162" i="40"/>
  <c r="AQ161" i="40"/>
  <c r="AO161" i="40"/>
  <c r="AM161" i="40"/>
  <c r="AK161" i="40"/>
  <c r="AI161" i="40"/>
  <c r="AG161" i="40"/>
  <c r="AE161" i="40"/>
  <c r="AC161" i="40"/>
  <c r="AA161" i="40"/>
  <c r="Y161" i="40"/>
  <c r="W161" i="40"/>
  <c r="U161" i="40"/>
  <c r="S161" i="40"/>
  <c r="Q161" i="40"/>
  <c r="O161" i="40"/>
  <c r="M161" i="40"/>
  <c r="K161" i="40"/>
  <c r="I161" i="40"/>
  <c r="G161" i="40"/>
  <c r="E161" i="40"/>
  <c r="AQ160" i="40"/>
  <c r="AO160" i="40"/>
  <c r="AM160" i="40"/>
  <c r="AK160" i="40"/>
  <c r="AI160" i="40"/>
  <c r="AG160" i="40"/>
  <c r="AE160" i="40"/>
  <c r="AC160" i="40"/>
  <c r="AA160" i="40"/>
  <c r="Y160" i="40"/>
  <c r="W160" i="40"/>
  <c r="U160" i="40"/>
  <c r="S160" i="40"/>
  <c r="Q160" i="40"/>
  <c r="O160" i="40"/>
  <c r="M160" i="40"/>
  <c r="K160" i="40"/>
  <c r="I160" i="40"/>
  <c r="G160" i="40"/>
  <c r="E160" i="40"/>
  <c r="AQ159" i="40"/>
  <c r="AO159" i="40"/>
  <c r="AM159" i="40"/>
  <c r="AK159" i="40"/>
  <c r="AI159" i="40"/>
  <c r="AG159" i="40"/>
  <c r="AE159" i="40"/>
  <c r="AC159" i="40"/>
  <c r="AA159" i="40"/>
  <c r="Y159" i="40"/>
  <c r="W159" i="40"/>
  <c r="U159" i="40"/>
  <c r="S159" i="40"/>
  <c r="Q159" i="40"/>
  <c r="O159" i="40"/>
  <c r="M159" i="40"/>
  <c r="K159" i="40"/>
  <c r="I159" i="40"/>
  <c r="G159" i="40"/>
  <c r="E159" i="40"/>
  <c r="AQ158" i="40"/>
  <c r="AO158" i="40"/>
  <c r="AM158" i="40"/>
  <c r="AK158" i="40"/>
  <c r="AI158" i="40"/>
  <c r="AG158" i="40"/>
  <c r="AE158" i="40"/>
  <c r="AC158" i="40"/>
  <c r="AA158" i="40"/>
  <c r="Y158" i="40"/>
  <c r="W158" i="40"/>
  <c r="U158" i="40"/>
  <c r="S158" i="40"/>
  <c r="Q158" i="40"/>
  <c r="O158" i="40"/>
  <c r="M158" i="40"/>
  <c r="K158" i="40"/>
  <c r="I158" i="40"/>
  <c r="G158" i="40"/>
  <c r="E158" i="40"/>
  <c r="AQ157" i="40"/>
  <c r="AO157" i="40"/>
  <c r="AM157" i="40"/>
  <c r="AK157" i="40"/>
  <c r="AI157" i="40"/>
  <c r="AG157" i="40"/>
  <c r="AE157" i="40"/>
  <c r="AC157" i="40"/>
  <c r="AA157" i="40"/>
  <c r="Y157" i="40"/>
  <c r="W157" i="40"/>
  <c r="U157" i="40"/>
  <c r="S157" i="40"/>
  <c r="Q157" i="40"/>
  <c r="O157" i="40"/>
  <c r="M157" i="40"/>
  <c r="K157" i="40"/>
  <c r="I157" i="40"/>
  <c r="G157" i="40"/>
  <c r="E157" i="40"/>
  <c r="AQ156" i="40"/>
  <c r="AO156" i="40"/>
  <c r="AM156" i="40"/>
  <c r="AK156" i="40"/>
  <c r="AI156" i="40"/>
  <c r="AG156" i="40"/>
  <c r="AE156" i="40"/>
  <c r="AC156" i="40"/>
  <c r="AA156" i="40"/>
  <c r="Y156" i="40"/>
  <c r="W156" i="40"/>
  <c r="U156" i="40"/>
  <c r="S156" i="40"/>
  <c r="Q156" i="40"/>
  <c r="O156" i="40"/>
  <c r="M156" i="40"/>
  <c r="K156" i="40"/>
  <c r="I156" i="40"/>
  <c r="G156" i="40"/>
  <c r="E156" i="40"/>
  <c r="AQ155" i="40"/>
  <c r="AO155" i="40"/>
  <c r="AM155" i="40"/>
  <c r="AK155" i="40"/>
  <c r="AI155" i="40"/>
  <c r="AG155" i="40"/>
  <c r="AE155" i="40"/>
  <c r="AC155" i="40"/>
  <c r="AA155" i="40"/>
  <c r="Y155" i="40"/>
  <c r="W155" i="40"/>
  <c r="U155" i="40"/>
  <c r="S155" i="40"/>
  <c r="Q155" i="40"/>
  <c r="O155" i="40"/>
  <c r="M155" i="40"/>
  <c r="K155" i="40"/>
  <c r="I155" i="40"/>
  <c r="G155" i="40"/>
  <c r="E155" i="40"/>
  <c r="AQ154" i="40"/>
  <c r="AO154" i="40"/>
  <c r="AM154" i="40"/>
  <c r="AK154" i="40"/>
  <c r="AI154" i="40"/>
  <c r="AG154" i="40"/>
  <c r="AE154" i="40"/>
  <c r="AC154" i="40"/>
  <c r="AA154" i="40"/>
  <c r="Y154" i="40"/>
  <c r="W154" i="40"/>
  <c r="U154" i="40"/>
  <c r="S154" i="40"/>
  <c r="Q154" i="40"/>
  <c r="O154" i="40"/>
  <c r="M154" i="40"/>
  <c r="K154" i="40"/>
  <c r="I154" i="40"/>
  <c r="G154" i="40"/>
  <c r="E154" i="40"/>
  <c r="AQ153" i="40"/>
  <c r="AO153" i="40"/>
  <c r="AM153" i="40"/>
  <c r="AK153" i="40"/>
  <c r="AI153" i="40"/>
  <c r="AG153" i="40"/>
  <c r="AE153" i="40"/>
  <c r="AC153" i="40"/>
  <c r="AA153" i="40"/>
  <c r="Y153" i="40"/>
  <c r="W153" i="40"/>
  <c r="U153" i="40"/>
  <c r="S153" i="40"/>
  <c r="Q153" i="40"/>
  <c r="O153" i="40"/>
  <c r="M153" i="40"/>
  <c r="K153" i="40"/>
  <c r="I153" i="40"/>
  <c r="G153" i="40"/>
  <c r="E153" i="40"/>
  <c r="AQ152" i="40"/>
  <c r="AO152" i="40"/>
  <c r="AM152" i="40"/>
  <c r="AK152" i="40"/>
  <c r="AI152" i="40"/>
  <c r="AG152" i="40"/>
  <c r="AE152" i="40"/>
  <c r="AC152" i="40"/>
  <c r="AA152" i="40"/>
  <c r="Y152" i="40"/>
  <c r="W152" i="40"/>
  <c r="U152" i="40"/>
  <c r="S152" i="40"/>
  <c r="Q152" i="40"/>
  <c r="O152" i="40"/>
  <c r="M152" i="40"/>
  <c r="K152" i="40"/>
  <c r="I152" i="40"/>
  <c r="G152" i="40"/>
  <c r="E152" i="40"/>
  <c r="AQ151" i="40"/>
  <c r="AO151" i="40"/>
  <c r="AM151" i="40"/>
  <c r="AK151" i="40"/>
  <c r="AI151" i="40"/>
  <c r="AG151" i="40"/>
  <c r="AE151" i="40"/>
  <c r="AC151" i="40"/>
  <c r="AA151" i="40"/>
  <c r="Y151" i="40"/>
  <c r="W151" i="40"/>
  <c r="U151" i="40"/>
  <c r="S151" i="40"/>
  <c r="Q151" i="40"/>
  <c r="O151" i="40"/>
  <c r="M151" i="40"/>
  <c r="K151" i="40"/>
  <c r="I151" i="40"/>
  <c r="G151" i="40"/>
  <c r="E151" i="40"/>
  <c r="AQ150" i="40"/>
  <c r="AO150" i="40"/>
  <c r="AM150" i="40"/>
  <c r="AK150" i="40"/>
  <c r="AI150" i="40"/>
  <c r="AG150" i="40"/>
  <c r="AE150" i="40"/>
  <c r="AC150" i="40"/>
  <c r="AA150" i="40"/>
  <c r="Y150" i="40"/>
  <c r="W150" i="40"/>
  <c r="U150" i="40"/>
  <c r="S150" i="40"/>
  <c r="Q150" i="40"/>
  <c r="O150" i="40"/>
  <c r="M150" i="40"/>
  <c r="K150" i="40"/>
  <c r="I150" i="40"/>
  <c r="G150" i="40"/>
  <c r="E150" i="40"/>
  <c r="AQ149" i="40"/>
  <c r="AO149" i="40"/>
  <c r="AM149" i="40"/>
  <c r="AK149" i="40"/>
  <c r="AI149" i="40"/>
  <c r="AG149" i="40"/>
  <c r="AE149" i="40"/>
  <c r="AC149" i="40"/>
  <c r="AA149" i="40"/>
  <c r="Y149" i="40"/>
  <c r="W149" i="40"/>
  <c r="U149" i="40"/>
  <c r="S149" i="40"/>
  <c r="Q149" i="40"/>
  <c r="O149" i="40"/>
  <c r="M149" i="40"/>
  <c r="K149" i="40"/>
  <c r="I149" i="40"/>
  <c r="G149" i="40"/>
  <c r="E149" i="40"/>
  <c r="AQ148" i="40"/>
  <c r="AO148" i="40"/>
  <c r="AM148" i="40"/>
  <c r="AK148" i="40"/>
  <c r="AI148" i="40"/>
  <c r="AG148" i="40"/>
  <c r="AE148" i="40"/>
  <c r="AC148" i="40"/>
  <c r="AA148" i="40"/>
  <c r="Y148" i="40"/>
  <c r="W148" i="40"/>
  <c r="U148" i="40"/>
  <c r="S148" i="40"/>
  <c r="Q148" i="40"/>
  <c r="O148" i="40"/>
  <c r="M148" i="40"/>
  <c r="K148" i="40"/>
  <c r="I148" i="40"/>
  <c r="G148" i="40"/>
  <c r="E148" i="40"/>
  <c r="AQ147" i="40"/>
  <c r="AO147" i="40"/>
  <c r="AM147" i="40"/>
  <c r="AK147" i="40"/>
  <c r="AI147" i="40"/>
  <c r="AG147" i="40"/>
  <c r="AE147" i="40"/>
  <c r="AC147" i="40"/>
  <c r="AA147" i="40"/>
  <c r="Y147" i="40"/>
  <c r="W147" i="40"/>
  <c r="U147" i="40"/>
  <c r="S147" i="40"/>
  <c r="Q147" i="40"/>
  <c r="O147" i="40"/>
  <c r="M147" i="40"/>
  <c r="K147" i="40"/>
  <c r="I147" i="40"/>
  <c r="G147" i="40"/>
  <c r="E147" i="40"/>
  <c r="AQ146" i="40"/>
  <c r="AO146" i="40"/>
  <c r="AM146" i="40"/>
  <c r="AK146" i="40"/>
  <c r="AI146" i="40"/>
  <c r="AG146" i="40"/>
  <c r="AE146" i="40"/>
  <c r="AC146" i="40"/>
  <c r="AA146" i="40"/>
  <c r="Y146" i="40"/>
  <c r="W146" i="40"/>
  <c r="U146" i="40"/>
  <c r="S146" i="40"/>
  <c r="Q146" i="40"/>
  <c r="O146" i="40"/>
  <c r="M146" i="40"/>
  <c r="K146" i="40"/>
  <c r="I146" i="40"/>
  <c r="G146" i="40"/>
  <c r="E146" i="40"/>
  <c r="AQ145" i="40"/>
  <c r="AO145" i="40"/>
  <c r="AM145" i="40"/>
  <c r="AK145" i="40"/>
  <c r="AI145" i="40"/>
  <c r="AG145" i="40"/>
  <c r="AE145" i="40"/>
  <c r="AC145" i="40"/>
  <c r="AA145" i="40"/>
  <c r="Y145" i="40"/>
  <c r="W145" i="40"/>
  <c r="U145" i="40"/>
  <c r="S145" i="40"/>
  <c r="Q145" i="40"/>
  <c r="O145" i="40"/>
  <c r="M145" i="40"/>
  <c r="K145" i="40"/>
  <c r="I145" i="40"/>
  <c r="G145" i="40"/>
  <c r="E145" i="40"/>
  <c r="AQ144" i="40"/>
  <c r="AO144" i="40"/>
  <c r="AM144" i="40"/>
  <c r="AK144" i="40"/>
  <c r="AI144" i="40"/>
  <c r="AG144" i="40"/>
  <c r="AE144" i="40"/>
  <c r="AC144" i="40"/>
  <c r="AA144" i="40"/>
  <c r="Y144" i="40"/>
  <c r="W144" i="40"/>
  <c r="U144" i="40"/>
  <c r="S144" i="40"/>
  <c r="Q144" i="40"/>
  <c r="O144" i="40"/>
  <c r="M144" i="40"/>
  <c r="K144" i="40"/>
  <c r="I144" i="40"/>
  <c r="G144" i="40"/>
  <c r="E144" i="40"/>
  <c r="AQ143" i="40"/>
  <c r="AO143" i="40"/>
  <c r="AM143" i="40"/>
  <c r="AK143" i="40"/>
  <c r="AI143" i="40"/>
  <c r="AG143" i="40"/>
  <c r="AE143" i="40"/>
  <c r="AC143" i="40"/>
  <c r="AA143" i="40"/>
  <c r="Y143" i="40"/>
  <c r="W143" i="40"/>
  <c r="U143" i="40"/>
  <c r="S143" i="40"/>
  <c r="Q143" i="40"/>
  <c r="O143" i="40"/>
  <c r="M143" i="40"/>
  <c r="K143" i="40"/>
  <c r="I143" i="40"/>
  <c r="G143" i="40"/>
  <c r="E143" i="40"/>
  <c r="AQ142" i="40"/>
  <c r="AO142" i="40"/>
  <c r="AM142" i="40"/>
  <c r="AK142" i="40"/>
  <c r="AI142" i="40"/>
  <c r="AG142" i="40"/>
  <c r="AE142" i="40"/>
  <c r="AC142" i="40"/>
  <c r="AA142" i="40"/>
  <c r="Y142" i="40"/>
  <c r="W142" i="40"/>
  <c r="U142" i="40"/>
  <c r="S142" i="40"/>
  <c r="Q142" i="40"/>
  <c r="O142" i="40"/>
  <c r="M142" i="40"/>
  <c r="K142" i="40"/>
  <c r="I142" i="40"/>
  <c r="G142" i="40"/>
  <c r="E142" i="40"/>
  <c r="AQ141" i="40"/>
  <c r="AO141" i="40"/>
  <c r="AM141" i="40"/>
  <c r="AK141" i="40"/>
  <c r="AI141" i="40"/>
  <c r="AG141" i="40"/>
  <c r="AE141" i="40"/>
  <c r="AC141" i="40"/>
  <c r="AA141" i="40"/>
  <c r="Y141" i="40"/>
  <c r="W141" i="40"/>
  <c r="U141" i="40"/>
  <c r="S141" i="40"/>
  <c r="Q141" i="40"/>
  <c r="O141" i="40"/>
  <c r="M141" i="40"/>
  <c r="K141" i="40"/>
  <c r="I141" i="40"/>
  <c r="G141" i="40"/>
  <c r="E141" i="40"/>
  <c r="AQ140" i="40"/>
  <c r="AO140" i="40"/>
  <c r="AM140" i="40"/>
  <c r="AK140" i="40"/>
  <c r="AI140" i="40"/>
  <c r="AG140" i="40"/>
  <c r="AE140" i="40"/>
  <c r="AC140" i="40"/>
  <c r="AA140" i="40"/>
  <c r="Y140" i="40"/>
  <c r="W140" i="40"/>
  <c r="U140" i="40"/>
  <c r="S140" i="40"/>
  <c r="Q140" i="40"/>
  <c r="O140" i="40"/>
  <c r="M140" i="40"/>
  <c r="K140" i="40"/>
  <c r="I140" i="40"/>
  <c r="G140" i="40"/>
  <c r="E140" i="40"/>
  <c r="AQ139" i="40"/>
  <c r="AO139" i="40"/>
  <c r="AM139" i="40"/>
  <c r="AK139" i="40"/>
  <c r="AI139" i="40"/>
  <c r="AG139" i="40"/>
  <c r="AE139" i="40"/>
  <c r="AC139" i="40"/>
  <c r="AA139" i="40"/>
  <c r="Y139" i="40"/>
  <c r="W139" i="40"/>
  <c r="U139" i="40"/>
  <c r="S139" i="40"/>
  <c r="Q139" i="40"/>
  <c r="O139" i="40"/>
  <c r="M139" i="40"/>
  <c r="K139" i="40"/>
  <c r="I139" i="40"/>
  <c r="G139" i="40"/>
  <c r="E139" i="40"/>
  <c r="AQ138" i="40"/>
  <c r="AO138" i="40"/>
  <c r="AM138" i="40"/>
  <c r="AK138" i="40"/>
  <c r="AI138" i="40"/>
  <c r="AG138" i="40"/>
  <c r="AE138" i="40"/>
  <c r="AC138" i="40"/>
  <c r="AA138" i="40"/>
  <c r="Y138" i="40"/>
  <c r="W138" i="40"/>
  <c r="U138" i="40"/>
  <c r="S138" i="40"/>
  <c r="Q138" i="40"/>
  <c r="O138" i="40"/>
  <c r="M138" i="40"/>
  <c r="K138" i="40"/>
  <c r="I138" i="40"/>
  <c r="G138" i="40"/>
  <c r="E138" i="40"/>
  <c r="AQ137" i="40"/>
  <c r="AO137" i="40"/>
  <c r="AM137" i="40"/>
  <c r="AK137" i="40"/>
  <c r="AI137" i="40"/>
  <c r="AG137" i="40"/>
  <c r="AE137" i="40"/>
  <c r="AC137" i="40"/>
  <c r="AA137" i="40"/>
  <c r="Y137" i="40"/>
  <c r="W137" i="40"/>
  <c r="U137" i="40"/>
  <c r="S137" i="40"/>
  <c r="Q137" i="40"/>
  <c r="O137" i="40"/>
  <c r="M137" i="40"/>
  <c r="K137" i="40"/>
  <c r="I137" i="40"/>
  <c r="G137" i="40"/>
  <c r="E137" i="40"/>
  <c r="AQ136" i="40"/>
  <c r="AO136" i="40"/>
  <c r="AM136" i="40"/>
  <c r="AK136" i="40"/>
  <c r="AI136" i="40"/>
  <c r="AG136" i="40"/>
  <c r="AE136" i="40"/>
  <c r="AC136" i="40"/>
  <c r="AA136" i="40"/>
  <c r="Y136" i="40"/>
  <c r="W136" i="40"/>
  <c r="U136" i="40"/>
  <c r="S136" i="40"/>
  <c r="Q136" i="40"/>
  <c r="O136" i="40"/>
  <c r="M136" i="40"/>
  <c r="K136" i="40"/>
  <c r="I136" i="40"/>
  <c r="G136" i="40"/>
  <c r="E136" i="40"/>
  <c r="AQ135" i="40"/>
  <c r="AO135" i="40"/>
  <c r="AM135" i="40"/>
  <c r="AK135" i="40"/>
  <c r="AI135" i="40"/>
  <c r="AG135" i="40"/>
  <c r="AE135" i="40"/>
  <c r="AC135" i="40"/>
  <c r="AA135" i="40"/>
  <c r="Y135" i="40"/>
  <c r="W135" i="40"/>
  <c r="U135" i="40"/>
  <c r="S135" i="40"/>
  <c r="Q135" i="40"/>
  <c r="O135" i="40"/>
  <c r="M135" i="40"/>
  <c r="K135" i="40"/>
  <c r="I135" i="40"/>
  <c r="G135" i="40"/>
  <c r="E135" i="40"/>
  <c r="AQ134" i="40"/>
  <c r="AO134" i="40"/>
  <c r="AM134" i="40"/>
  <c r="AK134" i="40"/>
  <c r="AI134" i="40"/>
  <c r="AG134" i="40"/>
  <c r="AE134" i="40"/>
  <c r="AC134" i="40"/>
  <c r="AA134" i="40"/>
  <c r="Y134" i="40"/>
  <c r="W134" i="40"/>
  <c r="U134" i="40"/>
  <c r="S134" i="40"/>
  <c r="Q134" i="40"/>
  <c r="O134" i="40"/>
  <c r="M134" i="40"/>
  <c r="K134" i="40"/>
  <c r="I134" i="40"/>
  <c r="G134" i="40"/>
  <c r="E134" i="40"/>
  <c r="AQ133" i="40"/>
  <c r="AO133" i="40"/>
  <c r="AM133" i="40"/>
  <c r="AK133" i="40"/>
  <c r="AI133" i="40"/>
  <c r="AG133" i="40"/>
  <c r="AE133" i="40"/>
  <c r="AC133" i="40"/>
  <c r="AA133" i="40"/>
  <c r="Y133" i="40"/>
  <c r="W133" i="40"/>
  <c r="U133" i="40"/>
  <c r="S133" i="40"/>
  <c r="Q133" i="40"/>
  <c r="O133" i="40"/>
  <c r="M133" i="40"/>
  <c r="K133" i="40"/>
  <c r="I133" i="40"/>
  <c r="G133" i="40"/>
  <c r="E133" i="40"/>
  <c r="AQ132" i="40"/>
  <c r="AO132" i="40"/>
  <c r="AM132" i="40"/>
  <c r="AK132" i="40"/>
  <c r="AI132" i="40"/>
  <c r="AG132" i="40"/>
  <c r="AE132" i="40"/>
  <c r="AC132" i="40"/>
  <c r="AA132" i="40"/>
  <c r="Y132" i="40"/>
  <c r="W132" i="40"/>
  <c r="U132" i="40"/>
  <c r="S132" i="40"/>
  <c r="Q132" i="40"/>
  <c r="O132" i="40"/>
  <c r="M132" i="40"/>
  <c r="K132" i="40"/>
  <c r="I132" i="40"/>
  <c r="G132" i="40"/>
  <c r="E132" i="40"/>
  <c r="AQ131" i="40"/>
  <c r="AO131" i="40"/>
  <c r="AM131" i="40"/>
  <c r="AK131" i="40"/>
  <c r="AI131" i="40"/>
  <c r="AG131" i="40"/>
  <c r="AE131" i="40"/>
  <c r="AC131" i="40"/>
  <c r="AA131" i="40"/>
  <c r="Y131" i="40"/>
  <c r="W131" i="40"/>
  <c r="U131" i="40"/>
  <c r="S131" i="40"/>
  <c r="Q131" i="40"/>
  <c r="O131" i="40"/>
  <c r="M131" i="40"/>
  <c r="K131" i="40"/>
  <c r="I131" i="40"/>
  <c r="G131" i="40"/>
  <c r="E131" i="40"/>
  <c r="AQ130" i="40"/>
  <c r="AO130" i="40"/>
  <c r="AM130" i="40"/>
  <c r="AK130" i="40"/>
  <c r="AI130" i="40"/>
  <c r="AG130" i="40"/>
  <c r="AE130" i="40"/>
  <c r="AC130" i="40"/>
  <c r="AA130" i="40"/>
  <c r="Y130" i="40"/>
  <c r="W130" i="40"/>
  <c r="U130" i="40"/>
  <c r="S130" i="40"/>
  <c r="Q130" i="40"/>
  <c r="O130" i="40"/>
  <c r="M130" i="40"/>
  <c r="K130" i="40"/>
  <c r="I130" i="40"/>
  <c r="G130" i="40"/>
  <c r="E130" i="40"/>
  <c r="AQ129" i="40"/>
  <c r="AO129" i="40"/>
  <c r="AM129" i="40"/>
  <c r="AK129" i="40"/>
  <c r="AI129" i="40"/>
  <c r="AG129" i="40"/>
  <c r="AE129" i="40"/>
  <c r="AC129" i="40"/>
  <c r="AA129" i="40"/>
  <c r="Y129" i="40"/>
  <c r="W129" i="40"/>
  <c r="U129" i="40"/>
  <c r="S129" i="40"/>
  <c r="Q129" i="40"/>
  <c r="O129" i="40"/>
  <c r="M129" i="40"/>
  <c r="K129" i="40"/>
  <c r="I129" i="40"/>
  <c r="G129" i="40"/>
  <c r="E129" i="40"/>
  <c r="AQ128" i="40"/>
  <c r="AO128" i="40"/>
  <c r="AM128" i="40"/>
  <c r="AK128" i="40"/>
  <c r="AI128" i="40"/>
  <c r="AG128" i="40"/>
  <c r="AE128" i="40"/>
  <c r="AC128" i="40"/>
  <c r="AA128" i="40"/>
  <c r="Y128" i="40"/>
  <c r="W128" i="40"/>
  <c r="U128" i="40"/>
  <c r="S128" i="40"/>
  <c r="Q128" i="40"/>
  <c r="O128" i="40"/>
  <c r="M128" i="40"/>
  <c r="K128" i="40"/>
  <c r="I128" i="40"/>
  <c r="G128" i="40"/>
  <c r="E128" i="40"/>
  <c r="AQ127" i="40"/>
  <c r="AO127" i="40"/>
  <c r="AM127" i="40"/>
  <c r="AK127" i="40"/>
  <c r="AI127" i="40"/>
  <c r="AG127" i="40"/>
  <c r="AE127" i="40"/>
  <c r="AC127" i="40"/>
  <c r="AA127" i="40"/>
  <c r="Y127" i="40"/>
  <c r="W127" i="40"/>
  <c r="U127" i="40"/>
  <c r="S127" i="40"/>
  <c r="Q127" i="40"/>
  <c r="O127" i="40"/>
  <c r="M127" i="40"/>
  <c r="K127" i="40"/>
  <c r="I127" i="40"/>
  <c r="G127" i="40"/>
  <c r="E127" i="40"/>
  <c r="AQ126" i="40"/>
  <c r="AO126" i="40"/>
  <c r="AM126" i="40"/>
  <c r="AK126" i="40"/>
  <c r="AI126" i="40"/>
  <c r="AG126" i="40"/>
  <c r="AE126" i="40"/>
  <c r="AC126" i="40"/>
  <c r="AA126" i="40"/>
  <c r="Y126" i="40"/>
  <c r="W126" i="40"/>
  <c r="U126" i="40"/>
  <c r="S126" i="40"/>
  <c r="Q126" i="40"/>
  <c r="O126" i="40"/>
  <c r="M126" i="40"/>
  <c r="K126" i="40"/>
  <c r="I126" i="40"/>
  <c r="G126" i="40"/>
  <c r="E126" i="40"/>
  <c r="AQ125" i="40"/>
  <c r="AO125" i="40"/>
  <c r="AM125" i="40"/>
  <c r="AK125" i="40"/>
  <c r="AI125" i="40"/>
  <c r="AG125" i="40"/>
  <c r="AE125" i="40"/>
  <c r="AC125" i="40"/>
  <c r="AA125" i="40"/>
  <c r="Y125" i="40"/>
  <c r="W125" i="40"/>
  <c r="U125" i="40"/>
  <c r="S125" i="40"/>
  <c r="Q125" i="40"/>
  <c r="O125" i="40"/>
  <c r="M125" i="40"/>
  <c r="K125" i="40"/>
  <c r="I125" i="40"/>
  <c r="G125" i="40"/>
  <c r="E125" i="40"/>
  <c r="AQ124" i="40"/>
  <c r="AO124" i="40"/>
  <c r="AM124" i="40"/>
  <c r="AK124" i="40"/>
  <c r="AI124" i="40"/>
  <c r="AG124" i="40"/>
  <c r="AE124" i="40"/>
  <c r="AC124" i="40"/>
  <c r="AA124" i="40"/>
  <c r="Y124" i="40"/>
  <c r="W124" i="40"/>
  <c r="U124" i="40"/>
  <c r="S124" i="40"/>
  <c r="Q124" i="40"/>
  <c r="O124" i="40"/>
  <c r="M124" i="40"/>
  <c r="K124" i="40"/>
  <c r="I124" i="40"/>
  <c r="G124" i="40"/>
  <c r="E124" i="40"/>
  <c r="AQ123" i="40"/>
  <c r="AO123" i="40"/>
  <c r="AM123" i="40"/>
  <c r="AK123" i="40"/>
  <c r="AI123" i="40"/>
  <c r="AG123" i="40"/>
  <c r="AE123" i="40"/>
  <c r="AC123" i="40"/>
  <c r="AA123" i="40"/>
  <c r="Y123" i="40"/>
  <c r="W123" i="40"/>
  <c r="U123" i="40"/>
  <c r="S123" i="40"/>
  <c r="Q123" i="40"/>
  <c r="O123" i="40"/>
  <c r="M123" i="40"/>
  <c r="K123" i="40"/>
  <c r="I123" i="40"/>
  <c r="G123" i="40"/>
  <c r="E123" i="40"/>
  <c r="AQ122" i="40"/>
  <c r="AO122" i="40"/>
  <c r="AM122" i="40"/>
  <c r="AK122" i="40"/>
  <c r="AI122" i="40"/>
  <c r="AG122" i="40"/>
  <c r="AE122" i="40"/>
  <c r="AC122" i="40"/>
  <c r="AA122" i="40"/>
  <c r="Y122" i="40"/>
  <c r="W122" i="40"/>
  <c r="U122" i="40"/>
  <c r="S122" i="40"/>
  <c r="Q122" i="40"/>
  <c r="O122" i="40"/>
  <c r="M122" i="40"/>
  <c r="K122" i="40"/>
  <c r="I122" i="40"/>
  <c r="G122" i="40"/>
  <c r="E122" i="40"/>
  <c r="AQ121" i="40"/>
  <c r="AO121" i="40"/>
  <c r="AM121" i="40"/>
  <c r="AK121" i="40"/>
  <c r="AI121" i="40"/>
  <c r="AG121" i="40"/>
  <c r="AE121" i="40"/>
  <c r="AC121" i="40"/>
  <c r="AA121" i="40"/>
  <c r="Y121" i="40"/>
  <c r="W121" i="40"/>
  <c r="U121" i="40"/>
  <c r="S121" i="40"/>
  <c r="Q121" i="40"/>
  <c r="O121" i="40"/>
  <c r="M121" i="40"/>
  <c r="K121" i="40"/>
  <c r="I121" i="40"/>
  <c r="G121" i="40"/>
  <c r="E121" i="40"/>
  <c r="AQ120" i="40"/>
  <c r="AO120" i="40"/>
  <c r="AM120" i="40"/>
  <c r="AK120" i="40"/>
  <c r="AI120" i="40"/>
  <c r="AG120" i="40"/>
  <c r="AE120" i="40"/>
  <c r="AC120" i="40"/>
  <c r="AA120" i="40"/>
  <c r="Y120" i="40"/>
  <c r="W120" i="40"/>
  <c r="U120" i="40"/>
  <c r="S120" i="40"/>
  <c r="Q120" i="40"/>
  <c r="O120" i="40"/>
  <c r="M120" i="40"/>
  <c r="K120" i="40"/>
  <c r="I120" i="40"/>
  <c r="G120" i="40"/>
  <c r="E120" i="40"/>
  <c r="AQ119" i="40"/>
  <c r="AO119" i="40"/>
  <c r="AM119" i="40"/>
  <c r="AK119" i="40"/>
  <c r="AI119" i="40"/>
  <c r="AG119" i="40"/>
  <c r="AE119" i="40"/>
  <c r="AC119" i="40"/>
  <c r="AA119" i="40"/>
  <c r="Y119" i="40"/>
  <c r="W119" i="40"/>
  <c r="U119" i="40"/>
  <c r="S119" i="40"/>
  <c r="Q119" i="40"/>
  <c r="O119" i="40"/>
  <c r="M119" i="40"/>
  <c r="K119" i="40"/>
  <c r="I119" i="40"/>
  <c r="G119" i="40"/>
  <c r="E119" i="40"/>
  <c r="AQ118" i="40"/>
  <c r="AO118" i="40"/>
  <c r="AM118" i="40"/>
  <c r="AK118" i="40"/>
  <c r="AI118" i="40"/>
  <c r="AG118" i="40"/>
  <c r="AE118" i="40"/>
  <c r="AC118" i="40"/>
  <c r="AA118" i="40"/>
  <c r="Y118" i="40"/>
  <c r="W118" i="40"/>
  <c r="U118" i="40"/>
  <c r="S118" i="40"/>
  <c r="Q118" i="40"/>
  <c r="O118" i="40"/>
  <c r="M118" i="40"/>
  <c r="K118" i="40"/>
  <c r="I118" i="40"/>
  <c r="G118" i="40"/>
  <c r="E118" i="40"/>
  <c r="AQ117" i="40"/>
  <c r="AO117" i="40"/>
  <c r="AM117" i="40"/>
  <c r="AK117" i="40"/>
  <c r="AI117" i="40"/>
  <c r="AG117" i="40"/>
  <c r="AE117" i="40"/>
  <c r="AC117" i="40"/>
  <c r="AA117" i="40"/>
  <c r="Y117" i="40"/>
  <c r="W117" i="40"/>
  <c r="U117" i="40"/>
  <c r="S117" i="40"/>
  <c r="Q117" i="40"/>
  <c r="O117" i="40"/>
  <c r="M117" i="40"/>
  <c r="K117" i="40"/>
  <c r="I117" i="40"/>
  <c r="G117" i="40"/>
  <c r="E117" i="40"/>
  <c r="AQ116" i="40"/>
  <c r="AO116" i="40"/>
  <c r="AM116" i="40"/>
  <c r="AK116" i="40"/>
  <c r="AI116" i="40"/>
  <c r="AG116" i="40"/>
  <c r="AE116" i="40"/>
  <c r="AC116" i="40"/>
  <c r="AA116" i="40"/>
  <c r="Y116" i="40"/>
  <c r="W116" i="40"/>
  <c r="U116" i="40"/>
  <c r="S116" i="40"/>
  <c r="Q116" i="40"/>
  <c r="O116" i="40"/>
  <c r="M116" i="40"/>
  <c r="K116" i="40"/>
  <c r="I116" i="40"/>
  <c r="G116" i="40"/>
  <c r="E116" i="40"/>
  <c r="AQ115" i="40"/>
  <c r="AO115" i="40"/>
  <c r="AM115" i="40"/>
  <c r="AK115" i="40"/>
  <c r="AI115" i="40"/>
  <c r="AG115" i="40"/>
  <c r="AE115" i="40"/>
  <c r="AC115" i="40"/>
  <c r="AA115" i="40"/>
  <c r="Y115" i="40"/>
  <c r="W115" i="40"/>
  <c r="U115" i="40"/>
  <c r="S115" i="40"/>
  <c r="Q115" i="40"/>
  <c r="O115" i="40"/>
  <c r="M115" i="40"/>
  <c r="K115" i="40"/>
  <c r="I115" i="40"/>
  <c r="G115" i="40"/>
  <c r="E115" i="40"/>
  <c r="AQ114" i="40"/>
  <c r="AO114" i="40"/>
  <c r="AM114" i="40"/>
  <c r="AK114" i="40"/>
  <c r="AI114" i="40"/>
  <c r="AG114" i="40"/>
  <c r="AE114" i="40"/>
  <c r="AC114" i="40"/>
  <c r="AA114" i="40"/>
  <c r="Y114" i="40"/>
  <c r="W114" i="40"/>
  <c r="U114" i="40"/>
  <c r="S114" i="40"/>
  <c r="Q114" i="40"/>
  <c r="O114" i="40"/>
  <c r="M114" i="40"/>
  <c r="K114" i="40"/>
  <c r="I114" i="40"/>
  <c r="G114" i="40"/>
  <c r="E114" i="40"/>
  <c r="AQ113" i="40"/>
  <c r="AO113" i="40"/>
  <c r="AM113" i="40"/>
  <c r="AK113" i="40"/>
  <c r="AI113" i="40"/>
  <c r="AG113" i="40"/>
  <c r="AE113" i="40"/>
  <c r="AC113" i="40"/>
  <c r="AA113" i="40"/>
  <c r="Y113" i="40"/>
  <c r="W113" i="40"/>
  <c r="U113" i="40"/>
  <c r="S113" i="40"/>
  <c r="Q113" i="40"/>
  <c r="O113" i="40"/>
  <c r="M113" i="40"/>
  <c r="K113" i="40"/>
  <c r="I113" i="40"/>
  <c r="G113" i="40"/>
  <c r="E113" i="40"/>
  <c r="AQ112" i="40"/>
  <c r="AO112" i="40"/>
  <c r="AM112" i="40"/>
  <c r="AK112" i="40"/>
  <c r="AI112" i="40"/>
  <c r="AG112" i="40"/>
  <c r="AE112" i="40"/>
  <c r="AC112" i="40"/>
  <c r="AA112" i="40"/>
  <c r="Y112" i="40"/>
  <c r="W112" i="40"/>
  <c r="U112" i="40"/>
  <c r="S112" i="40"/>
  <c r="Q112" i="40"/>
  <c r="O112" i="40"/>
  <c r="M112" i="40"/>
  <c r="K112" i="40"/>
  <c r="I112" i="40"/>
  <c r="G112" i="40"/>
  <c r="E112" i="40"/>
  <c r="AQ111" i="40"/>
  <c r="AO111" i="40"/>
  <c r="AM111" i="40"/>
  <c r="AK111" i="40"/>
  <c r="AI111" i="40"/>
  <c r="AG111" i="40"/>
  <c r="AE111" i="40"/>
  <c r="AC111" i="40"/>
  <c r="AA111" i="40"/>
  <c r="Y111" i="40"/>
  <c r="W111" i="40"/>
  <c r="U111" i="40"/>
  <c r="S111" i="40"/>
  <c r="Q111" i="40"/>
  <c r="O111" i="40"/>
  <c r="M111" i="40"/>
  <c r="K111" i="40"/>
  <c r="I111" i="40"/>
  <c r="G111" i="40"/>
  <c r="E111" i="40"/>
  <c r="AQ110" i="40"/>
  <c r="AO110" i="40"/>
  <c r="AM110" i="40"/>
  <c r="AK110" i="40"/>
  <c r="AI110" i="40"/>
  <c r="AG110" i="40"/>
  <c r="AE110" i="40"/>
  <c r="AC110" i="40"/>
  <c r="AA110" i="40"/>
  <c r="Y110" i="40"/>
  <c r="W110" i="40"/>
  <c r="U110" i="40"/>
  <c r="S110" i="40"/>
  <c r="Q110" i="40"/>
  <c r="O110" i="40"/>
  <c r="M110" i="40"/>
  <c r="K110" i="40"/>
  <c r="I110" i="40"/>
  <c r="G110" i="40"/>
  <c r="E110" i="40"/>
  <c r="AQ109" i="40"/>
  <c r="AO109" i="40"/>
  <c r="AM109" i="40"/>
  <c r="AK109" i="40"/>
  <c r="AI109" i="40"/>
  <c r="AG109" i="40"/>
  <c r="AE109" i="40"/>
  <c r="AC109" i="40"/>
  <c r="AA109" i="40"/>
  <c r="Y109" i="40"/>
  <c r="W109" i="40"/>
  <c r="U109" i="40"/>
  <c r="S109" i="40"/>
  <c r="Q109" i="40"/>
  <c r="O109" i="40"/>
  <c r="M109" i="40"/>
  <c r="K109" i="40"/>
  <c r="I109" i="40"/>
  <c r="G109" i="40"/>
  <c r="E109" i="40"/>
  <c r="AQ108" i="40"/>
  <c r="AO108" i="40"/>
  <c r="AM108" i="40"/>
  <c r="AK108" i="40"/>
  <c r="AI108" i="40"/>
  <c r="AG108" i="40"/>
  <c r="AE108" i="40"/>
  <c r="AC108" i="40"/>
  <c r="AA108" i="40"/>
  <c r="Y108" i="40"/>
  <c r="W108" i="40"/>
  <c r="U108" i="40"/>
  <c r="S108" i="40"/>
  <c r="Q108" i="40"/>
  <c r="O108" i="40"/>
  <c r="M108" i="40"/>
  <c r="K108" i="40"/>
  <c r="I108" i="40"/>
  <c r="G108" i="40"/>
  <c r="E108" i="40"/>
  <c r="AQ107" i="40"/>
  <c r="AO107" i="40"/>
  <c r="AM107" i="40"/>
  <c r="AK107" i="40"/>
  <c r="AI107" i="40"/>
  <c r="AG107" i="40"/>
  <c r="AE107" i="40"/>
  <c r="AC107" i="40"/>
  <c r="AA107" i="40"/>
  <c r="Y107" i="40"/>
  <c r="W107" i="40"/>
  <c r="U107" i="40"/>
  <c r="S107" i="40"/>
  <c r="Q107" i="40"/>
  <c r="O107" i="40"/>
  <c r="M107" i="40"/>
  <c r="K107" i="40"/>
  <c r="I107" i="40"/>
  <c r="G107" i="40"/>
  <c r="E107" i="40"/>
  <c r="AQ106" i="40"/>
  <c r="AO106" i="40"/>
  <c r="AM106" i="40"/>
  <c r="AK106" i="40"/>
  <c r="AI106" i="40"/>
  <c r="AG106" i="40"/>
  <c r="AE106" i="40"/>
  <c r="AC106" i="40"/>
  <c r="AA106" i="40"/>
  <c r="Y106" i="40"/>
  <c r="W106" i="40"/>
  <c r="U106" i="40"/>
  <c r="S106" i="40"/>
  <c r="Q106" i="40"/>
  <c r="O106" i="40"/>
  <c r="M106" i="40"/>
  <c r="K106" i="40"/>
  <c r="I106" i="40"/>
  <c r="G106" i="40"/>
  <c r="E106" i="40"/>
  <c r="AQ105" i="40"/>
  <c r="AO105" i="40"/>
  <c r="AM105" i="40"/>
  <c r="AK105" i="40"/>
  <c r="AI105" i="40"/>
  <c r="AG105" i="40"/>
  <c r="AE105" i="40"/>
  <c r="AC105" i="40"/>
  <c r="AA105" i="40"/>
  <c r="Y105" i="40"/>
  <c r="W105" i="40"/>
  <c r="U105" i="40"/>
  <c r="S105" i="40"/>
  <c r="Q105" i="40"/>
  <c r="O105" i="40"/>
  <c r="M105" i="40"/>
  <c r="K105" i="40"/>
  <c r="I105" i="40"/>
  <c r="G105" i="40"/>
  <c r="E105" i="40"/>
  <c r="AQ104" i="40"/>
  <c r="AO104" i="40"/>
  <c r="AM104" i="40"/>
  <c r="AK104" i="40"/>
  <c r="AI104" i="40"/>
  <c r="AG104" i="40"/>
  <c r="AE104" i="40"/>
  <c r="AC104" i="40"/>
  <c r="AA104" i="40"/>
  <c r="Y104" i="40"/>
  <c r="W104" i="40"/>
  <c r="U104" i="40"/>
  <c r="S104" i="40"/>
  <c r="Q104" i="40"/>
  <c r="O104" i="40"/>
  <c r="M104" i="40"/>
  <c r="K104" i="40"/>
  <c r="I104" i="40"/>
  <c r="G104" i="40"/>
  <c r="E104" i="40"/>
  <c r="AQ103" i="40"/>
  <c r="AO103" i="40"/>
  <c r="AM103" i="40"/>
  <c r="AK103" i="40"/>
  <c r="AI103" i="40"/>
  <c r="AG103" i="40"/>
  <c r="AE103" i="40"/>
  <c r="AC103" i="40"/>
  <c r="AA103" i="40"/>
  <c r="Y103" i="40"/>
  <c r="W103" i="40"/>
  <c r="U103" i="40"/>
  <c r="S103" i="40"/>
  <c r="Q103" i="40"/>
  <c r="O103" i="40"/>
  <c r="M103" i="40"/>
  <c r="K103" i="40"/>
  <c r="I103" i="40"/>
  <c r="G103" i="40"/>
  <c r="E103" i="40"/>
  <c r="AQ102" i="40"/>
  <c r="AO102" i="40"/>
  <c r="AM102" i="40"/>
  <c r="AK102" i="40"/>
  <c r="AI102" i="40"/>
  <c r="AG102" i="40"/>
  <c r="AE102" i="40"/>
  <c r="AC102" i="40"/>
  <c r="AA102" i="40"/>
  <c r="Y102" i="40"/>
  <c r="W102" i="40"/>
  <c r="U102" i="40"/>
  <c r="S102" i="40"/>
  <c r="Q102" i="40"/>
  <c r="O102" i="40"/>
  <c r="M102" i="40"/>
  <c r="K102" i="40"/>
  <c r="I102" i="40"/>
  <c r="G102" i="40"/>
  <c r="E102" i="40"/>
  <c r="AQ101" i="40"/>
  <c r="AO101" i="40"/>
  <c r="AM101" i="40"/>
  <c r="AK101" i="40"/>
  <c r="AI101" i="40"/>
  <c r="AG101" i="40"/>
  <c r="AE101" i="40"/>
  <c r="AC101" i="40"/>
  <c r="AA101" i="40"/>
  <c r="Y101" i="40"/>
  <c r="W101" i="40"/>
  <c r="U101" i="40"/>
  <c r="S101" i="40"/>
  <c r="Q101" i="40"/>
  <c r="O101" i="40"/>
  <c r="M101" i="40"/>
  <c r="K101" i="40"/>
  <c r="I101" i="40"/>
  <c r="G101" i="40"/>
  <c r="E101" i="40"/>
  <c r="AQ100" i="40"/>
  <c r="AO100" i="40"/>
  <c r="AM100" i="40"/>
  <c r="AK100" i="40"/>
  <c r="AI100" i="40"/>
  <c r="AG100" i="40"/>
  <c r="AE100" i="40"/>
  <c r="AC100" i="40"/>
  <c r="AA100" i="40"/>
  <c r="Y100" i="40"/>
  <c r="W100" i="40"/>
  <c r="U100" i="40"/>
  <c r="S100" i="40"/>
  <c r="Q100" i="40"/>
  <c r="O100" i="40"/>
  <c r="M100" i="40"/>
  <c r="K100" i="40"/>
  <c r="I100" i="40"/>
  <c r="G100" i="40"/>
  <c r="E100" i="40"/>
  <c r="AQ99" i="40"/>
  <c r="AO99" i="40"/>
  <c r="AM99" i="40"/>
  <c r="AK99" i="40"/>
  <c r="AI99" i="40"/>
  <c r="AG99" i="40"/>
  <c r="AE99" i="40"/>
  <c r="AC99" i="40"/>
  <c r="AA99" i="40"/>
  <c r="Y99" i="40"/>
  <c r="W99" i="40"/>
  <c r="U99" i="40"/>
  <c r="S99" i="40"/>
  <c r="Q99" i="40"/>
  <c r="O99" i="40"/>
  <c r="M99" i="40"/>
  <c r="K99" i="40"/>
  <c r="I99" i="40"/>
  <c r="G99" i="40"/>
  <c r="E99" i="40"/>
  <c r="AQ98" i="40"/>
  <c r="AO98" i="40"/>
  <c r="AM98" i="40"/>
  <c r="AK98" i="40"/>
  <c r="AI98" i="40"/>
  <c r="AG98" i="40"/>
  <c r="AE98" i="40"/>
  <c r="AC98" i="40"/>
  <c r="AA98" i="40"/>
  <c r="Y98" i="40"/>
  <c r="W98" i="40"/>
  <c r="U98" i="40"/>
  <c r="S98" i="40"/>
  <c r="Q98" i="40"/>
  <c r="O98" i="40"/>
  <c r="M98" i="40"/>
  <c r="K98" i="40"/>
  <c r="I98" i="40"/>
  <c r="G98" i="40"/>
  <c r="E98" i="40"/>
  <c r="AQ97" i="40"/>
  <c r="AO97" i="40"/>
  <c r="AM97" i="40"/>
  <c r="AK97" i="40"/>
  <c r="AI97" i="40"/>
  <c r="AG97" i="40"/>
  <c r="AE97" i="40"/>
  <c r="AC97" i="40"/>
  <c r="AA97" i="40"/>
  <c r="Y97" i="40"/>
  <c r="W97" i="40"/>
  <c r="U97" i="40"/>
  <c r="S97" i="40"/>
  <c r="Q97" i="40"/>
  <c r="O97" i="40"/>
  <c r="M97" i="40"/>
  <c r="K97" i="40"/>
  <c r="I97" i="40"/>
  <c r="G97" i="40"/>
  <c r="E97" i="40"/>
  <c r="AQ96" i="40"/>
  <c r="AO96" i="40"/>
  <c r="AM96" i="40"/>
  <c r="AK96" i="40"/>
  <c r="AI96" i="40"/>
  <c r="AG96" i="40"/>
  <c r="AE96" i="40"/>
  <c r="AC96" i="40"/>
  <c r="AA96" i="40"/>
  <c r="Y96" i="40"/>
  <c r="W96" i="40"/>
  <c r="U96" i="40"/>
  <c r="S96" i="40"/>
  <c r="Q96" i="40"/>
  <c r="O96" i="40"/>
  <c r="M96" i="40"/>
  <c r="K96" i="40"/>
  <c r="I96" i="40"/>
  <c r="G96" i="40"/>
  <c r="E96" i="40"/>
  <c r="AQ95" i="40"/>
  <c r="AO95" i="40"/>
  <c r="AM95" i="40"/>
  <c r="AK95" i="40"/>
  <c r="AI95" i="40"/>
  <c r="AG95" i="40"/>
  <c r="AE95" i="40"/>
  <c r="AC95" i="40"/>
  <c r="AA95" i="40"/>
  <c r="Y95" i="40"/>
  <c r="W95" i="40"/>
  <c r="U95" i="40"/>
  <c r="S95" i="40"/>
  <c r="Q95" i="40"/>
  <c r="O95" i="40"/>
  <c r="M95" i="40"/>
  <c r="K95" i="40"/>
  <c r="I95" i="40"/>
  <c r="G95" i="40"/>
  <c r="E95" i="40"/>
  <c r="AQ94" i="40"/>
  <c r="AO94" i="40"/>
  <c r="AM94" i="40"/>
  <c r="AK94" i="40"/>
  <c r="AI94" i="40"/>
  <c r="AG94" i="40"/>
  <c r="AE94" i="40"/>
  <c r="AC94" i="40"/>
  <c r="AA94" i="40"/>
  <c r="Y94" i="40"/>
  <c r="W94" i="40"/>
  <c r="U94" i="40"/>
  <c r="S94" i="40"/>
  <c r="Q94" i="40"/>
  <c r="O94" i="40"/>
  <c r="M94" i="40"/>
  <c r="K94" i="40"/>
  <c r="I94" i="40"/>
  <c r="G94" i="40"/>
  <c r="E94" i="40"/>
  <c r="AQ93" i="40"/>
  <c r="AO93" i="40"/>
  <c r="AM93" i="40"/>
  <c r="AK93" i="40"/>
  <c r="AI93" i="40"/>
  <c r="AG93" i="40"/>
  <c r="AE93" i="40"/>
  <c r="AC93" i="40"/>
  <c r="AA93" i="40"/>
  <c r="Y93" i="40"/>
  <c r="W93" i="40"/>
  <c r="U93" i="40"/>
  <c r="S93" i="40"/>
  <c r="Q93" i="40"/>
  <c r="O93" i="40"/>
  <c r="M93" i="40"/>
  <c r="K93" i="40"/>
  <c r="I93" i="40"/>
  <c r="G93" i="40"/>
  <c r="E93" i="40"/>
  <c r="AQ92" i="40"/>
  <c r="AO92" i="40"/>
  <c r="AM92" i="40"/>
  <c r="AK92" i="40"/>
  <c r="AI92" i="40"/>
  <c r="AG92" i="40"/>
  <c r="AE92" i="40"/>
  <c r="AC92" i="40"/>
  <c r="AA92" i="40"/>
  <c r="Y92" i="40"/>
  <c r="W92" i="40"/>
  <c r="U92" i="40"/>
  <c r="S92" i="40"/>
  <c r="Q92" i="40"/>
  <c r="O92" i="40"/>
  <c r="M92" i="40"/>
  <c r="K92" i="40"/>
  <c r="I92" i="40"/>
  <c r="G92" i="40"/>
  <c r="E92" i="40"/>
  <c r="AQ91" i="40"/>
  <c r="AO91" i="40"/>
  <c r="AM91" i="40"/>
  <c r="AK91" i="40"/>
  <c r="AI91" i="40"/>
  <c r="AG91" i="40"/>
  <c r="AE91" i="40"/>
  <c r="AC91" i="40"/>
  <c r="AA91" i="40"/>
  <c r="Y91" i="40"/>
  <c r="W91" i="40"/>
  <c r="U91" i="40"/>
  <c r="S91" i="40"/>
  <c r="Q91" i="40"/>
  <c r="O91" i="40"/>
  <c r="M91" i="40"/>
  <c r="K91" i="40"/>
  <c r="I91" i="40"/>
  <c r="G91" i="40"/>
  <c r="E91" i="40"/>
  <c r="AQ90" i="40"/>
  <c r="AO90" i="40"/>
  <c r="AM90" i="40"/>
  <c r="AK90" i="40"/>
  <c r="AI90" i="40"/>
  <c r="AG90" i="40"/>
  <c r="AE90" i="40"/>
  <c r="AC90" i="40"/>
  <c r="AA90" i="40"/>
  <c r="Y90" i="40"/>
  <c r="W90" i="40"/>
  <c r="U90" i="40"/>
  <c r="S90" i="40"/>
  <c r="Q90" i="40"/>
  <c r="O90" i="40"/>
  <c r="M90" i="40"/>
  <c r="K90" i="40"/>
  <c r="I90" i="40"/>
  <c r="G90" i="40"/>
  <c r="E90" i="40"/>
  <c r="AQ89" i="40"/>
  <c r="AO89" i="40"/>
  <c r="AM89" i="40"/>
  <c r="AK89" i="40"/>
  <c r="AI89" i="40"/>
  <c r="AG89" i="40"/>
  <c r="AE89" i="40"/>
  <c r="AC89" i="40"/>
  <c r="AA89" i="40"/>
  <c r="Y89" i="40"/>
  <c r="W89" i="40"/>
  <c r="U89" i="40"/>
  <c r="S89" i="40"/>
  <c r="Q89" i="40"/>
  <c r="O89" i="40"/>
  <c r="M89" i="40"/>
  <c r="K89" i="40"/>
  <c r="I89" i="40"/>
  <c r="G89" i="40"/>
  <c r="E89" i="40"/>
  <c r="AQ88" i="40"/>
  <c r="AO88" i="40"/>
  <c r="AM88" i="40"/>
  <c r="AK88" i="40"/>
  <c r="AI88" i="40"/>
  <c r="AG88" i="40"/>
  <c r="AE88" i="40"/>
  <c r="AC88" i="40"/>
  <c r="AA88" i="40"/>
  <c r="Y88" i="40"/>
  <c r="W88" i="40"/>
  <c r="U88" i="40"/>
  <c r="S88" i="40"/>
  <c r="Q88" i="40"/>
  <c r="O88" i="40"/>
  <c r="M88" i="40"/>
  <c r="K88" i="40"/>
  <c r="I88" i="40"/>
  <c r="G88" i="40"/>
  <c r="E88" i="40"/>
  <c r="AQ87" i="40"/>
  <c r="AO87" i="40"/>
  <c r="AM87" i="40"/>
  <c r="AK87" i="40"/>
  <c r="AI87" i="40"/>
  <c r="AG87" i="40"/>
  <c r="AE87" i="40"/>
  <c r="AC87" i="40"/>
  <c r="AA87" i="40"/>
  <c r="Y87" i="40"/>
  <c r="W87" i="40"/>
  <c r="U87" i="40"/>
  <c r="S87" i="40"/>
  <c r="Q87" i="40"/>
  <c r="O87" i="40"/>
  <c r="M87" i="40"/>
  <c r="K87" i="40"/>
  <c r="I87" i="40"/>
  <c r="G87" i="40"/>
  <c r="E87" i="40"/>
  <c r="AQ86" i="40"/>
  <c r="AO86" i="40"/>
  <c r="AM86" i="40"/>
  <c r="AK86" i="40"/>
  <c r="AI86" i="40"/>
  <c r="AG86" i="40"/>
  <c r="AE86" i="40"/>
  <c r="AC86" i="40"/>
  <c r="AA86" i="40"/>
  <c r="Y86" i="40"/>
  <c r="W86" i="40"/>
  <c r="U86" i="40"/>
  <c r="S86" i="40"/>
  <c r="Q86" i="40"/>
  <c r="O86" i="40"/>
  <c r="M86" i="40"/>
  <c r="K86" i="40"/>
  <c r="I86" i="40"/>
  <c r="G86" i="40"/>
  <c r="E86" i="40"/>
  <c r="AQ85" i="40"/>
  <c r="AO85" i="40"/>
  <c r="AM85" i="40"/>
  <c r="AK85" i="40"/>
  <c r="AI85" i="40"/>
  <c r="AG85" i="40"/>
  <c r="AE85" i="40"/>
  <c r="AC85" i="40"/>
  <c r="AA85" i="40"/>
  <c r="Y85" i="40"/>
  <c r="W85" i="40"/>
  <c r="U85" i="40"/>
  <c r="S85" i="40"/>
  <c r="Q85" i="40"/>
  <c r="O85" i="40"/>
  <c r="M85" i="40"/>
  <c r="K85" i="40"/>
  <c r="I85" i="40"/>
  <c r="G85" i="40"/>
  <c r="E85" i="40"/>
  <c r="AQ84" i="40"/>
  <c r="AO84" i="40"/>
  <c r="AM84" i="40"/>
  <c r="AK84" i="40"/>
  <c r="AI84" i="40"/>
  <c r="AG84" i="40"/>
  <c r="AE84" i="40"/>
  <c r="AC84" i="40"/>
  <c r="AA84" i="40"/>
  <c r="Y84" i="40"/>
  <c r="W84" i="40"/>
  <c r="U84" i="40"/>
  <c r="S84" i="40"/>
  <c r="Q84" i="40"/>
  <c r="O84" i="40"/>
  <c r="M84" i="40"/>
  <c r="K84" i="40"/>
  <c r="I84" i="40"/>
  <c r="G84" i="40"/>
  <c r="E84" i="40"/>
  <c r="AQ83" i="40"/>
  <c r="AO83" i="40"/>
  <c r="AM83" i="40"/>
  <c r="AK83" i="40"/>
  <c r="AI83" i="40"/>
  <c r="AG83" i="40"/>
  <c r="AE83" i="40"/>
  <c r="AC83" i="40"/>
  <c r="AA83" i="40"/>
  <c r="Y83" i="40"/>
  <c r="W83" i="40"/>
  <c r="U83" i="40"/>
  <c r="S83" i="40"/>
  <c r="Q83" i="40"/>
  <c r="O83" i="40"/>
  <c r="M83" i="40"/>
  <c r="K83" i="40"/>
  <c r="I83" i="40"/>
  <c r="G83" i="40"/>
  <c r="E83" i="40"/>
  <c r="AQ82" i="40"/>
  <c r="AO82" i="40"/>
  <c r="AM82" i="40"/>
  <c r="AK82" i="40"/>
  <c r="AI82" i="40"/>
  <c r="AG82" i="40"/>
  <c r="AE82" i="40"/>
  <c r="AC82" i="40"/>
  <c r="AA82" i="40"/>
  <c r="Y82" i="40"/>
  <c r="W82" i="40"/>
  <c r="U82" i="40"/>
  <c r="S82" i="40"/>
  <c r="Q82" i="40"/>
  <c r="O82" i="40"/>
  <c r="M82" i="40"/>
  <c r="K82" i="40"/>
  <c r="I82" i="40"/>
  <c r="G82" i="40"/>
  <c r="E82" i="40"/>
  <c r="AQ81" i="40"/>
  <c r="AO81" i="40"/>
  <c r="AM81" i="40"/>
  <c r="AK81" i="40"/>
  <c r="AI81" i="40"/>
  <c r="AG81" i="40"/>
  <c r="AE81" i="40"/>
  <c r="AC81" i="40"/>
  <c r="AA81" i="40"/>
  <c r="Y81" i="40"/>
  <c r="W81" i="40"/>
  <c r="U81" i="40"/>
  <c r="S81" i="40"/>
  <c r="Q81" i="40"/>
  <c r="O81" i="40"/>
  <c r="M81" i="40"/>
  <c r="K81" i="40"/>
  <c r="I81" i="40"/>
  <c r="G81" i="40"/>
  <c r="E81" i="40"/>
  <c r="AQ80" i="40"/>
  <c r="AO80" i="40"/>
  <c r="AM80" i="40"/>
  <c r="AK80" i="40"/>
  <c r="AI80" i="40"/>
  <c r="AG80" i="40"/>
  <c r="AE80" i="40"/>
  <c r="AC80" i="40"/>
  <c r="AA80" i="40"/>
  <c r="Y80" i="40"/>
  <c r="W80" i="40"/>
  <c r="U80" i="40"/>
  <c r="S80" i="40"/>
  <c r="Q80" i="40"/>
  <c r="O80" i="40"/>
  <c r="M80" i="40"/>
  <c r="K80" i="40"/>
  <c r="I80" i="40"/>
  <c r="G80" i="40"/>
  <c r="E80" i="40"/>
  <c r="AQ79" i="40"/>
  <c r="AO79" i="40"/>
  <c r="AM79" i="40"/>
  <c r="AK79" i="40"/>
  <c r="AI79" i="40"/>
  <c r="AG79" i="40"/>
  <c r="AE79" i="40"/>
  <c r="AC79" i="40"/>
  <c r="AA79" i="40"/>
  <c r="Y79" i="40"/>
  <c r="W79" i="40"/>
  <c r="U79" i="40"/>
  <c r="S79" i="40"/>
  <c r="Q79" i="40"/>
  <c r="O79" i="40"/>
  <c r="M79" i="40"/>
  <c r="K79" i="40"/>
  <c r="I79" i="40"/>
  <c r="G79" i="40"/>
  <c r="E79" i="40"/>
  <c r="AQ78" i="40"/>
  <c r="AO78" i="40"/>
  <c r="AM78" i="40"/>
  <c r="AK78" i="40"/>
  <c r="AI78" i="40"/>
  <c r="AG78" i="40"/>
  <c r="AE78" i="40"/>
  <c r="AC78" i="40"/>
  <c r="AA78" i="40"/>
  <c r="Y78" i="40"/>
  <c r="W78" i="40"/>
  <c r="U78" i="40"/>
  <c r="S78" i="40"/>
  <c r="Q78" i="40"/>
  <c r="O78" i="40"/>
  <c r="M78" i="40"/>
  <c r="K78" i="40"/>
  <c r="I78" i="40"/>
  <c r="G78" i="40"/>
  <c r="E78" i="40"/>
  <c r="AQ77" i="40"/>
  <c r="AO77" i="40"/>
  <c r="AM77" i="40"/>
  <c r="AK77" i="40"/>
  <c r="AI77" i="40"/>
  <c r="AG77" i="40"/>
  <c r="AE77" i="40"/>
  <c r="AC77" i="40"/>
  <c r="AA77" i="40"/>
  <c r="Y77" i="40"/>
  <c r="W77" i="40"/>
  <c r="U77" i="40"/>
  <c r="S77" i="40"/>
  <c r="Q77" i="40"/>
  <c r="O77" i="40"/>
  <c r="M77" i="40"/>
  <c r="K77" i="40"/>
  <c r="I77" i="40"/>
  <c r="G77" i="40"/>
  <c r="E77" i="40"/>
  <c r="AQ76" i="40"/>
  <c r="AO76" i="40"/>
  <c r="AM76" i="40"/>
  <c r="AK76" i="40"/>
  <c r="AI76" i="40"/>
  <c r="AG76" i="40"/>
  <c r="AE76" i="40"/>
  <c r="AC76" i="40"/>
  <c r="AA76" i="40"/>
  <c r="Y76" i="40"/>
  <c r="W76" i="40"/>
  <c r="U76" i="40"/>
  <c r="S76" i="40"/>
  <c r="Q76" i="40"/>
  <c r="O76" i="40"/>
  <c r="M76" i="40"/>
  <c r="K76" i="40"/>
  <c r="I76" i="40"/>
  <c r="G76" i="40"/>
  <c r="E76" i="40"/>
  <c r="AQ75" i="40"/>
  <c r="AO75" i="40"/>
  <c r="AM75" i="40"/>
  <c r="AK75" i="40"/>
  <c r="AI75" i="40"/>
  <c r="AG75" i="40"/>
  <c r="AE75" i="40"/>
  <c r="AC75" i="40"/>
  <c r="AA75" i="40"/>
  <c r="Y75" i="40"/>
  <c r="W75" i="40"/>
  <c r="U75" i="40"/>
  <c r="S75" i="40"/>
  <c r="Q75" i="40"/>
  <c r="O75" i="40"/>
  <c r="M75" i="40"/>
  <c r="K75" i="40"/>
  <c r="I75" i="40"/>
  <c r="G75" i="40"/>
  <c r="E75" i="40"/>
  <c r="AQ74" i="40"/>
  <c r="AO74" i="40"/>
  <c r="AM74" i="40"/>
  <c r="AK74" i="40"/>
  <c r="AI74" i="40"/>
  <c r="AG74" i="40"/>
  <c r="AE74" i="40"/>
  <c r="AC74" i="40"/>
  <c r="AA74" i="40"/>
  <c r="Y74" i="40"/>
  <c r="W74" i="40"/>
  <c r="U74" i="40"/>
  <c r="S74" i="40"/>
  <c r="Q74" i="40"/>
  <c r="O74" i="40"/>
  <c r="M74" i="40"/>
  <c r="K74" i="40"/>
  <c r="I74" i="40"/>
  <c r="G74" i="40"/>
  <c r="E74" i="40"/>
  <c r="AQ73" i="40"/>
  <c r="AO73" i="40"/>
  <c r="AM73" i="40"/>
  <c r="AK73" i="40"/>
  <c r="AI73" i="40"/>
  <c r="AG73" i="40"/>
  <c r="AE73" i="40"/>
  <c r="AC73" i="40"/>
  <c r="AA73" i="40"/>
  <c r="Y73" i="40"/>
  <c r="W73" i="40"/>
  <c r="U73" i="40"/>
  <c r="S73" i="40"/>
  <c r="Q73" i="40"/>
  <c r="O73" i="40"/>
  <c r="M73" i="40"/>
  <c r="K73" i="40"/>
  <c r="I73" i="40"/>
  <c r="G73" i="40"/>
  <c r="E73" i="40"/>
  <c r="AQ72" i="40"/>
  <c r="AO72" i="40"/>
  <c r="AM72" i="40"/>
  <c r="AK72" i="40"/>
  <c r="AI72" i="40"/>
  <c r="AG72" i="40"/>
  <c r="AE72" i="40"/>
  <c r="AC72" i="40"/>
  <c r="AA72" i="40"/>
  <c r="Y72" i="40"/>
  <c r="W72" i="40"/>
  <c r="U72" i="40"/>
  <c r="S72" i="40"/>
  <c r="Q72" i="40"/>
  <c r="O72" i="40"/>
  <c r="M72" i="40"/>
  <c r="K72" i="40"/>
  <c r="I72" i="40"/>
  <c r="G72" i="40"/>
  <c r="E72" i="40"/>
  <c r="AQ71" i="40"/>
  <c r="AO71" i="40"/>
  <c r="AM71" i="40"/>
  <c r="AK71" i="40"/>
  <c r="AI71" i="40"/>
  <c r="AG71" i="40"/>
  <c r="AE71" i="40"/>
  <c r="AC71" i="40"/>
  <c r="AA71" i="40"/>
  <c r="Y71" i="40"/>
  <c r="W71" i="40"/>
  <c r="U71" i="40"/>
  <c r="S71" i="40"/>
  <c r="Q71" i="40"/>
  <c r="O71" i="40"/>
  <c r="M71" i="40"/>
  <c r="K71" i="40"/>
  <c r="I71" i="40"/>
  <c r="G71" i="40"/>
  <c r="E71" i="40"/>
  <c r="AQ70" i="40"/>
  <c r="AO70" i="40"/>
  <c r="AM70" i="40"/>
  <c r="AK70" i="40"/>
  <c r="AI70" i="40"/>
  <c r="AG70" i="40"/>
  <c r="AE70" i="40"/>
  <c r="AC70" i="40"/>
  <c r="AA70" i="40"/>
  <c r="Y70" i="40"/>
  <c r="W70" i="40"/>
  <c r="U70" i="40"/>
  <c r="S70" i="40"/>
  <c r="Q70" i="40"/>
  <c r="O70" i="40"/>
  <c r="M70" i="40"/>
  <c r="K70" i="40"/>
  <c r="I70" i="40"/>
  <c r="G70" i="40"/>
  <c r="E70" i="40"/>
  <c r="AQ69" i="40"/>
  <c r="AO69" i="40"/>
  <c r="AM69" i="40"/>
  <c r="AK69" i="40"/>
  <c r="AI69" i="40"/>
  <c r="AG69" i="40"/>
  <c r="AE69" i="40"/>
  <c r="AC69" i="40"/>
  <c r="AA69" i="40"/>
  <c r="Y69" i="40"/>
  <c r="W69" i="40"/>
  <c r="U69" i="40"/>
  <c r="S69" i="40"/>
  <c r="Q69" i="40"/>
  <c r="O69" i="40"/>
  <c r="M69" i="40"/>
  <c r="K69" i="40"/>
  <c r="I69" i="40"/>
  <c r="G69" i="40"/>
  <c r="E69" i="40"/>
  <c r="AQ68" i="40"/>
  <c r="AO68" i="40"/>
  <c r="AM68" i="40"/>
  <c r="AK68" i="40"/>
  <c r="AI68" i="40"/>
  <c r="AG68" i="40"/>
  <c r="AE68" i="40"/>
  <c r="AC68" i="40"/>
  <c r="AA68" i="40"/>
  <c r="Y68" i="40"/>
  <c r="W68" i="40"/>
  <c r="U68" i="40"/>
  <c r="S68" i="40"/>
  <c r="Q68" i="40"/>
  <c r="O68" i="40"/>
  <c r="M68" i="40"/>
  <c r="K68" i="40"/>
  <c r="I68" i="40"/>
  <c r="G68" i="40"/>
  <c r="E68" i="40"/>
  <c r="AQ67" i="40"/>
  <c r="AO67" i="40"/>
  <c r="AM67" i="40"/>
  <c r="AK67" i="40"/>
  <c r="AI67" i="40"/>
  <c r="AG67" i="40"/>
  <c r="AE67" i="40"/>
  <c r="AC67" i="40"/>
  <c r="AA67" i="40"/>
  <c r="Y67" i="40"/>
  <c r="W67" i="40"/>
  <c r="U67" i="40"/>
  <c r="S67" i="40"/>
  <c r="Q67" i="40"/>
  <c r="O67" i="40"/>
  <c r="M67" i="40"/>
  <c r="K67" i="40"/>
  <c r="I67" i="40"/>
  <c r="G67" i="40"/>
  <c r="E67" i="40"/>
  <c r="AQ66" i="40"/>
  <c r="AO66" i="40"/>
  <c r="AM66" i="40"/>
  <c r="AK66" i="40"/>
  <c r="AI66" i="40"/>
  <c r="AG66" i="40"/>
  <c r="AE66" i="40"/>
  <c r="AC66" i="40"/>
  <c r="AA66" i="40"/>
  <c r="Y66" i="40"/>
  <c r="W66" i="40"/>
  <c r="U66" i="40"/>
  <c r="S66" i="40"/>
  <c r="Q66" i="40"/>
  <c r="O66" i="40"/>
  <c r="M66" i="40"/>
  <c r="K66" i="40"/>
  <c r="I66" i="40"/>
  <c r="G66" i="40"/>
  <c r="E66" i="40"/>
  <c r="AQ65" i="40"/>
  <c r="AO65" i="40"/>
  <c r="AM65" i="40"/>
  <c r="AK65" i="40"/>
  <c r="AI65" i="40"/>
  <c r="AG65" i="40"/>
  <c r="AE65" i="40"/>
  <c r="AC65" i="40"/>
  <c r="AA65" i="40"/>
  <c r="Y65" i="40"/>
  <c r="W65" i="40"/>
  <c r="U65" i="40"/>
  <c r="S65" i="40"/>
  <c r="Q65" i="40"/>
  <c r="O65" i="40"/>
  <c r="M65" i="40"/>
  <c r="K65" i="40"/>
  <c r="I65" i="40"/>
  <c r="G65" i="40"/>
  <c r="E65" i="40"/>
  <c r="AQ64" i="40"/>
  <c r="AO64" i="40"/>
  <c r="AM64" i="40"/>
  <c r="AK64" i="40"/>
  <c r="AI64" i="40"/>
  <c r="AG64" i="40"/>
  <c r="AE64" i="40"/>
  <c r="AC64" i="40"/>
  <c r="AA64" i="40"/>
  <c r="Y64" i="40"/>
  <c r="W64" i="40"/>
  <c r="U64" i="40"/>
  <c r="S64" i="40"/>
  <c r="Q64" i="40"/>
  <c r="O64" i="40"/>
  <c r="M64" i="40"/>
  <c r="K64" i="40"/>
  <c r="I64" i="40"/>
  <c r="G64" i="40"/>
  <c r="E64" i="40"/>
  <c r="AQ63" i="40"/>
  <c r="AO63" i="40"/>
  <c r="AM63" i="40"/>
  <c r="AK63" i="40"/>
  <c r="AI63" i="40"/>
  <c r="AG63" i="40"/>
  <c r="AE63" i="40"/>
  <c r="AC63" i="40"/>
  <c r="AA63" i="40"/>
  <c r="Y63" i="40"/>
  <c r="W63" i="40"/>
  <c r="U63" i="40"/>
  <c r="S63" i="40"/>
  <c r="Q63" i="40"/>
  <c r="O63" i="40"/>
  <c r="M63" i="40"/>
  <c r="K63" i="40"/>
  <c r="I63" i="40"/>
  <c r="G63" i="40"/>
  <c r="E63" i="40"/>
  <c r="AQ62" i="40"/>
  <c r="AO62" i="40"/>
  <c r="AM62" i="40"/>
  <c r="AK62" i="40"/>
  <c r="AI62" i="40"/>
  <c r="AG62" i="40"/>
  <c r="AE62" i="40"/>
  <c r="AC62" i="40"/>
  <c r="AA62" i="40"/>
  <c r="Y62" i="40"/>
  <c r="W62" i="40"/>
  <c r="U62" i="40"/>
  <c r="S62" i="40"/>
  <c r="Q62" i="40"/>
  <c r="O62" i="40"/>
  <c r="M62" i="40"/>
  <c r="K62" i="40"/>
  <c r="I62" i="40"/>
  <c r="G62" i="40"/>
  <c r="E62" i="40"/>
  <c r="AQ61" i="40"/>
  <c r="AO61" i="40"/>
  <c r="AM61" i="40"/>
  <c r="AK61" i="40"/>
  <c r="AI61" i="40"/>
  <c r="AG61" i="40"/>
  <c r="AE61" i="40"/>
  <c r="AC61" i="40"/>
  <c r="AA61" i="40"/>
  <c r="Y61" i="40"/>
  <c r="W61" i="40"/>
  <c r="U61" i="40"/>
  <c r="S61" i="40"/>
  <c r="Q61" i="40"/>
  <c r="O61" i="40"/>
  <c r="M61" i="40"/>
  <c r="K61" i="40"/>
  <c r="I61" i="40"/>
  <c r="G61" i="40"/>
  <c r="E61" i="40"/>
  <c r="AQ60" i="40"/>
  <c r="AO60" i="40"/>
  <c r="AM60" i="40"/>
  <c r="AK60" i="40"/>
  <c r="AI60" i="40"/>
  <c r="AG60" i="40"/>
  <c r="AE60" i="40"/>
  <c r="AC60" i="40"/>
  <c r="AA60" i="40"/>
  <c r="Y60" i="40"/>
  <c r="W60" i="40"/>
  <c r="U60" i="40"/>
  <c r="S60" i="40"/>
  <c r="Q60" i="40"/>
  <c r="O60" i="40"/>
  <c r="M60" i="40"/>
  <c r="K60" i="40"/>
  <c r="I60" i="40"/>
  <c r="G60" i="40"/>
  <c r="E60" i="40"/>
  <c r="AQ59" i="40"/>
  <c r="AO59" i="40"/>
  <c r="AM59" i="40"/>
  <c r="AK59" i="40"/>
  <c r="AI59" i="40"/>
  <c r="AG59" i="40"/>
  <c r="AE59" i="40"/>
  <c r="AC59" i="40"/>
  <c r="AA59" i="40"/>
  <c r="Y59" i="40"/>
  <c r="W59" i="40"/>
  <c r="U59" i="40"/>
  <c r="S59" i="40"/>
  <c r="Q59" i="40"/>
  <c r="O59" i="40"/>
  <c r="M59" i="40"/>
  <c r="K59" i="40"/>
  <c r="I59" i="40"/>
  <c r="G59" i="40"/>
  <c r="E59" i="40"/>
  <c r="AQ58" i="40"/>
  <c r="AO58" i="40"/>
  <c r="AM58" i="40"/>
  <c r="AK58" i="40"/>
  <c r="AI58" i="40"/>
  <c r="AG58" i="40"/>
  <c r="AE58" i="40"/>
  <c r="AC58" i="40"/>
  <c r="AA58" i="40"/>
  <c r="Y58" i="40"/>
  <c r="W58" i="40"/>
  <c r="U58" i="40"/>
  <c r="S58" i="40"/>
  <c r="Q58" i="40"/>
  <c r="O58" i="40"/>
  <c r="M58" i="40"/>
  <c r="K58" i="40"/>
  <c r="I58" i="40"/>
  <c r="G58" i="40"/>
  <c r="E58" i="40"/>
  <c r="AQ57" i="40"/>
  <c r="AO57" i="40"/>
  <c r="AM57" i="40"/>
  <c r="AK57" i="40"/>
  <c r="AI57" i="40"/>
  <c r="AG57" i="40"/>
  <c r="AE57" i="40"/>
  <c r="AC57" i="40"/>
  <c r="AA57" i="40"/>
  <c r="Y57" i="40"/>
  <c r="W57" i="40"/>
  <c r="U57" i="40"/>
  <c r="S57" i="40"/>
  <c r="Q57" i="40"/>
  <c r="O57" i="40"/>
  <c r="M57" i="40"/>
  <c r="K57" i="40"/>
  <c r="I57" i="40"/>
  <c r="G57" i="40"/>
  <c r="E57" i="40"/>
  <c r="AQ56" i="40"/>
  <c r="AO56" i="40"/>
  <c r="AM56" i="40"/>
  <c r="AK56" i="40"/>
  <c r="AI56" i="40"/>
  <c r="AG56" i="40"/>
  <c r="AE56" i="40"/>
  <c r="AC56" i="40"/>
  <c r="AA56" i="40"/>
  <c r="Y56" i="40"/>
  <c r="W56" i="40"/>
  <c r="U56" i="40"/>
  <c r="S56" i="40"/>
  <c r="Q56" i="40"/>
  <c r="O56" i="40"/>
  <c r="M56" i="40"/>
  <c r="K56" i="40"/>
  <c r="I56" i="40"/>
  <c r="G56" i="40"/>
  <c r="E56" i="40"/>
  <c r="AQ55" i="40"/>
  <c r="AO55" i="40"/>
  <c r="AM55" i="40"/>
  <c r="AK55" i="40"/>
  <c r="AI55" i="40"/>
  <c r="AG55" i="40"/>
  <c r="AE55" i="40"/>
  <c r="AC55" i="40"/>
  <c r="AA55" i="40"/>
  <c r="Y55" i="40"/>
  <c r="W55" i="40"/>
  <c r="U55" i="40"/>
  <c r="S55" i="40"/>
  <c r="Q55" i="40"/>
  <c r="O55" i="40"/>
  <c r="M55" i="40"/>
  <c r="K55" i="40"/>
  <c r="I55" i="40"/>
  <c r="G55" i="40"/>
  <c r="E55" i="40"/>
  <c r="AQ54" i="40"/>
  <c r="AO54" i="40"/>
  <c r="AM54" i="40"/>
  <c r="AK54" i="40"/>
  <c r="AI54" i="40"/>
  <c r="AG54" i="40"/>
  <c r="AE54" i="40"/>
  <c r="AC54" i="40"/>
  <c r="AA54" i="40"/>
  <c r="Y54" i="40"/>
  <c r="W54" i="40"/>
  <c r="U54" i="40"/>
  <c r="S54" i="40"/>
  <c r="Q54" i="40"/>
  <c r="O54" i="40"/>
  <c r="M54" i="40"/>
  <c r="K54" i="40"/>
  <c r="I54" i="40"/>
  <c r="G54" i="40"/>
  <c r="E54" i="40"/>
  <c r="AQ53" i="40"/>
  <c r="AO53" i="40"/>
  <c r="AM53" i="40"/>
  <c r="AK53" i="40"/>
  <c r="AI53" i="40"/>
  <c r="AG53" i="40"/>
  <c r="AE53" i="40"/>
  <c r="AC53" i="40"/>
  <c r="AA53" i="40"/>
  <c r="Y53" i="40"/>
  <c r="W53" i="40"/>
  <c r="U53" i="40"/>
  <c r="S53" i="40"/>
  <c r="Q53" i="40"/>
  <c r="O53" i="40"/>
  <c r="M53" i="40"/>
  <c r="K53" i="40"/>
  <c r="I53" i="40"/>
  <c r="G53" i="40"/>
  <c r="E53" i="40"/>
  <c r="AQ52" i="40"/>
  <c r="AO52" i="40"/>
  <c r="AM52" i="40"/>
  <c r="AK52" i="40"/>
  <c r="AI52" i="40"/>
  <c r="AG52" i="40"/>
  <c r="AE52" i="40"/>
  <c r="AC52" i="40"/>
  <c r="AA52" i="40"/>
  <c r="Y52" i="40"/>
  <c r="W52" i="40"/>
  <c r="U52" i="40"/>
  <c r="S52" i="40"/>
  <c r="Q52" i="40"/>
  <c r="O52" i="40"/>
  <c r="M52" i="40"/>
  <c r="K52" i="40"/>
  <c r="I52" i="40"/>
  <c r="G52" i="40"/>
  <c r="E52" i="40"/>
  <c r="AQ51" i="40"/>
  <c r="AO51" i="40"/>
  <c r="AM51" i="40"/>
  <c r="AK51" i="40"/>
  <c r="AI51" i="40"/>
  <c r="AG51" i="40"/>
  <c r="AE51" i="40"/>
  <c r="AC51" i="40"/>
  <c r="AA51" i="40"/>
  <c r="Y51" i="40"/>
  <c r="W51" i="40"/>
  <c r="U51" i="40"/>
  <c r="S51" i="40"/>
  <c r="Q51" i="40"/>
  <c r="O51" i="40"/>
  <c r="M51" i="40"/>
  <c r="K51" i="40"/>
  <c r="I51" i="40"/>
  <c r="G51" i="40"/>
  <c r="E51" i="40"/>
  <c r="AQ50" i="40"/>
  <c r="AO50" i="40"/>
  <c r="AM50" i="40"/>
  <c r="AK50" i="40"/>
  <c r="AI50" i="40"/>
  <c r="AG50" i="40"/>
  <c r="AE50" i="40"/>
  <c r="AC50" i="40"/>
  <c r="AA50" i="40"/>
  <c r="Y50" i="40"/>
  <c r="W50" i="40"/>
  <c r="U50" i="40"/>
  <c r="S50" i="40"/>
  <c r="Q50" i="40"/>
  <c r="O50" i="40"/>
  <c r="M50" i="40"/>
  <c r="K50" i="40"/>
  <c r="I50" i="40"/>
  <c r="G50" i="40"/>
  <c r="E50" i="40"/>
  <c r="AQ49" i="40"/>
  <c r="AO49" i="40"/>
  <c r="AM49" i="40"/>
  <c r="AK49" i="40"/>
  <c r="AI49" i="40"/>
  <c r="AG49" i="40"/>
  <c r="AE49" i="40"/>
  <c r="AC49" i="40"/>
  <c r="AA49" i="40"/>
  <c r="Y49" i="40"/>
  <c r="W49" i="40"/>
  <c r="U49" i="40"/>
  <c r="S49" i="40"/>
  <c r="Q49" i="40"/>
  <c r="O49" i="40"/>
  <c r="M49" i="40"/>
  <c r="K49" i="40"/>
  <c r="I49" i="40"/>
  <c r="G49" i="40"/>
  <c r="E49" i="40"/>
  <c r="AQ48" i="40"/>
  <c r="AO48" i="40"/>
  <c r="AM48" i="40"/>
  <c r="AK48" i="40"/>
  <c r="AI48" i="40"/>
  <c r="AG48" i="40"/>
  <c r="AE48" i="40"/>
  <c r="AC48" i="40"/>
  <c r="AA48" i="40"/>
  <c r="Y48" i="40"/>
  <c r="W48" i="40"/>
  <c r="U48" i="40"/>
  <c r="S48" i="40"/>
  <c r="Q48" i="40"/>
  <c r="O48" i="40"/>
  <c r="M48" i="40"/>
  <c r="K48" i="40"/>
  <c r="I48" i="40"/>
  <c r="G48" i="40"/>
  <c r="E48" i="40"/>
  <c r="AQ47" i="40"/>
  <c r="AO47" i="40"/>
  <c r="AM47" i="40"/>
  <c r="AK47" i="40"/>
  <c r="AI47" i="40"/>
  <c r="AG47" i="40"/>
  <c r="AE47" i="40"/>
  <c r="AC47" i="40"/>
  <c r="AA47" i="40"/>
  <c r="Y47" i="40"/>
  <c r="W47" i="40"/>
  <c r="U47" i="40"/>
  <c r="S47" i="40"/>
  <c r="Q47" i="40"/>
  <c r="O47" i="40"/>
  <c r="M47" i="40"/>
  <c r="K47" i="40"/>
  <c r="I47" i="40"/>
  <c r="G47" i="40"/>
  <c r="E47" i="40"/>
  <c r="AQ46" i="40"/>
  <c r="AO46" i="40"/>
  <c r="AM46" i="40"/>
  <c r="AK46" i="40"/>
  <c r="AI46" i="40"/>
  <c r="AG46" i="40"/>
  <c r="AE46" i="40"/>
  <c r="AC46" i="40"/>
  <c r="AA46" i="40"/>
  <c r="Y46" i="40"/>
  <c r="W46" i="40"/>
  <c r="U46" i="40"/>
  <c r="S46" i="40"/>
  <c r="Q46" i="40"/>
  <c r="O46" i="40"/>
  <c r="M46" i="40"/>
  <c r="K46" i="40"/>
  <c r="I46" i="40"/>
  <c r="G46" i="40"/>
  <c r="E46" i="40"/>
  <c r="AQ45" i="40"/>
  <c r="AO45" i="40"/>
  <c r="AM45" i="40"/>
  <c r="AK45" i="40"/>
  <c r="AI45" i="40"/>
  <c r="AG45" i="40"/>
  <c r="AE45" i="40"/>
  <c r="AC45" i="40"/>
  <c r="AA45" i="40"/>
  <c r="Y45" i="40"/>
  <c r="W45" i="40"/>
  <c r="U45" i="40"/>
  <c r="S45" i="40"/>
  <c r="Q45" i="40"/>
  <c r="O45" i="40"/>
  <c r="M45" i="40"/>
  <c r="K45" i="40"/>
  <c r="I45" i="40"/>
  <c r="G45" i="40"/>
  <c r="E45" i="40"/>
  <c r="AQ44" i="40"/>
  <c r="AO44" i="40"/>
  <c r="AM44" i="40"/>
  <c r="AK44" i="40"/>
  <c r="AI44" i="40"/>
  <c r="AG44" i="40"/>
  <c r="AE44" i="40"/>
  <c r="AC44" i="40"/>
  <c r="AA44" i="40"/>
  <c r="Y44" i="40"/>
  <c r="W44" i="40"/>
  <c r="U44" i="40"/>
  <c r="S44" i="40"/>
  <c r="Q44" i="40"/>
  <c r="O44" i="40"/>
  <c r="M44" i="40"/>
  <c r="K44" i="40"/>
  <c r="I44" i="40"/>
  <c r="G44" i="40"/>
  <c r="E44" i="40"/>
  <c r="AQ43" i="40"/>
  <c r="AO43" i="40"/>
  <c r="AM43" i="40"/>
  <c r="AK43" i="40"/>
  <c r="AI43" i="40"/>
  <c r="AG43" i="40"/>
  <c r="AE43" i="40"/>
  <c r="AC43" i="40"/>
  <c r="AA43" i="40"/>
  <c r="Y43" i="40"/>
  <c r="W43" i="40"/>
  <c r="U43" i="40"/>
  <c r="S43" i="40"/>
  <c r="Q43" i="40"/>
  <c r="O43" i="40"/>
  <c r="M43" i="40"/>
  <c r="K43" i="40"/>
  <c r="I43" i="40"/>
  <c r="G43" i="40"/>
  <c r="E43" i="40"/>
  <c r="AQ42" i="40"/>
  <c r="AO42" i="40"/>
  <c r="AM42" i="40"/>
  <c r="AK42" i="40"/>
  <c r="AI42" i="40"/>
  <c r="AG42" i="40"/>
  <c r="AE42" i="40"/>
  <c r="AC42" i="40"/>
  <c r="AA42" i="40"/>
  <c r="Y42" i="40"/>
  <c r="W42" i="40"/>
  <c r="U42" i="40"/>
  <c r="S42" i="40"/>
  <c r="Q42" i="40"/>
  <c r="O42" i="40"/>
  <c r="M42" i="40"/>
  <c r="K42" i="40"/>
  <c r="I42" i="40"/>
  <c r="G42" i="40"/>
  <c r="E42" i="40"/>
  <c r="AQ41" i="40"/>
  <c r="AO41" i="40"/>
  <c r="AM41" i="40"/>
  <c r="AK41" i="40"/>
  <c r="AI41" i="40"/>
  <c r="AG41" i="40"/>
  <c r="AE41" i="40"/>
  <c r="AC41" i="40"/>
  <c r="AA41" i="40"/>
  <c r="Y41" i="40"/>
  <c r="W41" i="40"/>
  <c r="U41" i="40"/>
  <c r="S41" i="40"/>
  <c r="Q41" i="40"/>
  <c r="O41" i="40"/>
  <c r="M41" i="40"/>
  <c r="K41" i="40"/>
  <c r="I41" i="40"/>
  <c r="G41" i="40"/>
  <c r="E41" i="40"/>
  <c r="AQ40" i="40"/>
  <c r="AO40" i="40"/>
  <c r="AM40" i="40"/>
  <c r="AK40" i="40"/>
  <c r="AI40" i="40"/>
  <c r="AG40" i="40"/>
  <c r="AE40" i="40"/>
  <c r="AC40" i="40"/>
  <c r="AA40" i="40"/>
  <c r="Y40" i="40"/>
  <c r="W40" i="40"/>
  <c r="U40" i="40"/>
  <c r="S40" i="40"/>
  <c r="Q40" i="40"/>
  <c r="O40" i="40"/>
  <c r="M40" i="40"/>
  <c r="K40" i="40"/>
  <c r="I40" i="40"/>
  <c r="G40" i="40"/>
  <c r="E40" i="40"/>
  <c r="AQ39" i="40"/>
  <c r="AO39" i="40"/>
  <c r="AM39" i="40"/>
  <c r="AK39" i="40"/>
  <c r="AI39" i="40"/>
  <c r="AG39" i="40"/>
  <c r="AE39" i="40"/>
  <c r="AC39" i="40"/>
  <c r="AA39" i="40"/>
  <c r="Y39" i="40"/>
  <c r="W39" i="40"/>
  <c r="U39" i="40"/>
  <c r="S39" i="40"/>
  <c r="Q39" i="40"/>
  <c r="O39" i="40"/>
  <c r="M39" i="40"/>
  <c r="K39" i="40"/>
  <c r="I39" i="40"/>
  <c r="G39" i="40"/>
  <c r="E39" i="40"/>
  <c r="AQ38" i="40"/>
  <c r="AO38" i="40"/>
  <c r="AM38" i="40"/>
  <c r="AK38" i="40"/>
  <c r="AI38" i="40"/>
  <c r="AG38" i="40"/>
  <c r="AE38" i="40"/>
  <c r="AC38" i="40"/>
  <c r="AA38" i="40"/>
  <c r="Y38" i="40"/>
  <c r="W38" i="40"/>
  <c r="U38" i="40"/>
  <c r="S38" i="40"/>
  <c r="Q38" i="40"/>
  <c r="O38" i="40"/>
  <c r="M38" i="40"/>
  <c r="K38" i="40"/>
  <c r="I38" i="40"/>
  <c r="G38" i="40"/>
  <c r="E38" i="40"/>
  <c r="AQ37" i="40"/>
  <c r="AO37" i="40"/>
  <c r="AM37" i="40"/>
  <c r="AK37" i="40"/>
  <c r="AI37" i="40"/>
  <c r="AG37" i="40"/>
  <c r="AE37" i="40"/>
  <c r="AC37" i="40"/>
  <c r="AA37" i="40"/>
  <c r="Y37" i="40"/>
  <c r="W37" i="40"/>
  <c r="U37" i="40"/>
  <c r="S37" i="40"/>
  <c r="Q37" i="40"/>
  <c r="O37" i="40"/>
  <c r="M37" i="40"/>
  <c r="K37" i="40"/>
  <c r="I37" i="40"/>
  <c r="G37" i="40"/>
  <c r="E37" i="40"/>
  <c r="C37" i="40"/>
  <c r="AQ36" i="40"/>
  <c r="AO36" i="40"/>
  <c r="AM36" i="40"/>
  <c r="AK36" i="40"/>
  <c r="AI36" i="40"/>
  <c r="AG36" i="40"/>
  <c r="AE36" i="40"/>
  <c r="AC36" i="40"/>
  <c r="AA36" i="40"/>
  <c r="Y36" i="40"/>
  <c r="W36" i="40"/>
  <c r="U36" i="40"/>
  <c r="S36" i="40"/>
  <c r="Q36" i="40"/>
  <c r="O36" i="40"/>
  <c r="M36" i="40"/>
  <c r="K36" i="40"/>
  <c r="I36" i="40"/>
  <c r="G36" i="40"/>
  <c r="E36" i="40"/>
  <c r="AQ35" i="40"/>
  <c r="AO35" i="40"/>
  <c r="AM35" i="40"/>
  <c r="AK35" i="40"/>
  <c r="AI35" i="40"/>
  <c r="AG35" i="40"/>
  <c r="AE35" i="40"/>
  <c r="AC35" i="40"/>
  <c r="AA35" i="40"/>
  <c r="Y35" i="40"/>
  <c r="W35" i="40"/>
  <c r="U35" i="40"/>
  <c r="S35" i="40"/>
  <c r="Q35" i="40"/>
  <c r="O35" i="40"/>
  <c r="M35" i="40"/>
  <c r="K35" i="40"/>
  <c r="I35" i="40"/>
  <c r="G35" i="40"/>
  <c r="E35" i="40"/>
  <c r="AQ34" i="40"/>
  <c r="AO34" i="40"/>
  <c r="AM34" i="40"/>
  <c r="AK34" i="40"/>
  <c r="AI34" i="40"/>
  <c r="AG34" i="40"/>
  <c r="AE34" i="40"/>
  <c r="AC34" i="40"/>
  <c r="AA34" i="40"/>
  <c r="Y34" i="40"/>
  <c r="W34" i="40"/>
  <c r="U34" i="40"/>
  <c r="S34" i="40"/>
  <c r="Q34" i="40"/>
  <c r="M34" i="40"/>
  <c r="K34" i="40"/>
  <c r="I34" i="40"/>
  <c r="G34" i="40"/>
  <c r="AQ33" i="40"/>
  <c r="AO33" i="40"/>
  <c r="AM33" i="40"/>
  <c r="AK33" i="40"/>
  <c r="AI33" i="40"/>
  <c r="AG33" i="40"/>
  <c r="AE33" i="40"/>
  <c r="AC33" i="40"/>
  <c r="AA33" i="40"/>
  <c r="Y33" i="40"/>
  <c r="W33" i="40"/>
  <c r="U33" i="40"/>
  <c r="S33" i="40"/>
  <c r="Q33" i="40"/>
  <c r="M33" i="40"/>
  <c r="K33" i="40"/>
  <c r="I33" i="40"/>
  <c r="G33" i="40"/>
  <c r="AQ32" i="40"/>
  <c r="AO32" i="40"/>
  <c r="AM32" i="40"/>
  <c r="AK32" i="40"/>
  <c r="AI32" i="40"/>
  <c r="AG32" i="40"/>
  <c r="AE32" i="40"/>
  <c r="AC32" i="40"/>
  <c r="AA32" i="40"/>
  <c r="Y32" i="40"/>
  <c r="W32" i="40"/>
  <c r="U32" i="40"/>
  <c r="S32" i="40"/>
  <c r="Q32" i="40"/>
  <c r="M32" i="40"/>
  <c r="K32" i="40"/>
  <c r="I32" i="40"/>
  <c r="G32" i="40"/>
  <c r="AQ31" i="40"/>
  <c r="AO31" i="40"/>
  <c r="AM31" i="40"/>
  <c r="AK31" i="40"/>
  <c r="AI31" i="40"/>
  <c r="AG31" i="40"/>
  <c r="AE31" i="40"/>
  <c r="AC31" i="40"/>
  <c r="Y31" i="40"/>
  <c r="W31" i="40"/>
  <c r="U31" i="40"/>
  <c r="S31" i="40"/>
  <c r="Q31" i="40"/>
  <c r="M31" i="40"/>
  <c r="K31" i="40"/>
  <c r="I31" i="40"/>
  <c r="G31" i="40"/>
  <c r="AO30" i="40"/>
  <c r="AM30" i="40"/>
  <c r="AI30" i="40"/>
  <c r="AG30" i="40"/>
  <c r="AE30" i="40"/>
  <c r="AC30" i="40"/>
  <c r="Y30" i="40"/>
  <c r="W30" i="40"/>
  <c r="U30" i="40"/>
  <c r="S30" i="40"/>
  <c r="Q30" i="40"/>
  <c r="M30" i="40"/>
  <c r="K30" i="40"/>
  <c r="I30" i="40"/>
  <c r="G30" i="40"/>
  <c r="AQ29" i="40"/>
  <c r="AO29" i="40"/>
  <c r="AM29" i="40"/>
  <c r="AK29" i="40"/>
  <c r="AI29" i="40"/>
  <c r="AG29" i="40"/>
  <c r="AE29" i="40"/>
  <c r="AC29" i="40"/>
  <c r="AA29" i="40"/>
  <c r="Y29" i="40"/>
  <c r="W29" i="40"/>
  <c r="U29" i="40"/>
  <c r="S29" i="40"/>
  <c r="Q29" i="40"/>
  <c r="O29" i="40"/>
  <c r="M29" i="40"/>
  <c r="K29" i="40"/>
  <c r="I29" i="40"/>
  <c r="G29" i="40"/>
  <c r="E29" i="40"/>
  <c r="AO26" i="40"/>
  <c r="AM26" i="40"/>
  <c r="AK26" i="40"/>
  <c r="AE26" i="40"/>
  <c r="AC26" i="40"/>
  <c r="Y26" i="40"/>
  <c r="W26" i="40"/>
  <c r="U26" i="40"/>
  <c r="O26" i="40"/>
  <c r="M26" i="40"/>
  <c r="I26" i="40"/>
  <c r="G26" i="40"/>
  <c r="E26" i="40"/>
  <c r="B26" i="40"/>
  <c r="AI26" i="40" s="1"/>
  <c r="B25" i="40"/>
  <c r="AG25" i="40" s="1"/>
  <c r="AQ24" i="40"/>
  <c r="AO24" i="40"/>
  <c r="AM24" i="40"/>
  <c r="AK24" i="40"/>
  <c r="AI24" i="40"/>
  <c r="AG24" i="40"/>
  <c r="AE24" i="40"/>
  <c r="AC24" i="40"/>
  <c r="Z24" i="40"/>
  <c r="AA24" i="40" s="1"/>
  <c r="Y24" i="40"/>
  <c r="W24" i="40"/>
  <c r="U24" i="40"/>
  <c r="S24" i="40"/>
  <c r="Q24" i="40"/>
  <c r="O24" i="40"/>
  <c r="M24" i="40"/>
  <c r="K24" i="40"/>
  <c r="I24" i="40"/>
  <c r="G24" i="40"/>
  <c r="E24" i="40"/>
  <c r="AO23" i="40"/>
  <c r="AM23" i="40"/>
  <c r="AK23" i="40"/>
  <c r="AI23" i="40"/>
  <c r="AG23" i="40"/>
  <c r="AE23" i="40"/>
  <c r="AC23" i="40"/>
  <c r="Z23" i="40"/>
  <c r="AA23" i="40" s="1"/>
  <c r="Y23" i="40"/>
  <c r="W23" i="40"/>
  <c r="U23" i="40"/>
  <c r="S23" i="40"/>
  <c r="Q23" i="40"/>
  <c r="M23" i="40"/>
  <c r="K23" i="40"/>
  <c r="I23" i="40"/>
  <c r="G23" i="40"/>
  <c r="AQ22" i="40"/>
  <c r="AP22" i="40"/>
  <c r="AP23" i="40" s="1"/>
  <c r="AO22" i="40"/>
  <c r="AM22" i="40"/>
  <c r="AK22" i="40"/>
  <c r="AI22" i="40"/>
  <c r="AG22" i="40"/>
  <c r="AE22" i="40"/>
  <c r="AC22" i="40"/>
  <c r="Z22" i="40"/>
  <c r="Z25" i="40" s="1"/>
  <c r="Z26" i="40" s="1"/>
  <c r="Z30" i="40" s="1"/>
  <c r="Z31" i="40" s="1"/>
  <c r="Y22" i="40"/>
  <c r="W22" i="40"/>
  <c r="U22" i="40"/>
  <c r="S22" i="40"/>
  <c r="Q22" i="40"/>
  <c r="M22" i="40"/>
  <c r="K22" i="40"/>
  <c r="I22" i="40"/>
  <c r="G22" i="40"/>
  <c r="D22" i="40"/>
  <c r="E22" i="40" s="1"/>
  <c r="AQ21" i="40"/>
  <c r="AM21" i="40"/>
  <c r="AC21" i="40"/>
  <c r="AA21" i="40"/>
  <c r="W21" i="40"/>
  <c r="M21" i="40"/>
  <c r="K21" i="40"/>
  <c r="G21" i="40"/>
  <c r="B21" i="40"/>
  <c r="AK21" i="40" s="1"/>
  <c r="AQ20" i="40"/>
  <c r="AO20" i="40"/>
  <c r="AM20" i="40"/>
  <c r="AK20" i="40"/>
  <c r="AI20" i="40"/>
  <c r="AG20" i="40"/>
  <c r="AE20" i="40"/>
  <c r="AC20" i="40"/>
  <c r="AA20" i="40"/>
  <c r="Y20" i="40"/>
  <c r="W20" i="40"/>
  <c r="U20" i="40"/>
  <c r="S20" i="40"/>
  <c r="Q20" i="40"/>
  <c r="O20" i="40"/>
  <c r="M20" i="40"/>
  <c r="K20" i="40"/>
  <c r="I20" i="40"/>
  <c r="G20" i="40"/>
  <c r="E20" i="40"/>
  <c r="AQ19" i="40"/>
  <c r="AO19" i="40"/>
  <c r="AM19" i="40"/>
  <c r="AK19" i="40"/>
  <c r="AI19" i="40"/>
  <c r="AG19" i="40"/>
  <c r="AE19" i="40"/>
  <c r="AC19" i="40"/>
  <c r="AA19" i="40"/>
  <c r="Y19" i="40"/>
  <c r="W19" i="40"/>
  <c r="U19" i="40"/>
  <c r="S19" i="40"/>
  <c r="Q19" i="40"/>
  <c r="O19" i="40"/>
  <c r="M19" i="40"/>
  <c r="K19" i="40"/>
  <c r="I19" i="40"/>
  <c r="G19" i="40"/>
  <c r="E19" i="40"/>
  <c r="AQ18" i="40"/>
  <c r="AO18" i="40"/>
  <c r="AM18" i="40"/>
  <c r="AK18" i="40"/>
  <c r="AI18" i="40"/>
  <c r="AG18" i="40"/>
  <c r="AE18" i="40"/>
  <c r="AC18" i="40"/>
  <c r="AA18" i="40"/>
  <c r="Y18" i="40"/>
  <c r="W18" i="40"/>
  <c r="U18" i="40"/>
  <c r="S18" i="40"/>
  <c r="Q18" i="40"/>
  <c r="O18" i="40"/>
  <c r="M18" i="40"/>
  <c r="K18" i="40"/>
  <c r="I18" i="40"/>
  <c r="G18" i="40"/>
  <c r="E18" i="40"/>
  <c r="AQ17" i="40"/>
  <c r="AO17" i="40"/>
  <c r="AM17" i="40"/>
  <c r="AK17" i="40"/>
  <c r="AI17" i="40"/>
  <c r="AG17" i="40"/>
  <c r="AE17" i="40"/>
  <c r="AC17" i="40"/>
  <c r="AA17" i="40"/>
  <c r="Y17" i="40"/>
  <c r="W17" i="40"/>
  <c r="U17" i="40"/>
  <c r="S17" i="40"/>
  <c r="Q17" i="40"/>
  <c r="O17" i="40"/>
  <c r="M17" i="40"/>
  <c r="K17" i="40"/>
  <c r="I17" i="40"/>
  <c r="G17" i="40"/>
  <c r="E17" i="40"/>
  <c r="AQ16" i="40"/>
  <c r="AO16" i="40"/>
  <c r="AM16" i="40"/>
  <c r="AK16" i="40"/>
  <c r="AI16" i="40"/>
  <c r="AG16" i="40"/>
  <c r="AE16" i="40"/>
  <c r="AC16" i="40"/>
  <c r="AA16" i="40"/>
  <c r="Y16" i="40"/>
  <c r="W16" i="40"/>
  <c r="U16" i="40"/>
  <c r="S16" i="40"/>
  <c r="Q16" i="40"/>
  <c r="O16" i="40"/>
  <c r="M16" i="40"/>
  <c r="K16" i="40"/>
  <c r="I16" i="40"/>
  <c r="G16" i="40"/>
  <c r="E16" i="40"/>
  <c r="AQ15" i="40"/>
  <c r="AO15" i="40"/>
  <c r="AM15" i="40"/>
  <c r="AK15" i="40"/>
  <c r="AI15" i="40"/>
  <c r="AG15" i="40"/>
  <c r="AE15" i="40"/>
  <c r="AC15" i="40"/>
  <c r="AA15" i="40"/>
  <c r="Y15" i="40"/>
  <c r="W15" i="40"/>
  <c r="U15" i="40"/>
  <c r="S15" i="40"/>
  <c r="Q15" i="40"/>
  <c r="O15" i="40"/>
  <c r="M15" i="40"/>
  <c r="K15" i="40"/>
  <c r="I15" i="40"/>
  <c r="G15" i="40"/>
  <c r="E15" i="40"/>
  <c r="AQ14" i="40"/>
  <c r="AO14" i="40"/>
  <c r="AM14" i="40"/>
  <c r="AK14" i="40"/>
  <c r="AI14" i="40"/>
  <c r="AG14" i="40"/>
  <c r="AE14" i="40"/>
  <c r="AC14" i="40"/>
  <c r="AA14" i="40"/>
  <c r="Y14" i="40"/>
  <c r="W14" i="40"/>
  <c r="U14" i="40"/>
  <c r="S14" i="40"/>
  <c r="Q14" i="40"/>
  <c r="O14" i="40"/>
  <c r="M14" i="40"/>
  <c r="K14" i="40"/>
  <c r="I14" i="40"/>
  <c r="G14" i="40"/>
  <c r="E14" i="40"/>
  <c r="AQ13" i="40"/>
  <c r="AO13" i="40"/>
  <c r="AM13" i="40"/>
  <c r="AK13" i="40"/>
  <c r="AI13" i="40"/>
  <c r="AG13" i="40"/>
  <c r="AE13" i="40"/>
  <c r="AC13" i="40"/>
  <c r="AA13" i="40"/>
  <c r="Y13" i="40"/>
  <c r="W13" i="40"/>
  <c r="U13" i="40"/>
  <c r="S13" i="40"/>
  <c r="Q13" i="40"/>
  <c r="O13" i="40"/>
  <c r="M13" i="40"/>
  <c r="K13" i="40"/>
  <c r="I13" i="40"/>
  <c r="G13" i="40"/>
  <c r="E13" i="40"/>
  <c r="AQ12" i="40"/>
  <c r="AO12" i="40"/>
  <c r="AM12" i="40"/>
  <c r="AK12" i="40"/>
  <c r="AI12" i="40"/>
  <c r="AG12" i="40"/>
  <c r="AE12" i="40"/>
  <c r="AC12" i="40"/>
  <c r="AA12" i="40"/>
  <c r="Y12" i="40"/>
  <c r="W12" i="40"/>
  <c r="U12" i="40"/>
  <c r="S12" i="40"/>
  <c r="Q12" i="40"/>
  <c r="O12" i="40"/>
  <c r="M12" i="40"/>
  <c r="K12" i="40"/>
  <c r="I12" i="40"/>
  <c r="G12" i="40"/>
  <c r="E12" i="40"/>
  <c r="AQ10" i="40"/>
  <c r="AO10" i="40"/>
  <c r="AM10" i="40"/>
  <c r="AK10" i="40"/>
  <c r="AI10" i="40"/>
  <c r="AG10" i="40"/>
  <c r="AE10" i="40"/>
  <c r="AC10" i="40"/>
  <c r="AA10" i="40"/>
  <c r="Y10" i="40"/>
  <c r="W10" i="40"/>
  <c r="U10" i="40"/>
  <c r="S10" i="40"/>
  <c r="Q10" i="40"/>
  <c r="O10" i="40"/>
  <c r="M10" i="40"/>
  <c r="K10" i="40"/>
  <c r="I10" i="40"/>
  <c r="G10" i="40"/>
  <c r="E10" i="40"/>
  <c r="AQ23" i="40" l="1"/>
  <c r="AP27" i="40"/>
  <c r="AP28" i="40" s="1"/>
  <c r="I21" i="40"/>
  <c r="Y21" i="40"/>
  <c r="AO21" i="40"/>
  <c r="N22" i="40"/>
  <c r="AA22" i="40"/>
  <c r="E25" i="40"/>
  <c r="U25" i="40"/>
  <c r="AK25" i="40"/>
  <c r="K26" i="40"/>
  <c r="AQ26" i="40"/>
  <c r="B27" i="40"/>
  <c r="D23" i="40"/>
  <c r="I25" i="40"/>
  <c r="Y25" i="40"/>
  <c r="AO25" i="40"/>
  <c r="O21" i="40"/>
  <c r="AE21" i="40"/>
  <c r="K25" i="40"/>
  <c r="AQ25" i="40"/>
  <c r="AQ1" i="40" s="1"/>
  <c r="Q26" i="40"/>
  <c r="AG26" i="40"/>
  <c r="G25" i="40"/>
  <c r="AM25" i="40"/>
  <c r="Q21" i="40"/>
  <c r="AG21" i="40"/>
  <c r="M25" i="40"/>
  <c r="AC25" i="40"/>
  <c r="S26" i="40"/>
  <c r="AI25" i="40"/>
  <c r="S21" i="40"/>
  <c r="AI21" i="40"/>
  <c r="O25" i="40"/>
  <c r="AE25" i="40"/>
  <c r="S25" i="40"/>
  <c r="W25" i="40"/>
  <c r="E21" i="40"/>
  <c r="U21" i="40"/>
  <c r="Q25" i="40"/>
  <c r="M3" i="40" l="1"/>
  <c r="AQ2" i="40"/>
  <c r="AA5" i="40"/>
  <c r="N30" i="40"/>
  <c r="N31" i="40" s="1"/>
  <c r="E23" i="40"/>
  <c r="AQ3" i="40"/>
  <c r="W1" i="40"/>
  <c r="AC27" i="40"/>
  <c r="M27" i="40"/>
  <c r="M2" i="40" s="1"/>
  <c r="O27" i="40"/>
  <c r="AA27" i="40"/>
  <c r="AA2" i="40" s="1"/>
  <c r="K27" i="40"/>
  <c r="AI27" i="40"/>
  <c r="AO27" i="40"/>
  <c r="Y27" i="40"/>
  <c r="Y1" i="40" s="1"/>
  <c r="Y3" i="40" s="1"/>
  <c r="I27" i="40"/>
  <c r="I5" i="40" s="1"/>
  <c r="S27" i="40"/>
  <c r="AM27" i="40"/>
  <c r="W27" i="40"/>
  <c r="G27" i="40"/>
  <c r="AK27" i="40"/>
  <c r="U27" i="40"/>
  <c r="E27" i="40"/>
  <c r="AE27" i="40"/>
  <c r="AG27" i="40"/>
  <c r="AG5" i="40" s="1"/>
  <c r="Q27" i="40"/>
  <c r="O22" i="40"/>
  <c r="N23" i="40"/>
  <c r="O23" i="40" s="1"/>
  <c r="AA3" i="40"/>
  <c r="AA6" i="40"/>
  <c r="M4" i="40"/>
  <c r="AO1" i="40"/>
  <c r="AO3" i="40" s="1"/>
  <c r="AK1" i="40"/>
  <c r="AK2" i="40" s="1"/>
  <c r="M5" i="40"/>
  <c r="AI5" i="40"/>
  <c r="AI3" i="40"/>
  <c r="AI1" i="40"/>
  <c r="AI6" i="40"/>
  <c r="AI4" i="40"/>
  <c r="AI2" i="40"/>
  <c r="S1" i="40"/>
  <c r="S2" i="40" s="1"/>
  <c r="M1" i="40"/>
  <c r="AA4" i="40"/>
  <c r="AG3" i="40"/>
  <c r="AQ4" i="40" l="1"/>
  <c r="AM6" i="40"/>
  <c r="AM1" i="40"/>
  <c r="AM3" i="40"/>
  <c r="AQ5" i="40"/>
  <c r="M6" i="40"/>
  <c r="AQ6" i="40"/>
  <c r="AO2" i="40"/>
  <c r="AG1" i="40"/>
  <c r="AM2" i="40"/>
  <c r="AM4" i="40"/>
  <c r="AC1" i="40"/>
  <c r="AC3" i="40" s="1"/>
  <c r="I1" i="40"/>
  <c r="Q1" i="40"/>
  <c r="Q3" i="40" s="1"/>
  <c r="AG2" i="40"/>
  <c r="E1" i="40"/>
  <c r="E2" i="40" s="1"/>
  <c r="AA1" i="40"/>
  <c r="Y2" i="40"/>
  <c r="Y5" i="40" s="1"/>
  <c r="AE1" i="40"/>
  <c r="AE3" i="40" s="1"/>
  <c r="S3" i="40"/>
  <c r="S4" i="40" s="1"/>
  <c r="AK3" i="40"/>
  <c r="AK6" i="40" s="1"/>
  <c r="G1" i="40"/>
  <c r="G3" i="40" s="1"/>
  <c r="K1" i="40"/>
  <c r="K2" i="40" s="1"/>
  <c r="AG4" i="40"/>
  <c r="U1" i="40"/>
  <c r="I4" i="40"/>
  <c r="I2" i="40"/>
  <c r="N34" i="40"/>
  <c r="N32" i="40"/>
  <c r="AM5" i="40"/>
  <c r="I3" i="40"/>
  <c r="W2" i="40"/>
  <c r="W3" i="40"/>
  <c r="AG6" i="40"/>
  <c r="I6" i="40"/>
  <c r="AC2" i="40" l="1"/>
  <c r="AC4" i="40" s="1"/>
  <c r="AK4" i="40"/>
  <c r="AK5" i="40"/>
  <c r="E3" i="40"/>
  <c r="E5" i="40" s="1"/>
  <c r="G2" i="40"/>
  <c r="G4" i="40" s="1"/>
  <c r="W4" i="40"/>
  <c r="S6" i="40"/>
  <c r="Q2" i="40"/>
  <c r="Y6" i="40"/>
  <c r="AE2" i="40"/>
  <c r="O32" i="40"/>
  <c r="N33" i="40"/>
  <c r="O33" i="40" s="1"/>
  <c r="W5" i="40"/>
  <c r="W6" i="40"/>
  <c r="U3" i="40"/>
  <c r="U2" i="40"/>
  <c r="Y4" i="40"/>
  <c r="S5" i="40"/>
  <c r="AO6" i="40"/>
  <c r="AO5" i="40"/>
  <c r="AO4" i="40"/>
  <c r="K3" i="40"/>
  <c r="K5" i="40" s="1"/>
  <c r="AC5" i="40" l="1"/>
  <c r="AC6" i="40"/>
  <c r="E6" i="40"/>
  <c r="G5" i="40"/>
  <c r="G6" i="40"/>
  <c r="E4" i="40"/>
  <c r="Q6" i="40"/>
  <c r="Q4" i="40"/>
  <c r="Q5" i="40"/>
  <c r="O1" i="40"/>
  <c r="O3" i="40" s="1"/>
  <c r="U6" i="40"/>
  <c r="U4" i="40"/>
  <c r="U5" i="40"/>
  <c r="K6" i="40"/>
  <c r="AE5" i="40"/>
  <c r="AE4" i="40"/>
  <c r="AE6" i="40"/>
  <c r="K4" i="40"/>
  <c r="O2" i="40" l="1"/>
  <c r="O4" i="40" s="1"/>
  <c r="O6" i="40" l="1"/>
  <c r="O5" i="40"/>
  <c r="K48" i="18" l="1"/>
  <c r="K45" i="18"/>
  <c r="K41" i="18"/>
  <c r="S742" i="39" l="1"/>
  <c r="R742" i="39"/>
  <c r="P742" i="39"/>
  <c r="O742" i="39"/>
  <c r="S741" i="39"/>
  <c r="R741" i="39"/>
  <c r="P741" i="39"/>
  <c r="O741" i="39"/>
  <c r="S740" i="39"/>
  <c r="R740" i="39"/>
  <c r="P740" i="39"/>
  <c r="O740" i="39"/>
  <c r="S739" i="39"/>
  <c r="R739" i="39"/>
  <c r="P739" i="39"/>
  <c r="O739" i="39"/>
  <c r="S738" i="39"/>
  <c r="R738" i="39"/>
  <c r="P738" i="39"/>
  <c r="O738" i="39"/>
  <c r="S737" i="39"/>
  <c r="R737" i="39"/>
  <c r="P737" i="39"/>
  <c r="O737" i="39"/>
  <c r="S736" i="39"/>
  <c r="R736" i="39"/>
  <c r="P736" i="39"/>
  <c r="O736" i="39"/>
  <c r="S735" i="39"/>
  <c r="R735" i="39"/>
  <c r="P735" i="39"/>
  <c r="O735" i="39"/>
  <c r="S734" i="39"/>
  <c r="R734" i="39"/>
  <c r="P734" i="39"/>
  <c r="O734" i="39"/>
  <c r="S733" i="39"/>
  <c r="R733" i="39"/>
  <c r="P733" i="39"/>
  <c r="O733" i="39"/>
  <c r="S732" i="39"/>
  <c r="R732" i="39"/>
  <c r="P732" i="39"/>
  <c r="O732" i="39"/>
  <c r="S731" i="39"/>
  <c r="R731" i="39"/>
  <c r="P731" i="39"/>
  <c r="O731" i="39"/>
  <c r="S730" i="39"/>
  <c r="R730" i="39"/>
  <c r="P730" i="39"/>
  <c r="O730" i="39"/>
  <c r="S729" i="39"/>
  <c r="R729" i="39"/>
  <c r="P729" i="39"/>
  <c r="O729" i="39"/>
  <c r="S728" i="39"/>
  <c r="R728" i="39"/>
  <c r="P728" i="39"/>
  <c r="O728" i="39"/>
  <c r="S727" i="39"/>
  <c r="R727" i="39"/>
  <c r="P727" i="39"/>
  <c r="O727" i="39"/>
  <c r="S726" i="39"/>
  <c r="R726" i="39"/>
  <c r="P726" i="39"/>
  <c r="O726" i="39"/>
  <c r="S725" i="39"/>
  <c r="R725" i="39"/>
  <c r="P725" i="39"/>
  <c r="O725" i="39"/>
  <c r="S724" i="39"/>
  <c r="R724" i="39"/>
  <c r="P724" i="39"/>
  <c r="O724" i="39"/>
  <c r="S723" i="39"/>
  <c r="R723" i="39"/>
  <c r="P723" i="39"/>
  <c r="O723" i="39"/>
  <c r="S722" i="39"/>
  <c r="R722" i="39"/>
  <c r="P722" i="39"/>
  <c r="O722" i="39"/>
  <c r="S721" i="39"/>
  <c r="R721" i="39"/>
  <c r="P721" i="39"/>
  <c r="O721" i="39"/>
  <c r="S720" i="39"/>
  <c r="R720" i="39"/>
  <c r="P720" i="39"/>
  <c r="O720" i="39"/>
  <c r="S719" i="39"/>
  <c r="R719" i="39"/>
  <c r="P719" i="39"/>
  <c r="O719" i="39"/>
  <c r="S718" i="39"/>
  <c r="R718" i="39"/>
  <c r="P718" i="39"/>
  <c r="O718" i="39"/>
  <c r="S717" i="39"/>
  <c r="R717" i="39"/>
  <c r="P717" i="39"/>
  <c r="O717" i="39"/>
  <c r="S716" i="39"/>
  <c r="R716" i="39"/>
  <c r="P716" i="39"/>
  <c r="O716" i="39"/>
  <c r="S715" i="39"/>
  <c r="R715" i="39"/>
  <c r="P715" i="39"/>
  <c r="O715" i="39"/>
  <c r="S714" i="39"/>
  <c r="R714" i="39"/>
  <c r="P714" i="39"/>
  <c r="O714" i="39"/>
  <c r="S713" i="39"/>
  <c r="R713" i="39"/>
  <c r="P713" i="39"/>
  <c r="O713" i="39"/>
  <c r="S712" i="39"/>
  <c r="R712" i="39"/>
  <c r="P712" i="39"/>
  <c r="O712" i="39"/>
  <c r="S711" i="39"/>
  <c r="R711" i="39"/>
  <c r="P711" i="39"/>
  <c r="O711" i="39"/>
  <c r="S710" i="39"/>
  <c r="R710" i="39"/>
  <c r="P710" i="39"/>
  <c r="O710" i="39"/>
  <c r="S709" i="39"/>
  <c r="R709" i="39"/>
  <c r="P709" i="39"/>
  <c r="O709" i="39"/>
  <c r="S708" i="39"/>
  <c r="R708" i="39"/>
  <c r="P708" i="39"/>
  <c r="O708" i="39"/>
  <c r="S707" i="39"/>
  <c r="R707" i="39"/>
  <c r="P707" i="39"/>
  <c r="O707" i="39"/>
  <c r="S706" i="39"/>
  <c r="R706" i="39"/>
  <c r="P706" i="39"/>
  <c r="O706" i="39"/>
  <c r="S705" i="39"/>
  <c r="R705" i="39"/>
  <c r="P705" i="39"/>
  <c r="O705" i="39"/>
  <c r="S704" i="39"/>
  <c r="R704" i="39"/>
  <c r="P704" i="39"/>
  <c r="O704" i="39"/>
  <c r="S703" i="39"/>
  <c r="R703" i="39"/>
  <c r="P703" i="39"/>
  <c r="O703" i="39"/>
  <c r="S702" i="39"/>
  <c r="R702" i="39"/>
  <c r="P702" i="39"/>
  <c r="O702" i="39"/>
  <c r="S701" i="39"/>
  <c r="R701" i="39"/>
  <c r="P701" i="39"/>
  <c r="O701" i="39"/>
  <c r="S700" i="39"/>
  <c r="R700" i="39"/>
  <c r="P700" i="39"/>
  <c r="O700" i="39"/>
  <c r="S699" i="39"/>
  <c r="R699" i="39"/>
  <c r="P699" i="39"/>
  <c r="O699" i="39"/>
  <c r="S698" i="39"/>
  <c r="R698" i="39"/>
  <c r="P698" i="39"/>
  <c r="O698" i="39"/>
  <c r="S697" i="39"/>
  <c r="R697" i="39"/>
  <c r="P697" i="39"/>
  <c r="O697" i="39"/>
  <c r="S696" i="39"/>
  <c r="R696" i="39"/>
  <c r="P696" i="39"/>
  <c r="O696" i="39"/>
  <c r="S695" i="39"/>
  <c r="R695" i="39"/>
  <c r="P695" i="39"/>
  <c r="O695" i="39"/>
  <c r="S694" i="39"/>
  <c r="R694" i="39"/>
  <c r="P694" i="39"/>
  <c r="O694" i="39"/>
  <c r="S693" i="39"/>
  <c r="R693" i="39"/>
  <c r="P693" i="39"/>
  <c r="O693" i="39"/>
  <c r="S692" i="39"/>
  <c r="R692" i="39"/>
  <c r="P692" i="39"/>
  <c r="O692" i="39"/>
  <c r="S691" i="39"/>
  <c r="R691" i="39"/>
  <c r="P691" i="39"/>
  <c r="O691" i="39"/>
  <c r="S690" i="39"/>
  <c r="R690" i="39"/>
  <c r="P690" i="39"/>
  <c r="O690" i="39"/>
  <c r="S689" i="39"/>
  <c r="R689" i="39"/>
  <c r="P689" i="39"/>
  <c r="O689" i="39"/>
  <c r="S688" i="39"/>
  <c r="R688" i="39"/>
  <c r="P688" i="39"/>
  <c r="O688" i="39"/>
  <c r="S687" i="39"/>
  <c r="R687" i="39"/>
  <c r="P687" i="39"/>
  <c r="O687" i="39"/>
  <c r="S686" i="39"/>
  <c r="R686" i="39"/>
  <c r="P686" i="39"/>
  <c r="O686" i="39"/>
  <c r="S685" i="39"/>
  <c r="R685" i="39"/>
  <c r="P685" i="39"/>
  <c r="O685" i="39"/>
  <c r="S684" i="39"/>
  <c r="R684" i="39"/>
  <c r="P684" i="39"/>
  <c r="O684" i="39"/>
  <c r="S683" i="39"/>
  <c r="R683" i="39"/>
  <c r="P683" i="39"/>
  <c r="O683" i="39"/>
  <c r="S682" i="39"/>
  <c r="R682" i="39"/>
  <c r="P682" i="39"/>
  <c r="O682" i="39"/>
  <c r="S681" i="39"/>
  <c r="R681" i="39"/>
  <c r="P681" i="39"/>
  <c r="O681" i="39"/>
  <c r="S680" i="39"/>
  <c r="R680" i="39"/>
  <c r="P680" i="39"/>
  <c r="O680" i="39"/>
  <c r="S679" i="39"/>
  <c r="R679" i="39"/>
  <c r="P679" i="39"/>
  <c r="O679" i="39"/>
  <c r="S678" i="39"/>
  <c r="R678" i="39"/>
  <c r="P678" i="39"/>
  <c r="O678" i="39"/>
  <c r="S677" i="39"/>
  <c r="R677" i="39"/>
  <c r="P677" i="39"/>
  <c r="O677" i="39"/>
  <c r="S676" i="39"/>
  <c r="R676" i="39"/>
  <c r="P676" i="39"/>
  <c r="O676" i="39"/>
  <c r="S675" i="39"/>
  <c r="R675" i="39"/>
  <c r="P675" i="39"/>
  <c r="O675" i="39"/>
  <c r="S674" i="39"/>
  <c r="R674" i="39"/>
  <c r="P674" i="39"/>
  <c r="O674" i="39"/>
  <c r="S673" i="39"/>
  <c r="R673" i="39"/>
  <c r="P673" i="39"/>
  <c r="O673" i="39"/>
  <c r="S672" i="39"/>
  <c r="R672" i="39"/>
  <c r="P672" i="39"/>
  <c r="O672" i="39"/>
  <c r="S671" i="39"/>
  <c r="R671" i="39"/>
  <c r="P671" i="39"/>
  <c r="O671" i="39"/>
  <c r="S670" i="39"/>
  <c r="R670" i="39"/>
  <c r="P670" i="39"/>
  <c r="O670" i="39"/>
  <c r="S669" i="39"/>
  <c r="R669" i="39"/>
  <c r="P669" i="39"/>
  <c r="O669" i="39"/>
  <c r="S668" i="39"/>
  <c r="R668" i="39"/>
  <c r="P668" i="39"/>
  <c r="O668" i="39"/>
  <c r="S667" i="39"/>
  <c r="R667" i="39"/>
  <c r="P667" i="39"/>
  <c r="O667" i="39"/>
  <c r="S666" i="39"/>
  <c r="R666" i="39"/>
  <c r="P666" i="39"/>
  <c r="O666" i="39"/>
  <c r="S665" i="39"/>
  <c r="R665" i="39"/>
  <c r="P665" i="39"/>
  <c r="O665" i="39"/>
  <c r="S664" i="39"/>
  <c r="R664" i="39"/>
  <c r="P664" i="39"/>
  <c r="O664" i="39"/>
  <c r="S663" i="39"/>
  <c r="R663" i="39"/>
  <c r="P663" i="39"/>
  <c r="O663" i="39"/>
  <c r="S662" i="39"/>
  <c r="R662" i="39"/>
  <c r="P662" i="39"/>
  <c r="O662" i="39"/>
  <c r="S661" i="39"/>
  <c r="R661" i="39"/>
  <c r="P661" i="39"/>
  <c r="O661" i="39"/>
  <c r="S660" i="39"/>
  <c r="R660" i="39"/>
  <c r="P660" i="39"/>
  <c r="O660" i="39"/>
  <c r="S659" i="39"/>
  <c r="R659" i="39"/>
  <c r="P659" i="39"/>
  <c r="O659" i="39"/>
  <c r="S658" i="39"/>
  <c r="R658" i="39"/>
  <c r="P658" i="39"/>
  <c r="O658" i="39"/>
  <c r="S657" i="39"/>
  <c r="R657" i="39"/>
  <c r="P657" i="39"/>
  <c r="O657" i="39"/>
  <c r="S656" i="39"/>
  <c r="R656" i="39"/>
  <c r="P656" i="39"/>
  <c r="O656" i="39"/>
  <c r="S655" i="39"/>
  <c r="R655" i="39"/>
  <c r="P655" i="39"/>
  <c r="O655" i="39"/>
  <c r="S654" i="39"/>
  <c r="R654" i="39"/>
  <c r="P654" i="39"/>
  <c r="O654" i="39"/>
  <c r="S653" i="39"/>
  <c r="R653" i="39"/>
  <c r="P653" i="39"/>
  <c r="O653" i="39"/>
  <c r="S652" i="39"/>
  <c r="R652" i="39"/>
  <c r="P652" i="39"/>
  <c r="O652" i="39"/>
  <c r="S651" i="39"/>
  <c r="R651" i="39"/>
  <c r="P651" i="39"/>
  <c r="O651" i="39"/>
  <c r="S650" i="39"/>
  <c r="R650" i="39"/>
  <c r="P650" i="39"/>
  <c r="O650" i="39"/>
  <c r="S649" i="39"/>
  <c r="R649" i="39"/>
  <c r="P649" i="39"/>
  <c r="O649" i="39"/>
  <c r="S648" i="39"/>
  <c r="R648" i="39"/>
  <c r="P648" i="39"/>
  <c r="O648" i="39"/>
  <c r="S647" i="39"/>
  <c r="R647" i="39"/>
  <c r="P647" i="39"/>
  <c r="O647" i="39"/>
  <c r="S646" i="39"/>
  <c r="R646" i="39"/>
  <c r="P646" i="39"/>
  <c r="O646" i="39"/>
  <c r="S645" i="39"/>
  <c r="R645" i="39"/>
  <c r="P645" i="39"/>
  <c r="O645" i="39"/>
  <c r="S644" i="39"/>
  <c r="R644" i="39"/>
  <c r="P644" i="39"/>
  <c r="O644" i="39"/>
  <c r="S643" i="39"/>
  <c r="R643" i="39"/>
  <c r="P643" i="39"/>
  <c r="O643" i="39"/>
  <c r="S642" i="39"/>
  <c r="R642" i="39"/>
  <c r="P642" i="39"/>
  <c r="O642" i="39"/>
  <c r="S641" i="39"/>
  <c r="R641" i="39"/>
  <c r="P641" i="39"/>
  <c r="O641" i="39"/>
  <c r="S640" i="39"/>
  <c r="R640" i="39"/>
  <c r="P640" i="39"/>
  <c r="O640" i="39"/>
  <c r="S639" i="39"/>
  <c r="R639" i="39"/>
  <c r="P639" i="39"/>
  <c r="O639" i="39"/>
  <c r="S638" i="39"/>
  <c r="R638" i="39"/>
  <c r="P638" i="39"/>
  <c r="O638" i="39"/>
  <c r="S637" i="39"/>
  <c r="R637" i="39"/>
  <c r="P637" i="39"/>
  <c r="O637" i="39"/>
  <c r="S636" i="39"/>
  <c r="R636" i="39"/>
  <c r="P636" i="39"/>
  <c r="O636" i="39"/>
  <c r="S635" i="39"/>
  <c r="R635" i="39"/>
  <c r="P635" i="39"/>
  <c r="O635" i="39"/>
  <c r="S634" i="39"/>
  <c r="R634" i="39"/>
  <c r="P634" i="39"/>
  <c r="O634" i="39"/>
  <c r="S633" i="39"/>
  <c r="R633" i="39"/>
  <c r="P633" i="39"/>
  <c r="O633" i="39"/>
  <c r="S632" i="39"/>
  <c r="R632" i="39"/>
  <c r="P632" i="39"/>
  <c r="O632" i="39"/>
  <c r="S631" i="39"/>
  <c r="R631" i="39"/>
  <c r="P631" i="39"/>
  <c r="O631" i="39"/>
  <c r="S630" i="39"/>
  <c r="R630" i="39"/>
  <c r="P630" i="39"/>
  <c r="O630" i="39"/>
  <c r="S629" i="39"/>
  <c r="R629" i="39"/>
  <c r="P629" i="39"/>
  <c r="O629" i="39"/>
  <c r="S628" i="39"/>
  <c r="R628" i="39"/>
  <c r="P628" i="39"/>
  <c r="O628" i="39"/>
  <c r="S627" i="39"/>
  <c r="R627" i="39"/>
  <c r="P627" i="39"/>
  <c r="O627" i="39"/>
  <c r="S626" i="39"/>
  <c r="R626" i="39"/>
  <c r="P626" i="39"/>
  <c r="O626" i="39"/>
  <c r="S625" i="39"/>
  <c r="R625" i="39"/>
  <c r="P625" i="39"/>
  <c r="O625" i="39"/>
  <c r="S624" i="39"/>
  <c r="R624" i="39"/>
  <c r="P624" i="39"/>
  <c r="O624" i="39"/>
  <c r="S623" i="39"/>
  <c r="R623" i="39"/>
  <c r="P623" i="39"/>
  <c r="O623" i="39"/>
  <c r="S622" i="39"/>
  <c r="R622" i="39"/>
  <c r="P622" i="39"/>
  <c r="O622" i="39"/>
  <c r="S621" i="39"/>
  <c r="R621" i="39"/>
  <c r="P621" i="39"/>
  <c r="O621" i="39"/>
  <c r="S620" i="39"/>
  <c r="R620" i="39"/>
  <c r="P620" i="39"/>
  <c r="O620" i="39"/>
  <c r="S619" i="39"/>
  <c r="R619" i="39"/>
  <c r="P619" i="39"/>
  <c r="O619" i="39"/>
  <c r="S618" i="39"/>
  <c r="R618" i="39"/>
  <c r="P618" i="39"/>
  <c r="O618" i="39"/>
  <c r="S617" i="39"/>
  <c r="R617" i="39"/>
  <c r="P617" i="39"/>
  <c r="O617" i="39"/>
  <c r="S616" i="39"/>
  <c r="R616" i="39"/>
  <c r="P616" i="39"/>
  <c r="O616" i="39"/>
  <c r="S615" i="39"/>
  <c r="R615" i="39"/>
  <c r="P615" i="39"/>
  <c r="O615" i="39"/>
  <c r="S614" i="39"/>
  <c r="R614" i="39"/>
  <c r="P614" i="39"/>
  <c r="O614" i="39"/>
  <c r="S613" i="39"/>
  <c r="R613" i="39"/>
  <c r="P613" i="39"/>
  <c r="O613" i="39"/>
  <c r="S612" i="39"/>
  <c r="R612" i="39"/>
  <c r="P612" i="39"/>
  <c r="O612" i="39"/>
  <c r="S611" i="39"/>
  <c r="R611" i="39"/>
  <c r="P611" i="39"/>
  <c r="O611" i="39"/>
  <c r="S610" i="39"/>
  <c r="R610" i="39"/>
  <c r="P610" i="39"/>
  <c r="O610" i="39"/>
  <c r="S609" i="39"/>
  <c r="R609" i="39"/>
  <c r="P609" i="39"/>
  <c r="O609" i="39"/>
  <c r="S608" i="39"/>
  <c r="R608" i="39"/>
  <c r="P608" i="39"/>
  <c r="O608" i="39"/>
  <c r="S607" i="39"/>
  <c r="R607" i="39"/>
  <c r="P607" i="39"/>
  <c r="O607" i="39"/>
  <c r="S606" i="39"/>
  <c r="R606" i="39"/>
  <c r="P606" i="39"/>
  <c r="O606" i="39"/>
  <c r="S605" i="39"/>
  <c r="R605" i="39"/>
  <c r="P605" i="39"/>
  <c r="O605" i="39"/>
  <c r="S604" i="39"/>
  <c r="R604" i="39"/>
  <c r="P604" i="39"/>
  <c r="O604" i="39"/>
  <c r="S603" i="39"/>
  <c r="R603" i="39"/>
  <c r="P603" i="39"/>
  <c r="O603" i="39"/>
  <c r="S602" i="39"/>
  <c r="R602" i="39"/>
  <c r="P602" i="39"/>
  <c r="O602" i="39"/>
  <c r="S601" i="39"/>
  <c r="R601" i="39"/>
  <c r="P601" i="39"/>
  <c r="O601" i="39"/>
  <c r="S600" i="39"/>
  <c r="R600" i="39"/>
  <c r="P600" i="39"/>
  <c r="O600" i="39"/>
  <c r="S599" i="39"/>
  <c r="R599" i="39"/>
  <c r="P599" i="39"/>
  <c r="O599" i="39"/>
  <c r="S598" i="39"/>
  <c r="R598" i="39"/>
  <c r="P598" i="39"/>
  <c r="O598" i="39"/>
  <c r="S597" i="39"/>
  <c r="R597" i="39"/>
  <c r="P597" i="39"/>
  <c r="O597" i="39"/>
  <c r="S596" i="39"/>
  <c r="R596" i="39"/>
  <c r="P596" i="39"/>
  <c r="O596" i="39"/>
  <c r="S595" i="39"/>
  <c r="R595" i="39"/>
  <c r="P595" i="39"/>
  <c r="O595" i="39"/>
  <c r="S594" i="39"/>
  <c r="R594" i="39"/>
  <c r="P594" i="39"/>
  <c r="O594" i="39"/>
  <c r="S593" i="39"/>
  <c r="R593" i="39"/>
  <c r="P593" i="39"/>
  <c r="O593" i="39"/>
  <c r="S592" i="39"/>
  <c r="R592" i="39"/>
  <c r="P592" i="39"/>
  <c r="O592" i="39"/>
  <c r="S591" i="39"/>
  <c r="R591" i="39"/>
  <c r="P591" i="39"/>
  <c r="O591" i="39"/>
  <c r="S590" i="39"/>
  <c r="R590" i="39"/>
  <c r="P590" i="39"/>
  <c r="O590" i="39"/>
  <c r="S589" i="39"/>
  <c r="R589" i="39"/>
  <c r="P589" i="39"/>
  <c r="O589" i="39"/>
  <c r="S588" i="39"/>
  <c r="R588" i="39"/>
  <c r="P588" i="39"/>
  <c r="O588" i="39"/>
  <c r="S587" i="39"/>
  <c r="R587" i="39"/>
  <c r="P587" i="39"/>
  <c r="O587" i="39"/>
  <c r="S586" i="39"/>
  <c r="R586" i="39"/>
  <c r="P586" i="39"/>
  <c r="O586" i="39"/>
  <c r="S585" i="39"/>
  <c r="R585" i="39"/>
  <c r="P585" i="39"/>
  <c r="O585" i="39"/>
  <c r="S584" i="39"/>
  <c r="R584" i="39"/>
  <c r="P584" i="39"/>
  <c r="O584" i="39"/>
  <c r="S583" i="39"/>
  <c r="R583" i="39"/>
  <c r="P583" i="39"/>
  <c r="O583" i="39"/>
  <c r="S582" i="39"/>
  <c r="R582" i="39"/>
  <c r="P582" i="39"/>
  <c r="O582" i="39"/>
  <c r="S581" i="39"/>
  <c r="R581" i="39"/>
  <c r="P581" i="39"/>
  <c r="O581" i="39"/>
  <c r="S580" i="39"/>
  <c r="R580" i="39"/>
  <c r="P580" i="39"/>
  <c r="O580" i="39"/>
  <c r="S579" i="39"/>
  <c r="R579" i="39"/>
  <c r="P579" i="39"/>
  <c r="O579" i="39"/>
  <c r="S578" i="39"/>
  <c r="R578" i="39"/>
  <c r="P578" i="39"/>
  <c r="O578" i="39"/>
  <c r="S577" i="39"/>
  <c r="R577" i="39"/>
  <c r="P577" i="39"/>
  <c r="O577" i="39"/>
  <c r="S576" i="39"/>
  <c r="R576" i="39"/>
  <c r="P576" i="39"/>
  <c r="O576" i="39"/>
  <c r="S575" i="39"/>
  <c r="R575" i="39"/>
  <c r="P575" i="39"/>
  <c r="O575" i="39"/>
  <c r="S574" i="39"/>
  <c r="R574" i="39"/>
  <c r="P574" i="39"/>
  <c r="O574" i="39"/>
  <c r="S573" i="39"/>
  <c r="R573" i="39"/>
  <c r="P573" i="39"/>
  <c r="O573" i="39"/>
  <c r="S572" i="39"/>
  <c r="R572" i="39"/>
  <c r="P572" i="39"/>
  <c r="O572" i="39"/>
  <c r="S571" i="39"/>
  <c r="R571" i="39"/>
  <c r="P571" i="39"/>
  <c r="O571" i="39"/>
  <c r="S570" i="39"/>
  <c r="R570" i="39"/>
  <c r="P570" i="39"/>
  <c r="O570" i="39"/>
  <c r="S569" i="39"/>
  <c r="R569" i="39"/>
  <c r="P569" i="39"/>
  <c r="O569" i="39"/>
  <c r="S568" i="39"/>
  <c r="R568" i="39"/>
  <c r="P568" i="39"/>
  <c r="O568" i="39"/>
  <c r="S567" i="39"/>
  <c r="R567" i="39"/>
  <c r="P567" i="39"/>
  <c r="O567" i="39"/>
  <c r="S566" i="39"/>
  <c r="R566" i="39"/>
  <c r="P566" i="39"/>
  <c r="O566" i="39"/>
  <c r="S565" i="39"/>
  <c r="R565" i="39"/>
  <c r="P565" i="39"/>
  <c r="O565" i="39"/>
  <c r="S564" i="39"/>
  <c r="R564" i="39"/>
  <c r="P564" i="39"/>
  <c r="O564" i="39"/>
  <c r="S563" i="39"/>
  <c r="R563" i="39"/>
  <c r="P563" i="39"/>
  <c r="O563" i="39"/>
  <c r="S562" i="39"/>
  <c r="R562" i="39"/>
  <c r="P562" i="39"/>
  <c r="O562" i="39"/>
  <c r="S561" i="39"/>
  <c r="R561" i="39"/>
  <c r="P561" i="39"/>
  <c r="O561" i="39"/>
  <c r="S560" i="39"/>
  <c r="R560" i="39"/>
  <c r="P560" i="39"/>
  <c r="O560" i="39"/>
  <c r="S559" i="39"/>
  <c r="R559" i="39"/>
  <c r="P559" i="39"/>
  <c r="O559" i="39"/>
  <c r="S558" i="39"/>
  <c r="R558" i="39"/>
  <c r="P558" i="39"/>
  <c r="O558" i="39"/>
  <c r="S557" i="39"/>
  <c r="R557" i="39"/>
  <c r="P557" i="39"/>
  <c r="O557" i="39"/>
  <c r="S556" i="39"/>
  <c r="R556" i="39"/>
  <c r="P556" i="39"/>
  <c r="O556" i="39"/>
  <c r="S555" i="39"/>
  <c r="R555" i="39"/>
  <c r="P555" i="39"/>
  <c r="O555" i="39"/>
  <c r="S554" i="39"/>
  <c r="R554" i="39"/>
  <c r="P554" i="39"/>
  <c r="O554" i="39"/>
  <c r="S553" i="39"/>
  <c r="R553" i="39"/>
  <c r="P553" i="39"/>
  <c r="O553" i="39"/>
  <c r="S552" i="39"/>
  <c r="R552" i="39"/>
  <c r="P552" i="39"/>
  <c r="O552" i="39"/>
  <c r="S551" i="39"/>
  <c r="R551" i="39"/>
  <c r="P551" i="39"/>
  <c r="O551" i="39"/>
  <c r="S550" i="39"/>
  <c r="R550" i="39"/>
  <c r="P550" i="39"/>
  <c r="O550" i="39"/>
  <c r="S549" i="39"/>
  <c r="R549" i="39"/>
  <c r="P549" i="39"/>
  <c r="O549" i="39"/>
  <c r="S548" i="39"/>
  <c r="R548" i="39"/>
  <c r="P548" i="39"/>
  <c r="O548" i="39"/>
  <c r="S547" i="39"/>
  <c r="R547" i="39"/>
  <c r="P547" i="39"/>
  <c r="O547" i="39"/>
  <c r="S546" i="39"/>
  <c r="R546" i="39"/>
  <c r="P546" i="39"/>
  <c r="O546" i="39"/>
  <c r="S545" i="39"/>
  <c r="R545" i="39"/>
  <c r="P545" i="39"/>
  <c r="O545" i="39"/>
  <c r="S544" i="39"/>
  <c r="R544" i="39"/>
  <c r="P544" i="39"/>
  <c r="O544" i="39"/>
  <c r="S543" i="39"/>
  <c r="R543" i="39"/>
  <c r="P543" i="39"/>
  <c r="O543" i="39"/>
  <c r="S542" i="39"/>
  <c r="R542" i="39"/>
  <c r="P542" i="39"/>
  <c r="O542" i="39"/>
  <c r="S541" i="39"/>
  <c r="R541" i="39"/>
  <c r="P541" i="39"/>
  <c r="O541" i="39"/>
  <c r="S540" i="39"/>
  <c r="R540" i="39"/>
  <c r="P540" i="39"/>
  <c r="O540" i="39"/>
  <c r="S539" i="39"/>
  <c r="R539" i="39"/>
  <c r="P539" i="39"/>
  <c r="O539" i="39"/>
  <c r="S538" i="39"/>
  <c r="R538" i="39"/>
  <c r="P538" i="39"/>
  <c r="O538" i="39"/>
  <c r="S537" i="39"/>
  <c r="R537" i="39"/>
  <c r="P537" i="39"/>
  <c r="O537" i="39"/>
  <c r="S536" i="39"/>
  <c r="R536" i="39"/>
  <c r="P536" i="39"/>
  <c r="O536" i="39"/>
  <c r="S535" i="39"/>
  <c r="R535" i="39"/>
  <c r="P535" i="39"/>
  <c r="O535" i="39"/>
  <c r="S534" i="39"/>
  <c r="R534" i="39"/>
  <c r="P534" i="39"/>
  <c r="O534" i="39"/>
  <c r="S533" i="39"/>
  <c r="R533" i="39"/>
  <c r="P533" i="39"/>
  <c r="O533" i="39"/>
  <c r="S532" i="39"/>
  <c r="R532" i="39"/>
  <c r="P532" i="39"/>
  <c r="O532" i="39"/>
  <c r="S531" i="39"/>
  <c r="R531" i="39"/>
  <c r="P531" i="39"/>
  <c r="O531" i="39"/>
  <c r="S530" i="39"/>
  <c r="R530" i="39"/>
  <c r="P530" i="39"/>
  <c r="O530" i="39"/>
  <c r="S529" i="39"/>
  <c r="R529" i="39"/>
  <c r="P529" i="39"/>
  <c r="O529" i="39"/>
  <c r="S528" i="39"/>
  <c r="R528" i="39"/>
  <c r="P528" i="39"/>
  <c r="O528" i="39"/>
  <c r="S527" i="39"/>
  <c r="R527" i="39"/>
  <c r="P527" i="39"/>
  <c r="O527" i="39"/>
  <c r="S526" i="39"/>
  <c r="R526" i="39"/>
  <c r="P526" i="39"/>
  <c r="O526" i="39"/>
  <c r="S525" i="39"/>
  <c r="R525" i="39"/>
  <c r="P525" i="39"/>
  <c r="O525" i="39"/>
  <c r="S524" i="39"/>
  <c r="R524" i="39"/>
  <c r="P524" i="39"/>
  <c r="O524" i="39"/>
  <c r="S523" i="39"/>
  <c r="R523" i="39"/>
  <c r="P523" i="39"/>
  <c r="O523" i="39"/>
  <c r="S522" i="39"/>
  <c r="R522" i="39"/>
  <c r="P522" i="39"/>
  <c r="O522" i="39"/>
  <c r="S521" i="39"/>
  <c r="R521" i="39"/>
  <c r="P521" i="39"/>
  <c r="O521" i="39"/>
  <c r="S520" i="39"/>
  <c r="R520" i="39"/>
  <c r="P520" i="39"/>
  <c r="O520" i="39"/>
  <c r="S519" i="39"/>
  <c r="R519" i="39"/>
  <c r="P519" i="39"/>
  <c r="O519" i="39"/>
  <c r="S518" i="39"/>
  <c r="R518" i="39"/>
  <c r="P518" i="39"/>
  <c r="O518" i="39"/>
  <c r="S517" i="39"/>
  <c r="R517" i="39"/>
  <c r="P517" i="39"/>
  <c r="O517" i="39"/>
  <c r="S516" i="39"/>
  <c r="R516" i="39"/>
  <c r="P516" i="39"/>
  <c r="O516" i="39"/>
  <c r="S515" i="39"/>
  <c r="R515" i="39"/>
  <c r="P515" i="39"/>
  <c r="O515" i="39"/>
  <c r="S514" i="39"/>
  <c r="R514" i="39"/>
  <c r="P514" i="39"/>
  <c r="O514" i="39"/>
  <c r="S513" i="39"/>
  <c r="R513" i="39"/>
  <c r="P513" i="39"/>
  <c r="O513" i="39"/>
  <c r="S512" i="39"/>
  <c r="R512" i="39"/>
  <c r="P512" i="39"/>
  <c r="O512" i="39"/>
  <c r="S511" i="39"/>
  <c r="R511" i="39"/>
  <c r="P511" i="39"/>
  <c r="O511" i="39"/>
  <c r="S510" i="39"/>
  <c r="R510" i="39"/>
  <c r="P510" i="39"/>
  <c r="O510" i="39"/>
  <c r="S509" i="39"/>
  <c r="R509" i="39"/>
  <c r="P509" i="39"/>
  <c r="O509" i="39"/>
  <c r="S508" i="39"/>
  <c r="R508" i="39"/>
  <c r="P508" i="39"/>
  <c r="O508" i="39"/>
  <c r="S507" i="39"/>
  <c r="R507" i="39"/>
  <c r="P507" i="39"/>
  <c r="O507" i="39"/>
  <c r="S506" i="39"/>
  <c r="R506" i="39"/>
  <c r="P506" i="39"/>
  <c r="O506" i="39"/>
  <c r="S505" i="39"/>
  <c r="R505" i="39"/>
  <c r="P505" i="39"/>
  <c r="O505" i="39"/>
  <c r="S504" i="39"/>
  <c r="R504" i="39"/>
  <c r="P504" i="39"/>
  <c r="O504" i="39"/>
  <c r="S503" i="39"/>
  <c r="R503" i="39"/>
  <c r="P503" i="39"/>
  <c r="O503" i="39"/>
  <c r="S502" i="39"/>
  <c r="R502" i="39"/>
  <c r="P502" i="39"/>
  <c r="O502" i="39"/>
  <c r="S501" i="39"/>
  <c r="R501" i="39"/>
  <c r="P501" i="39"/>
  <c r="O501" i="39"/>
  <c r="S500" i="39"/>
  <c r="R500" i="39"/>
  <c r="P500" i="39"/>
  <c r="O500" i="39"/>
  <c r="S499" i="39"/>
  <c r="R499" i="39"/>
  <c r="P499" i="39"/>
  <c r="O499" i="39"/>
  <c r="S498" i="39"/>
  <c r="R498" i="39"/>
  <c r="P498" i="39"/>
  <c r="O498" i="39"/>
  <c r="S497" i="39"/>
  <c r="R497" i="39"/>
  <c r="P497" i="39"/>
  <c r="O497" i="39"/>
  <c r="S496" i="39"/>
  <c r="R496" i="39"/>
  <c r="P496" i="39"/>
  <c r="O496" i="39"/>
  <c r="S495" i="39"/>
  <c r="R495" i="39"/>
  <c r="P495" i="39"/>
  <c r="O495" i="39"/>
  <c r="S494" i="39"/>
  <c r="R494" i="39"/>
  <c r="P494" i="39"/>
  <c r="O494" i="39"/>
  <c r="S493" i="39"/>
  <c r="R493" i="39"/>
  <c r="P493" i="39"/>
  <c r="O493" i="39"/>
  <c r="S492" i="39"/>
  <c r="R492" i="39"/>
  <c r="P492" i="39"/>
  <c r="O492" i="39"/>
  <c r="S491" i="39"/>
  <c r="R491" i="39"/>
  <c r="P491" i="39"/>
  <c r="O491" i="39"/>
  <c r="S490" i="39"/>
  <c r="R490" i="39"/>
  <c r="P490" i="39"/>
  <c r="O490" i="39"/>
  <c r="S489" i="39"/>
  <c r="R489" i="39"/>
  <c r="P489" i="39"/>
  <c r="O489" i="39"/>
  <c r="S488" i="39"/>
  <c r="R488" i="39"/>
  <c r="P488" i="39"/>
  <c r="O488" i="39"/>
  <c r="S487" i="39"/>
  <c r="R487" i="39"/>
  <c r="P487" i="39"/>
  <c r="O487" i="39"/>
  <c r="S486" i="39"/>
  <c r="R486" i="39"/>
  <c r="P486" i="39"/>
  <c r="O486" i="39"/>
  <c r="S485" i="39"/>
  <c r="R485" i="39"/>
  <c r="P485" i="39"/>
  <c r="O485" i="39"/>
  <c r="S484" i="39"/>
  <c r="R484" i="39"/>
  <c r="P484" i="39"/>
  <c r="O484" i="39"/>
  <c r="S483" i="39"/>
  <c r="R483" i="39"/>
  <c r="P483" i="39"/>
  <c r="O483" i="39"/>
  <c r="S482" i="39"/>
  <c r="R482" i="39"/>
  <c r="P482" i="39"/>
  <c r="O482" i="39"/>
  <c r="S481" i="39"/>
  <c r="R481" i="39"/>
  <c r="P481" i="39"/>
  <c r="O481" i="39"/>
  <c r="S480" i="39"/>
  <c r="R480" i="39"/>
  <c r="P480" i="39"/>
  <c r="O480" i="39"/>
  <c r="S479" i="39"/>
  <c r="R479" i="39"/>
  <c r="P479" i="39"/>
  <c r="O479" i="39"/>
  <c r="S478" i="39"/>
  <c r="R478" i="39"/>
  <c r="P478" i="39"/>
  <c r="O478" i="39"/>
  <c r="S477" i="39"/>
  <c r="R477" i="39"/>
  <c r="P477" i="39"/>
  <c r="O477" i="39"/>
  <c r="S476" i="39"/>
  <c r="R476" i="39"/>
  <c r="P476" i="39"/>
  <c r="O476" i="39"/>
  <c r="S475" i="39"/>
  <c r="R475" i="39"/>
  <c r="P475" i="39"/>
  <c r="O475" i="39"/>
  <c r="S474" i="39"/>
  <c r="R474" i="39"/>
  <c r="P474" i="39"/>
  <c r="O474" i="39"/>
  <c r="S473" i="39"/>
  <c r="R473" i="39"/>
  <c r="P473" i="39"/>
  <c r="O473" i="39"/>
  <c r="S472" i="39"/>
  <c r="R472" i="39"/>
  <c r="P472" i="39"/>
  <c r="O472" i="39"/>
  <c r="S471" i="39"/>
  <c r="R471" i="39"/>
  <c r="P471" i="39"/>
  <c r="O471" i="39"/>
  <c r="S470" i="39"/>
  <c r="R470" i="39"/>
  <c r="P470" i="39"/>
  <c r="O470" i="39"/>
  <c r="S469" i="39"/>
  <c r="R469" i="39"/>
  <c r="P469" i="39"/>
  <c r="O469" i="39"/>
  <c r="S468" i="39"/>
  <c r="R468" i="39"/>
  <c r="P468" i="39"/>
  <c r="O468" i="39"/>
  <c r="S467" i="39"/>
  <c r="R467" i="39"/>
  <c r="P467" i="39"/>
  <c r="O467" i="39"/>
  <c r="S466" i="39"/>
  <c r="R466" i="39"/>
  <c r="P466" i="39"/>
  <c r="O466" i="39"/>
  <c r="S465" i="39"/>
  <c r="R465" i="39"/>
  <c r="P465" i="39"/>
  <c r="O465" i="39"/>
  <c r="S464" i="39"/>
  <c r="R464" i="39"/>
  <c r="P464" i="39"/>
  <c r="O464" i="39"/>
  <c r="S463" i="39"/>
  <c r="R463" i="39"/>
  <c r="P463" i="39"/>
  <c r="O463" i="39"/>
  <c r="S462" i="39"/>
  <c r="R462" i="39"/>
  <c r="P462" i="39"/>
  <c r="O462" i="39"/>
  <c r="S461" i="39"/>
  <c r="R461" i="39"/>
  <c r="P461" i="39"/>
  <c r="O461" i="39"/>
  <c r="S460" i="39"/>
  <c r="R460" i="39"/>
  <c r="P460" i="39"/>
  <c r="O460" i="39"/>
  <c r="S459" i="39"/>
  <c r="R459" i="39"/>
  <c r="P459" i="39"/>
  <c r="O459" i="39"/>
  <c r="S458" i="39"/>
  <c r="R458" i="39"/>
  <c r="P458" i="39"/>
  <c r="O458" i="39"/>
  <c r="S457" i="39"/>
  <c r="R457" i="39"/>
  <c r="P457" i="39"/>
  <c r="O457" i="39"/>
  <c r="S456" i="39"/>
  <c r="R456" i="39"/>
  <c r="P456" i="39"/>
  <c r="O456" i="39"/>
  <c r="S455" i="39"/>
  <c r="R455" i="39"/>
  <c r="P455" i="39"/>
  <c r="O455" i="39"/>
  <c r="S454" i="39"/>
  <c r="R454" i="39"/>
  <c r="P454" i="39"/>
  <c r="O454" i="39"/>
  <c r="S453" i="39"/>
  <c r="R453" i="39"/>
  <c r="P453" i="39"/>
  <c r="O453" i="39"/>
  <c r="S452" i="39"/>
  <c r="R452" i="39"/>
  <c r="P452" i="39"/>
  <c r="O452" i="39"/>
  <c r="S451" i="39"/>
  <c r="R451" i="39"/>
  <c r="P451" i="39"/>
  <c r="O451" i="39"/>
  <c r="S450" i="39"/>
  <c r="R450" i="39"/>
  <c r="P450" i="39"/>
  <c r="O450" i="39"/>
  <c r="S449" i="39"/>
  <c r="R449" i="39"/>
  <c r="P449" i="39"/>
  <c r="O449" i="39"/>
  <c r="S448" i="39"/>
  <c r="R448" i="39"/>
  <c r="P448" i="39"/>
  <c r="O448" i="39"/>
  <c r="S447" i="39"/>
  <c r="R447" i="39"/>
  <c r="P447" i="39"/>
  <c r="O447" i="39"/>
  <c r="S446" i="39"/>
  <c r="R446" i="39"/>
  <c r="P446" i="39"/>
  <c r="O446" i="39"/>
  <c r="S445" i="39"/>
  <c r="R445" i="39"/>
  <c r="P445" i="39"/>
  <c r="O445" i="39"/>
  <c r="S444" i="39"/>
  <c r="R444" i="39"/>
  <c r="P444" i="39"/>
  <c r="O444" i="39"/>
  <c r="S443" i="39"/>
  <c r="R443" i="39"/>
  <c r="P443" i="39"/>
  <c r="O443" i="39"/>
  <c r="S442" i="39"/>
  <c r="R442" i="39"/>
  <c r="P442" i="39"/>
  <c r="O442" i="39"/>
  <c r="S441" i="39"/>
  <c r="R441" i="39"/>
  <c r="P441" i="39"/>
  <c r="O441" i="39"/>
  <c r="S440" i="39"/>
  <c r="R440" i="39"/>
  <c r="P440" i="39"/>
  <c r="O440" i="39"/>
  <c r="S439" i="39"/>
  <c r="R439" i="39"/>
  <c r="P439" i="39"/>
  <c r="O439" i="39"/>
  <c r="S438" i="39"/>
  <c r="R438" i="39"/>
  <c r="P438" i="39"/>
  <c r="O438" i="39"/>
  <c r="S437" i="39"/>
  <c r="R437" i="39"/>
  <c r="P437" i="39"/>
  <c r="O437" i="39"/>
  <c r="S436" i="39"/>
  <c r="R436" i="39"/>
  <c r="P436" i="39"/>
  <c r="O436" i="39"/>
  <c r="S435" i="39"/>
  <c r="R435" i="39"/>
  <c r="P435" i="39"/>
  <c r="O435" i="39"/>
  <c r="S434" i="39"/>
  <c r="R434" i="39"/>
  <c r="P434" i="39"/>
  <c r="O434" i="39"/>
  <c r="S433" i="39"/>
  <c r="R433" i="39"/>
  <c r="P433" i="39"/>
  <c r="O433" i="39"/>
  <c r="S432" i="39"/>
  <c r="R432" i="39"/>
  <c r="P432" i="39"/>
  <c r="O432" i="39"/>
  <c r="S431" i="39"/>
  <c r="R431" i="39"/>
  <c r="P431" i="39"/>
  <c r="O431" i="39"/>
  <c r="S430" i="39"/>
  <c r="R430" i="39"/>
  <c r="P430" i="39"/>
  <c r="O430" i="39"/>
  <c r="S429" i="39"/>
  <c r="R429" i="39"/>
  <c r="P429" i="39"/>
  <c r="O429" i="39"/>
  <c r="S428" i="39"/>
  <c r="R428" i="39"/>
  <c r="P428" i="39"/>
  <c r="O428" i="39"/>
  <c r="S427" i="39"/>
  <c r="R427" i="39"/>
  <c r="P427" i="39"/>
  <c r="O427" i="39"/>
  <c r="S426" i="39"/>
  <c r="R426" i="39"/>
  <c r="P426" i="39"/>
  <c r="O426" i="39"/>
  <c r="S425" i="39"/>
  <c r="R425" i="39"/>
  <c r="P425" i="39"/>
  <c r="O425" i="39"/>
  <c r="S424" i="39"/>
  <c r="R424" i="39"/>
  <c r="P424" i="39"/>
  <c r="O424" i="39"/>
  <c r="S423" i="39"/>
  <c r="R423" i="39"/>
  <c r="P423" i="39"/>
  <c r="O423" i="39"/>
  <c r="S422" i="39"/>
  <c r="R422" i="39"/>
  <c r="P422" i="39"/>
  <c r="O422" i="39"/>
  <c r="S421" i="39"/>
  <c r="R421" i="39"/>
  <c r="P421" i="39"/>
  <c r="O421" i="39"/>
  <c r="S420" i="39"/>
  <c r="R420" i="39"/>
  <c r="P420" i="39"/>
  <c r="O420" i="39"/>
  <c r="S419" i="39"/>
  <c r="R419" i="39"/>
  <c r="P419" i="39"/>
  <c r="O419" i="39"/>
  <c r="S418" i="39"/>
  <c r="R418" i="39"/>
  <c r="P418" i="39"/>
  <c r="O418" i="39"/>
  <c r="S417" i="39"/>
  <c r="R417" i="39"/>
  <c r="P417" i="39"/>
  <c r="O417" i="39"/>
  <c r="S416" i="39"/>
  <c r="R416" i="39"/>
  <c r="P416" i="39"/>
  <c r="O416" i="39"/>
  <c r="S415" i="39"/>
  <c r="R415" i="39"/>
  <c r="P415" i="39"/>
  <c r="O415" i="39"/>
  <c r="S414" i="39"/>
  <c r="R414" i="39"/>
  <c r="P414" i="39"/>
  <c r="O414" i="39"/>
  <c r="S413" i="39"/>
  <c r="R413" i="39"/>
  <c r="P413" i="39"/>
  <c r="O413" i="39"/>
  <c r="S412" i="39"/>
  <c r="R412" i="39"/>
  <c r="P412" i="39"/>
  <c r="O412" i="39"/>
  <c r="S411" i="39"/>
  <c r="R411" i="39"/>
  <c r="P411" i="39"/>
  <c r="O411" i="39"/>
  <c r="S410" i="39"/>
  <c r="R410" i="39"/>
  <c r="P410" i="39"/>
  <c r="O410" i="39"/>
  <c r="S409" i="39"/>
  <c r="R409" i="39"/>
  <c r="P409" i="39"/>
  <c r="O409" i="39"/>
  <c r="S408" i="39"/>
  <c r="R408" i="39"/>
  <c r="P408" i="39"/>
  <c r="O408" i="39"/>
  <c r="S407" i="39"/>
  <c r="R407" i="39"/>
  <c r="P407" i="39"/>
  <c r="O407" i="39"/>
  <c r="S406" i="39"/>
  <c r="R406" i="39"/>
  <c r="P406" i="39"/>
  <c r="O406" i="39"/>
  <c r="S405" i="39"/>
  <c r="R405" i="39"/>
  <c r="P405" i="39"/>
  <c r="O405" i="39"/>
  <c r="S404" i="39"/>
  <c r="R404" i="39"/>
  <c r="P404" i="39"/>
  <c r="O404" i="39"/>
  <c r="S403" i="39"/>
  <c r="R403" i="39"/>
  <c r="P403" i="39"/>
  <c r="O403" i="39"/>
  <c r="S402" i="39"/>
  <c r="R402" i="39"/>
  <c r="P402" i="39"/>
  <c r="O402" i="39"/>
  <c r="S401" i="39"/>
  <c r="R401" i="39"/>
  <c r="P401" i="39"/>
  <c r="O401" i="39"/>
  <c r="S400" i="39"/>
  <c r="R400" i="39"/>
  <c r="P400" i="39"/>
  <c r="O400" i="39"/>
  <c r="S399" i="39"/>
  <c r="R399" i="39"/>
  <c r="P399" i="39"/>
  <c r="O399" i="39"/>
  <c r="S398" i="39"/>
  <c r="R398" i="39"/>
  <c r="P398" i="39"/>
  <c r="O398" i="39"/>
  <c r="S397" i="39"/>
  <c r="R397" i="39"/>
  <c r="P397" i="39"/>
  <c r="O397" i="39"/>
  <c r="S396" i="39"/>
  <c r="R396" i="39"/>
  <c r="P396" i="39"/>
  <c r="O396" i="39"/>
  <c r="S395" i="39"/>
  <c r="R395" i="39"/>
  <c r="P395" i="39"/>
  <c r="O395" i="39"/>
  <c r="S394" i="39"/>
  <c r="R394" i="39"/>
  <c r="P394" i="39"/>
  <c r="O394" i="39"/>
  <c r="S393" i="39"/>
  <c r="R393" i="39"/>
  <c r="P393" i="39"/>
  <c r="O393" i="39"/>
  <c r="S392" i="39"/>
  <c r="R392" i="39"/>
  <c r="P392" i="39"/>
  <c r="O392" i="39"/>
  <c r="S391" i="39"/>
  <c r="R391" i="39"/>
  <c r="P391" i="39"/>
  <c r="O391" i="39"/>
  <c r="S390" i="39"/>
  <c r="R390" i="39"/>
  <c r="P390" i="39"/>
  <c r="O390" i="39"/>
  <c r="S389" i="39"/>
  <c r="R389" i="39"/>
  <c r="P389" i="39"/>
  <c r="O389" i="39"/>
  <c r="S388" i="39"/>
  <c r="R388" i="39"/>
  <c r="P388" i="39"/>
  <c r="O388" i="39"/>
  <c r="S387" i="39"/>
  <c r="R387" i="39"/>
  <c r="P387" i="39"/>
  <c r="O387" i="39"/>
  <c r="S386" i="39"/>
  <c r="R386" i="39"/>
  <c r="P386" i="39"/>
  <c r="O386" i="39"/>
  <c r="S385" i="39"/>
  <c r="R385" i="39"/>
  <c r="P385" i="39"/>
  <c r="O385" i="39"/>
  <c r="S384" i="39"/>
  <c r="R384" i="39"/>
  <c r="P384" i="39"/>
  <c r="O384" i="39"/>
  <c r="S383" i="39"/>
  <c r="R383" i="39"/>
  <c r="P383" i="39"/>
  <c r="O383" i="39"/>
  <c r="S382" i="39"/>
  <c r="R382" i="39"/>
  <c r="P382" i="39"/>
  <c r="O382" i="39"/>
  <c r="S381" i="39"/>
  <c r="R381" i="39"/>
  <c r="P381" i="39"/>
  <c r="O381" i="39"/>
  <c r="S380" i="39"/>
  <c r="R380" i="39"/>
  <c r="P380" i="39"/>
  <c r="O380" i="39"/>
  <c r="S379" i="39"/>
  <c r="R379" i="39"/>
  <c r="P379" i="39"/>
  <c r="O379" i="39"/>
  <c r="S378" i="39"/>
  <c r="R378" i="39"/>
  <c r="P378" i="39"/>
  <c r="O378" i="39"/>
  <c r="S377" i="39"/>
  <c r="R377" i="39"/>
  <c r="P377" i="39"/>
  <c r="O377" i="39"/>
  <c r="S376" i="39"/>
  <c r="R376" i="39"/>
  <c r="P376" i="39"/>
  <c r="O376" i="39"/>
  <c r="S375" i="39"/>
  <c r="R375" i="39"/>
  <c r="P375" i="39"/>
  <c r="O375" i="39"/>
  <c r="S374" i="39"/>
  <c r="R374" i="39"/>
  <c r="P374" i="39"/>
  <c r="O374" i="39"/>
  <c r="S373" i="39"/>
  <c r="R373" i="39"/>
  <c r="P373" i="39"/>
  <c r="O373" i="39"/>
  <c r="S372" i="39"/>
  <c r="R372" i="39"/>
  <c r="P372" i="39"/>
  <c r="O372" i="39"/>
  <c r="S371" i="39"/>
  <c r="R371" i="39"/>
  <c r="P371" i="39"/>
  <c r="O371" i="39"/>
  <c r="S370" i="39"/>
  <c r="R370" i="39"/>
  <c r="P370" i="39"/>
  <c r="O370" i="39"/>
  <c r="S369" i="39"/>
  <c r="R369" i="39"/>
  <c r="P369" i="39"/>
  <c r="O369" i="39"/>
  <c r="S368" i="39"/>
  <c r="R368" i="39"/>
  <c r="P368" i="39"/>
  <c r="O368" i="39"/>
  <c r="S367" i="39"/>
  <c r="R367" i="39"/>
  <c r="P367" i="39"/>
  <c r="O367" i="39"/>
  <c r="S366" i="39"/>
  <c r="R366" i="39"/>
  <c r="P366" i="39"/>
  <c r="O366" i="39"/>
  <c r="S365" i="39"/>
  <c r="R365" i="39"/>
  <c r="P365" i="39"/>
  <c r="O365" i="39"/>
  <c r="S364" i="39"/>
  <c r="R364" i="39"/>
  <c r="P364" i="39"/>
  <c r="O364" i="39"/>
  <c r="S363" i="39"/>
  <c r="R363" i="39"/>
  <c r="P363" i="39"/>
  <c r="O363" i="39"/>
  <c r="S362" i="39"/>
  <c r="R362" i="39"/>
  <c r="P362" i="39"/>
  <c r="O362" i="39"/>
  <c r="S361" i="39"/>
  <c r="R361" i="39"/>
  <c r="P361" i="39"/>
  <c r="O361" i="39"/>
  <c r="S360" i="39"/>
  <c r="R360" i="39"/>
  <c r="P360" i="39"/>
  <c r="O360" i="39"/>
  <c r="C53" i="38" s="1"/>
  <c r="F3" i="14" s="1"/>
  <c r="S359" i="39"/>
  <c r="R359" i="39"/>
  <c r="P359" i="39"/>
  <c r="O359" i="39"/>
  <c r="S358" i="39"/>
  <c r="R358" i="39"/>
  <c r="P358" i="39"/>
  <c r="O358" i="39"/>
  <c r="S357" i="39"/>
  <c r="R357" i="39"/>
  <c r="P357" i="39"/>
  <c r="O357" i="39"/>
  <c r="S356" i="39"/>
  <c r="R356" i="39"/>
  <c r="P356" i="39"/>
  <c r="O356" i="39"/>
  <c r="S355" i="39"/>
  <c r="R355" i="39"/>
  <c r="P355" i="39"/>
  <c r="O355" i="39"/>
  <c r="S354" i="39"/>
  <c r="R354" i="39"/>
  <c r="P354" i="39"/>
  <c r="O354" i="39"/>
  <c r="S353" i="39"/>
  <c r="R353" i="39"/>
  <c r="P353" i="39"/>
  <c r="O353" i="39"/>
  <c r="S352" i="39"/>
  <c r="R352" i="39"/>
  <c r="P352" i="39"/>
  <c r="O352" i="39"/>
  <c r="S351" i="39"/>
  <c r="R351" i="39"/>
  <c r="P351" i="39"/>
  <c r="O351" i="39"/>
  <c r="S350" i="39"/>
  <c r="R350" i="39"/>
  <c r="P350" i="39"/>
  <c r="O350" i="39"/>
  <c r="S349" i="39"/>
  <c r="R349" i="39"/>
  <c r="P349" i="39"/>
  <c r="O349" i="39"/>
  <c r="S348" i="39"/>
  <c r="R348" i="39"/>
  <c r="P348" i="39"/>
  <c r="O348" i="39"/>
  <c r="S347" i="39"/>
  <c r="R347" i="39"/>
  <c r="P347" i="39"/>
  <c r="O347" i="39"/>
  <c r="S346" i="39"/>
  <c r="R346" i="39"/>
  <c r="P346" i="39"/>
  <c r="O346" i="39"/>
  <c r="S345" i="39"/>
  <c r="R345" i="39"/>
  <c r="P345" i="39"/>
  <c r="O345" i="39"/>
  <c r="S344" i="39"/>
  <c r="R344" i="39"/>
  <c r="P344" i="39"/>
  <c r="O344" i="39"/>
  <c r="S343" i="39"/>
  <c r="R343" i="39"/>
  <c r="P343" i="39"/>
  <c r="O343" i="39"/>
  <c r="S342" i="39"/>
  <c r="R342" i="39"/>
  <c r="P342" i="39"/>
  <c r="O342" i="39"/>
  <c r="S341" i="39"/>
  <c r="R341" i="39"/>
  <c r="P341" i="39"/>
  <c r="O341" i="39"/>
  <c r="S340" i="39"/>
  <c r="R340" i="39"/>
  <c r="P340" i="39"/>
  <c r="O340" i="39"/>
  <c r="S339" i="39"/>
  <c r="R339" i="39"/>
  <c r="P339" i="39"/>
  <c r="O339" i="39"/>
  <c r="S338" i="39"/>
  <c r="R338" i="39"/>
  <c r="P338" i="39"/>
  <c r="O338" i="39"/>
  <c r="S337" i="39"/>
  <c r="R337" i="39"/>
  <c r="P337" i="39"/>
  <c r="O337" i="39"/>
  <c r="S336" i="39"/>
  <c r="R336" i="39"/>
  <c r="P336" i="39"/>
  <c r="O336" i="39"/>
  <c r="S335" i="39"/>
  <c r="R335" i="39"/>
  <c r="P335" i="39"/>
  <c r="O335" i="39"/>
  <c r="S334" i="39"/>
  <c r="R334" i="39"/>
  <c r="P334" i="39"/>
  <c r="O334" i="39"/>
  <c r="S333" i="39"/>
  <c r="R333" i="39"/>
  <c r="P333" i="39"/>
  <c r="O333" i="39"/>
  <c r="S332" i="39"/>
  <c r="R332" i="39"/>
  <c r="P332" i="39"/>
  <c r="O332" i="39"/>
  <c r="S331" i="39"/>
  <c r="R331" i="39"/>
  <c r="P331" i="39"/>
  <c r="O331" i="39"/>
  <c r="S330" i="39"/>
  <c r="R330" i="39"/>
  <c r="P330" i="39"/>
  <c r="O330" i="39"/>
  <c r="S329" i="39"/>
  <c r="R329" i="39"/>
  <c r="P329" i="39"/>
  <c r="O329" i="39"/>
  <c r="S328" i="39"/>
  <c r="R328" i="39"/>
  <c r="P328" i="39"/>
  <c r="O328" i="39"/>
  <c r="S327" i="39"/>
  <c r="R327" i="39"/>
  <c r="P327" i="39"/>
  <c r="O327" i="39"/>
  <c r="S326" i="39"/>
  <c r="R326" i="39"/>
  <c r="P326" i="39"/>
  <c r="O326" i="39"/>
  <c r="S325" i="39"/>
  <c r="R325" i="39"/>
  <c r="P325" i="39"/>
  <c r="O325" i="39"/>
  <c r="S324" i="39"/>
  <c r="R324" i="39"/>
  <c r="P324" i="39"/>
  <c r="O324" i="39"/>
  <c r="S323" i="39"/>
  <c r="R323" i="39"/>
  <c r="P323" i="39"/>
  <c r="O323" i="39"/>
  <c r="S322" i="39"/>
  <c r="R322" i="39"/>
  <c r="P322" i="39"/>
  <c r="O322" i="39"/>
  <c r="S321" i="39"/>
  <c r="R321" i="39"/>
  <c r="P321" i="39"/>
  <c r="O321" i="39"/>
  <c r="S320" i="39"/>
  <c r="R320" i="39"/>
  <c r="P320" i="39"/>
  <c r="O320" i="39"/>
  <c r="S319" i="39"/>
  <c r="R319" i="39"/>
  <c r="P319" i="39"/>
  <c r="O319" i="39"/>
  <c r="N748" i="39" s="1"/>
  <c r="S318" i="39"/>
  <c r="R318" i="39"/>
  <c r="P318" i="39"/>
  <c r="O318" i="39"/>
  <c r="S317" i="39"/>
  <c r="R317" i="39"/>
  <c r="P317" i="39"/>
  <c r="O317" i="39"/>
  <c r="S316" i="39"/>
  <c r="R316" i="39"/>
  <c r="P316" i="39"/>
  <c r="O316" i="39"/>
  <c r="S315" i="39"/>
  <c r="R315" i="39"/>
  <c r="P315" i="39"/>
  <c r="O315" i="39"/>
  <c r="S314" i="39"/>
  <c r="R314" i="39"/>
  <c r="P314" i="39"/>
  <c r="O314" i="39"/>
  <c r="S313" i="39"/>
  <c r="R313" i="39"/>
  <c r="P313" i="39"/>
  <c r="O313" i="39"/>
  <c r="S312" i="39"/>
  <c r="R312" i="39"/>
  <c r="P312" i="39"/>
  <c r="O312" i="39"/>
  <c r="S311" i="39"/>
  <c r="R311" i="39"/>
  <c r="P311" i="39"/>
  <c r="O311" i="39"/>
  <c r="S310" i="39"/>
  <c r="R310" i="39"/>
  <c r="P310" i="39"/>
  <c r="O310" i="39"/>
  <c r="S309" i="39"/>
  <c r="R309" i="39"/>
  <c r="P309" i="39"/>
  <c r="O309" i="39"/>
  <c r="S308" i="39"/>
  <c r="R308" i="39"/>
  <c r="P308" i="39"/>
  <c r="O308" i="39"/>
  <c r="S307" i="39"/>
  <c r="R307" i="39"/>
  <c r="P307" i="39"/>
  <c r="O307" i="39"/>
  <c r="S306" i="39"/>
  <c r="R306" i="39"/>
  <c r="P306" i="39"/>
  <c r="O306" i="39"/>
  <c r="S305" i="39"/>
  <c r="R305" i="39"/>
  <c r="P305" i="39"/>
  <c r="O305" i="39"/>
  <c r="S304" i="39"/>
  <c r="R304" i="39"/>
  <c r="P304" i="39"/>
  <c r="O304" i="39"/>
  <c r="S303" i="39"/>
  <c r="R303" i="39"/>
  <c r="P303" i="39"/>
  <c r="O303" i="39"/>
  <c r="S302" i="39"/>
  <c r="R302" i="39"/>
  <c r="P302" i="39"/>
  <c r="O302" i="39"/>
  <c r="S301" i="39"/>
  <c r="R301" i="39"/>
  <c r="P301" i="39"/>
  <c r="O301" i="39"/>
  <c r="S300" i="39"/>
  <c r="R300" i="39"/>
  <c r="P300" i="39"/>
  <c r="O300" i="39"/>
  <c r="S299" i="39"/>
  <c r="R299" i="39"/>
  <c r="P299" i="39"/>
  <c r="O299" i="39"/>
  <c r="S298" i="39"/>
  <c r="R298" i="39"/>
  <c r="P298" i="39"/>
  <c r="O298" i="39"/>
  <c r="S297" i="39"/>
  <c r="R297" i="39"/>
  <c r="P297" i="39"/>
  <c r="O297" i="39"/>
  <c r="S296" i="39"/>
  <c r="R296" i="39"/>
  <c r="P296" i="39"/>
  <c r="O296" i="39"/>
  <c r="S295" i="39"/>
  <c r="R295" i="39"/>
  <c r="P295" i="39"/>
  <c r="O295" i="39"/>
  <c r="S294" i="39"/>
  <c r="R294" i="39"/>
  <c r="P294" i="39"/>
  <c r="O294" i="39"/>
  <c r="N750" i="39" s="1"/>
  <c r="S293" i="39"/>
  <c r="R293" i="39"/>
  <c r="P293" i="39"/>
  <c r="O293" i="39"/>
  <c r="S292" i="39"/>
  <c r="R292" i="39"/>
  <c r="P292" i="39"/>
  <c r="O292" i="39"/>
  <c r="S291" i="39"/>
  <c r="R291" i="39"/>
  <c r="P291" i="39"/>
  <c r="O291" i="39"/>
  <c r="S290" i="39"/>
  <c r="R290" i="39"/>
  <c r="P290" i="39"/>
  <c r="O290" i="39"/>
  <c r="S289" i="39"/>
  <c r="R289" i="39"/>
  <c r="P289" i="39"/>
  <c r="O289" i="39"/>
  <c r="S288" i="39"/>
  <c r="R288" i="39"/>
  <c r="P288" i="39"/>
  <c r="O288" i="39"/>
  <c r="S287" i="39"/>
  <c r="R287" i="39"/>
  <c r="P287" i="39"/>
  <c r="O287" i="39"/>
  <c r="S286" i="39"/>
  <c r="R286" i="39"/>
  <c r="P286" i="39"/>
  <c r="O286" i="39"/>
  <c r="S285" i="39"/>
  <c r="R285" i="39"/>
  <c r="P285" i="39"/>
  <c r="O285" i="39"/>
  <c r="S284" i="39"/>
  <c r="R284" i="39"/>
  <c r="P284" i="39"/>
  <c r="O284" i="39"/>
  <c r="S283" i="39"/>
  <c r="R283" i="39"/>
  <c r="P283" i="39"/>
  <c r="O283" i="39"/>
  <c r="S282" i="39"/>
  <c r="R282" i="39"/>
  <c r="P282" i="39"/>
  <c r="O282" i="39"/>
  <c r="S281" i="39"/>
  <c r="R281" i="39"/>
  <c r="P281" i="39"/>
  <c r="O281" i="39"/>
  <c r="S280" i="39"/>
  <c r="R280" i="39"/>
  <c r="P280" i="39"/>
  <c r="O280" i="39"/>
  <c r="S279" i="39"/>
  <c r="R279" i="39"/>
  <c r="P279" i="39"/>
  <c r="O279" i="39"/>
  <c r="S278" i="39"/>
  <c r="R278" i="39"/>
  <c r="P278" i="39"/>
  <c r="O278" i="39"/>
  <c r="S277" i="39"/>
  <c r="R277" i="39"/>
  <c r="P277" i="39"/>
  <c r="O277" i="39"/>
  <c r="S276" i="39"/>
  <c r="R276" i="39"/>
  <c r="P276" i="39"/>
  <c r="O276" i="39"/>
  <c r="S275" i="39"/>
  <c r="R275" i="39"/>
  <c r="P275" i="39"/>
  <c r="O275" i="39"/>
  <c r="U275" i="39" s="1"/>
  <c r="S274" i="39"/>
  <c r="R274" i="39"/>
  <c r="P274" i="39"/>
  <c r="O274" i="39"/>
  <c r="S273" i="39"/>
  <c r="R273" i="39"/>
  <c r="P273" i="39"/>
  <c r="O273" i="39"/>
  <c r="S272" i="39"/>
  <c r="R272" i="39"/>
  <c r="P272" i="39"/>
  <c r="O272" i="39"/>
  <c r="S271" i="39"/>
  <c r="R271" i="39"/>
  <c r="P271" i="39"/>
  <c r="O271" i="39"/>
  <c r="S270" i="39"/>
  <c r="R270" i="39"/>
  <c r="P270" i="39"/>
  <c r="O270" i="39"/>
  <c r="S269" i="39"/>
  <c r="R269" i="39"/>
  <c r="P269" i="39"/>
  <c r="O269" i="39"/>
  <c r="S268" i="39"/>
  <c r="R268" i="39"/>
  <c r="P268" i="39"/>
  <c r="O268" i="39"/>
  <c r="S267" i="39"/>
  <c r="R267" i="39"/>
  <c r="P267" i="39"/>
  <c r="O267" i="39"/>
  <c r="S266" i="39"/>
  <c r="R266" i="39"/>
  <c r="P266" i="39"/>
  <c r="O266" i="39"/>
  <c r="S265" i="39"/>
  <c r="R265" i="39"/>
  <c r="P265" i="39"/>
  <c r="O265" i="39"/>
  <c r="S264" i="39"/>
  <c r="R264" i="39"/>
  <c r="P264" i="39"/>
  <c r="O264" i="39"/>
  <c r="S263" i="39"/>
  <c r="R263" i="39"/>
  <c r="P263" i="39"/>
  <c r="O263" i="39"/>
  <c r="S262" i="39"/>
  <c r="R262" i="39"/>
  <c r="P262" i="39"/>
  <c r="O262" i="39"/>
  <c r="S261" i="39"/>
  <c r="R261" i="39"/>
  <c r="P261" i="39"/>
  <c r="O261" i="39"/>
  <c r="S260" i="39"/>
  <c r="R260" i="39"/>
  <c r="P260" i="39"/>
  <c r="O260" i="39"/>
  <c r="S259" i="39"/>
  <c r="R259" i="39"/>
  <c r="P259" i="39"/>
  <c r="O259" i="39"/>
  <c r="S258" i="39"/>
  <c r="R258" i="39"/>
  <c r="P258" i="39"/>
  <c r="O258" i="39"/>
  <c r="S257" i="39"/>
  <c r="R257" i="39"/>
  <c r="P257" i="39"/>
  <c r="O257" i="39"/>
  <c r="S256" i="39"/>
  <c r="R256" i="39"/>
  <c r="P256" i="39"/>
  <c r="O256" i="39"/>
  <c r="S255" i="39"/>
  <c r="R255" i="39"/>
  <c r="P255" i="39"/>
  <c r="O255" i="39"/>
  <c r="S254" i="39"/>
  <c r="R254" i="39"/>
  <c r="P254" i="39"/>
  <c r="O254" i="39"/>
  <c r="S253" i="39"/>
  <c r="R253" i="39"/>
  <c r="P253" i="39"/>
  <c r="O253" i="39"/>
  <c r="S252" i="39"/>
  <c r="R252" i="39"/>
  <c r="P252" i="39"/>
  <c r="O252" i="39"/>
  <c r="S251" i="39"/>
  <c r="R251" i="39"/>
  <c r="P251" i="39"/>
  <c r="O251" i="39"/>
  <c r="S250" i="39"/>
  <c r="R250" i="39"/>
  <c r="P250" i="39"/>
  <c r="O250" i="39"/>
  <c r="S249" i="39"/>
  <c r="R249" i="39"/>
  <c r="P249" i="39"/>
  <c r="O249" i="39"/>
  <c r="S248" i="39"/>
  <c r="R248" i="39"/>
  <c r="P248" i="39"/>
  <c r="O248" i="39"/>
  <c r="S247" i="39"/>
  <c r="R247" i="39"/>
  <c r="P247" i="39"/>
  <c r="O247" i="39"/>
  <c r="S246" i="39"/>
  <c r="R246" i="39"/>
  <c r="P246" i="39"/>
  <c r="O246" i="39"/>
  <c r="S245" i="39"/>
  <c r="R245" i="39"/>
  <c r="P245" i="39"/>
  <c r="O245" i="39"/>
  <c r="S244" i="39"/>
  <c r="R244" i="39"/>
  <c r="P244" i="39"/>
  <c r="O244" i="39"/>
  <c r="S243" i="39"/>
  <c r="R243" i="39"/>
  <c r="P243" i="39"/>
  <c r="O243" i="39"/>
  <c r="S242" i="39"/>
  <c r="R242" i="39"/>
  <c r="P242" i="39"/>
  <c r="O242" i="39"/>
  <c r="S241" i="39"/>
  <c r="R241" i="39"/>
  <c r="P241" i="39"/>
  <c r="O241" i="39"/>
  <c r="S240" i="39"/>
  <c r="R240" i="39"/>
  <c r="P240" i="39"/>
  <c r="O240" i="39"/>
  <c r="S239" i="39"/>
  <c r="R239" i="39"/>
  <c r="P239" i="39"/>
  <c r="O239" i="39"/>
  <c r="S238" i="39"/>
  <c r="R238" i="39"/>
  <c r="P238" i="39"/>
  <c r="O238" i="39"/>
  <c r="S237" i="39"/>
  <c r="R237" i="39"/>
  <c r="P237" i="39"/>
  <c r="O237" i="39"/>
  <c r="S236" i="39"/>
  <c r="R236" i="39"/>
  <c r="P236" i="39"/>
  <c r="O236" i="39"/>
  <c r="S235" i="39"/>
  <c r="R235" i="39"/>
  <c r="P235" i="39"/>
  <c r="O235" i="39"/>
  <c r="S234" i="39"/>
  <c r="R234" i="39"/>
  <c r="P234" i="39"/>
  <c r="O234" i="39"/>
  <c r="S233" i="39"/>
  <c r="R233" i="39"/>
  <c r="P233" i="39"/>
  <c r="O233" i="39"/>
  <c r="S232" i="39"/>
  <c r="R232" i="39"/>
  <c r="P232" i="39"/>
  <c r="O232" i="39"/>
  <c r="S231" i="39"/>
  <c r="R231" i="39"/>
  <c r="P231" i="39"/>
  <c r="O231" i="39"/>
  <c r="S230" i="39"/>
  <c r="R230" i="39"/>
  <c r="P230" i="39"/>
  <c r="O230" i="39"/>
  <c r="S229" i="39"/>
  <c r="R229" i="39"/>
  <c r="P229" i="39"/>
  <c r="O229" i="39"/>
  <c r="S228" i="39"/>
  <c r="R228" i="39"/>
  <c r="P228" i="39"/>
  <c r="O228" i="39"/>
  <c r="S227" i="39"/>
  <c r="R227" i="39"/>
  <c r="P227" i="39"/>
  <c r="O227" i="39"/>
  <c r="S226" i="39"/>
  <c r="R226" i="39"/>
  <c r="P226" i="39"/>
  <c r="O226" i="39"/>
  <c r="S225" i="39"/>
  <c r="R225" i="39"/>
  <c r="P225" i="39"/>
  <c r="O225" i="39"/>
  <c r="S224" i="39"/>
  <c r="R224" i="39"/>
  <c r="P224" i="39"/>
  <c r="O224" i="39"/>
  <c r="S223" i="39"/>
  <c r="R223" i="39"/>
  <c r="P223" i="39"/>
  <c r="O223" i="39"/>
  <c r="S222" i="39"/>
  <c r="R222" i="39"/>
  <c r="P222" i="39"/>
  <c r="O222" i="39"/>
  <c r="S221" i="39"/>
  <c r="R221" i="39"/>
  <c r="P221" i="39"/>
  <c r="O221" i="39"/>
  <c r="S220" i="39"/>
  <c r="R220" i="39"/>
  <c r="P220" i="39"/>
  <c r="O220" i="39"/>
  <c r="S219" i="39"/>
  <c r="R219" i="39"/>
  <c r="P219" i="39"/>
  <c r="O219" i="39"/>
  <c r="S218" i="39"/>
  <c r="R218" i="39"/>
  <c r="P218" i="39"/>
  <c r="O218" i="39"/>
  <c r="S217" i="39"/>
  <c r="R217" i="39"/>
  <c r="P217" i="39"/>
  <c r="O217" i="39"/>
  <c r="S216" i="39"/>
  <c r="R216" i="39"/>
  <c r="P216" i="39"/>
  <c r="O216" i="39"/>
  <c r="S215" i="39"/>
  <c r="R215" i="39"/>
  <c r="P215" i="39"/>
  <c r="O215" i="39"/>
  <c r="S214" i="39"/>
  <c r="R214" i="39"/>
  <c r="P214" i="39"/>
  <c r="O214" i="39"/>
  <c r="S213" i="39"/>
  <c r="R213" i="39"/>
  <c r="P213" i="39"/>
  <c r="O213" i="39"/>
  <c r="S212" i="39"/>
  <c r="R212" i="39"/>
  <c r="P212" i="39"/>
  <c r="O212" i="39"/>
  <c r="S211" i="39"/>
  <c r="R211" i="39"/>
  <c r="P211" i="39"/>
  <c r="O211" i="39"/>
  <c r="S210" i="39"/>
  <c r="R210" i="39"/>
  <c r="P210" i="39"/>
  <c r="O210" i="39"/>
  <c r="S209" i="39"/>
  <c r="R209" i="39"/>
  <c r="P209" i="39"/>
  <c r="O209" i="39"/>
  <c r="S208" i="39"/>
  <c r="R208" i="39"/>
  <c r="P208" i="39"/>
  <c r="O208" i="39"/>
  <c r="S207" i="39"/>
  <c r="R207" i="39"/>
  <c r="P207" i="39"/>
  <c r="O207" i="39"/>
  <c r="S206" i="39"/>
  <c r="R206" i="39"/>
  <c r="P206" i="39"/>
  <c r="O206" i="39"/>
  <c r="S205" i="39"/>
  <c r="R205" i="39"/>
  <c r="P205" i="39"/>
  <c r="O205" i="39"/>
  <c r="S204" i="39"/>
  <c r="R204" i="39"/>
  <c r="P204" i="39"/>
  <c r="O204" i="39"/>
  <c r="S203" i="39"/>
  <c r="R203" i="39"/>
  <c r="P203" i="39"/>
  <c r="O203" i="39"/>
  <c r="S202" i="39"/>
  <c r="R202" i="39"/>
  <c r="P202" i="39"/>
  <c r="O202" i="39"/>
  <c r="S201" i="39"/>
  <c r="R201" i="39"/>
  <c r="P201" i="39"/>
  <c r="O201" i="39"/>
  <c r="S200" i="39"/>
  <c r="R200" i="39"/>
  <c r="P200" i="39"/>
  <c r="O200" i="39"/>
  <c r="S199" i="39"/>
  <c r="R199" i="39"/>
  <c r="P199" i="39"/>
  <c r="O199" i="39"/>
  <c r="S198" i="39"/>
  <c r="R198" i="39"/>
  <c r="P198" i="39"/>
  <c r="O198" i="39"/>
  <c r="S197" i="39"/>
  <c r="R197" i="39"/>
  <c r="P197" i="39"/>
  <c r="O197" i="39"/>
  <c r="S196" i="39"/>
  <c r="R196" i="39"/>
  <c r="P196" i="39"/>
  <c r="O196" i="39"/>
  <c r="S195" i="39"/>
  <c r="R195" i="39"/>
  <c r="P195" i="39"/>
  <c r="O195" i="39"/>
  <c r="S194" i="39"/>
  <c r="R194" i="39"/>
  <c r="P194" i="39"/>
  <c r="O194" i="39"/>
  <c r="S193" i="39"/>
  <c r="R193" i="39"/>
  <c r="P193" i="39"/>
  <c r="O193" i="39"/>
  <c r="S192" i="39"/>
  <c r="R192" i="39"/>
  <c r="P192" i="39"/>
  <c r="O192" i="39"/>
  <c r="S191" i="39"/>
  <c r="R191" i="39"/>
  <c r="P191" i="39"/>
  <c r="O191" i="39"/>
  <c r="S190" i="39"/>
  <c r="R190" i="39"/>
  <c r="P190" i="39"/>
  <c r="O190" i="39"/>
  <c r="S189" i="39"/>
  <c r="R189" i="39"/>
  <c r="P189" i="39"/>
  <c r="O189" i="39"/>
  <c r="S188" i="39"/>
  <c r="R188" i="39"/>
  <c r="P188" i="39"/>
  <c r="O188" i="39"/>
  <c r="S187" i="39"/>
  <c r="R187" i="39"/>
  <c r="P187" i="39"/>
  <c r="O187" i="39"/>
  <c r="S186" i="39"/>
  <c r="R186" i="39"/>
  <c r="P186" i="39"/>
  <c r="O186" i="39"/>
  <c r="S185" i="39"/>
  <c r="R185" i="39"/>
  <c r="P185" i="39"/>
  <c r="O185" i="39"/>
  <c r="S184" i="39"/>
  <c r="R184" i="39"/>
  <c r="P184" i="39"/>
  <c r="O184" i="39"/>
  <c r="S183" i="39"/>
  <c r="R183" i="39"/>
  <c r="P183" i="39"/>
  <c r="O183" i="39"/>
  <c r="S182" i="39"/>
  <c r="R182" i="39"/>
  <c r="P182" i="39"/>
  <c r="O182" i="39"/>
  <c r="S181" i="39"/>
  <c r="R181" i="39"/>
  <c r="P181" i="39"/>
  <c r="O181" i="39"/>
  <c r="S180" i="39"/>
  <c r="R180" i="39"/>
  <c r="P180" i="39"/>
  <c r="O180" i="39"/>
  <c r="S179" i="39"/>
  <c r="R179" i="39"/>
  <c r="P179" i="39"/>
  <c r="O179" i="39"/>
  <c r="S178" i="39"/>
  <c r="R178" i="39"/>
  <c r="P178" i="39"/>
  <c r="O178" i="39"/>
  <c r="S177" i="39"/>
  <c r="R177" i="39"/>
  <c r="P177" i="39"/>
  <c r="O177" i="39"/>
  <c r="S176" i="39"/>
  <c r="R176" i="39"/>
  <c r="P176" i="39"/>
  <c r="O176" i="39"/>
  <c r="S175" i="39"/>
  <c r="R175" i="39"/>
  <c r="P175" i="39"/>
  <c r="O175" i="39"/>
  <c r="S174" i="39"/>
  <c r="R174" i="39"/>
  <c r="P174" i="39"/>
  <c r="O174" i="39"/>
  <c r="S173" i="39"/>
  <c r="R173" i="39"/>
  <c r="P173" i="39"/>
  <c r="O173" i="39"/>
  <c r="S172" i="39"/>
  <c r="R172" i="39"/>
  <c r="P172" i="39"/>
  <c r="O172" i="39"/>
  <c r="S171" i="39"/>
  <c r="R171" i="39"/>
  <c r="P171" i="39"/>
  <c r="O171" i="39"/>
  <c r="S170" i="39"/>
  <c r="R170" i="39"/>
  <c r="P170" i="39"/>
  <c r="O170" i="39"/>
  <c r="S169" i="39"/>
  <c r="R169" i="39"/>
  <c r="P169" i="39"/>
  <c r="O169" i="39"/>
  <c r="S168" i="39"/>
  <c r="R168" i="39"/>
  <c r="P168" i="39"/>
  <c r="O168" i="39"/>
  <c r="S167" i="39"/>
  <c r="R167" i="39"/>
  <c r="P167" i="39"/>
  <c r="O167" i="39"/>
  <c r="S166" i="39"/>
  <c r="R166" i="39"/>
  <c r="P166" i="39"/>
  <c r="O166" i="39"/>
  <c r="S165" i="39"/>
  <c r="R165" i="39"/>
  <c r="P165" i="39"/>
  <c r="O165" i="39"/>
  <c r="S164" i="39"/>
  <c r="R164" i="39"/>
  <c r="P164" i="39"/>
  <c r="O164" i="39"/>
  <c r="S163" i="39"/>
  <c r="R163" i="39"/>
  <c r="P163" i="39"/>
  <c r="O163" i="39"/>
  <c r="S162" i="39"/>
  <c r="R162" i="39"/>
  <c r="P162" i="39"/>
  <c r="O162" i="39"/>
  <c r="S161" i="39"/>
  <c r="R161" i="39"/>
  <c r="P161" i="39"/>
  <c r="O161" i="39"/>
  <c r="S160" i="39"/>
  <c r="R160" i="39"/>
  <c r="P160" i="39"/>
  <c r="O160" i="39"/>
  <c r="S159" i="39"/>
  <c r="R159" i="39"/>
  <c r="P159" i="39"/>
  <c r="O159" i="39"/>
  <c r="S158" i="39"/>
  <c r="R158" i="39"/>
  <c r="P158" i="39"/>
  <c r="O158" i="39"/>
  <c r="S157" i="39"/>
  <c r="R157" i="39"/>
  <c r="P157" i="39"/>
  <c r="O157" i="39"/>
  <c r="S156" i="39"/>
  <c r="R156" i="39"/>
  <c r="P156" i="39"/>
  <c r="O156" i="39"/>
  <c r="S155" i="39"/>
  <c r="R155" i="39"/>
  <c r="P155" i="39"/>
  <c r="O155" i="39"/>
  <c r="S154" i="39"/>
  <c r="R154" i="39"/>
  <c r="P154" i="39"/>
  <c r="O154" i="39"/>
  <c r="S153" i="39"/>
  <c r="R153" i="39"/>
  <c r="P153" i="39"/>
  <c r="O153" i="39"/>
  <c r="S152" i="39"/>
  <c r="R152" i="39"/>
  <c r="P152" i="39"/>
  <c r="O152" i="39"/>
  <c r="S151" i="39"/>
  <c r="R151" i="39"/>
  <c r="P151" i="39"/>
  <c r="O151" i="39"/>
  <c r="S150" i="39"/>
  <c r="R150" i="39"/>
  <c r="P150" i="39"/>
  <c r="O150" i="39"/>
  <c r="S149" i="39"/>
  <c r="R149" i="39"/>
  <c r="P149" i="39"/>
  <c r="O149" i="39"/>
  <c r="S148" i="39"/>
  <c r="R148" i="39"/>
  <c r="P148" i="39"/>
  <c r="O148" i="39"/>
  <c r="S147" i="39"/>
  <c r="R147" i="39"/>
  <c r="P147" i="39"/>
  <c r="O147" i="39"/>
  <c r="S146" i="39"/>
  <c r="R146" i="39"/>
  <c r="P146" i="39"/>
  <c r="O146" i="39"/>
  <c r="S145" i="39"/>
  <c r="R145" i="39"/>
  <c r="P145" i="39"/>
  <c r="O145" i="39"/>
  <c r="S144" i="39"/>
  <c r="R144" i="39"/>
  <c r="P144" i="39"/>
  <c r="O144" i="39"/>
  <c r="S143" i="39"/>
  <c r="R143" i="39"/>
  <c r="P143" i="39"/>
  <c r="O143" i="39"/>
  <c r="S142" i="39"/>
  <c r="R142" i="39"/>
  <c r="P142" i="39"/>
  <c r="O142" i="39"/>
  <c r="S141" i="39"/>
  <c r="R141" i="39"/>
  <c r="P141" i="39"/>
  <c r="O141" i="39"/>
  <c r="S140" i="39"/>
  <c r="R140" i="39"/>
  <c r="P140" i="39"/>
  <c r="O140" i="39"/>
  <c r="S139" i="39"/>
  <c r="R139" i="39"/>
  <c r="P139" i="39"/>
  <c r="O139" i="39"/>
  <c r="S138" i="39"/>
  <c r="R138" i="39"/>
  <c r="P138" i="39"/>
  <c r="O138" i="39"/>
  <c r="S137" i="39"/>
  <c r="R137" i="39"/>
  <c r="P137" i="39"/>
  <c r="O137" i="39"/>
  <c r="S136" i="39"/>
  <c r="R136" i="39"/>
  <c r="P136" i="39"/>
  <c r="O136" i="39"/>
  <c r="S135" i="39"/>
  <c r="R135" i="39"/>
  <c r="P135" i="39"/>
  <c r="O135" i="39"/>
  <c r="S134" i="39"/>
  <c r="R134" i="39"/>
  <c r="P134" i="39"/>
  <c r="O134" i="39"/>
  <c r="S133" i="39"/>
  <c r="R133" i="39"/>
  <c r="P133" i="39"/>
  <c r="O133" i="39"/>
  <c r="S132" i="39"/>
  <c r="R132" i="39"/>
  <c r="P132" i="39"/>
  <c r="O132" i="39"/>
  <c r="S131" i="39"/>
  <c r="R131" i="39"/>
  <c r="P131" i="39"/>
  <c r="O131" i="39"/>
  <c r="S130" i="39"/>
  <c r="R130" i="39"/>
  <c r="P130" i="39"/>
  <c r="O130" i="39"/>
  <c r="S129" i="39"/>
  <c r="R129" i="39"/>
  <c r="P129" i="39"/>
  <c r="O129" i="39"/>
  <c r="S128" i="39"/>
  <c r="R128" i="39"/>
  <c r="P128" i="39"/>
  <c r="O128" i="39"/>
  <c r="S127" i="39"/>
  <c r="R127" i="39"/>
  <c r="P127" i="39"/>
  <c r="O127" i="39"/>
  <c r="S126" i="39"/>
  <c r="R126" i="39"/>
  <c r="P126" i="39"/>
  <c r="O126" i="39"/>
  <c r="S125" i="39"/>
  <c r="R125" i="39"/>
  <c r="P125" i="39"/>
  <c r="O125" i="39"/>
  <c r="S124" i="39"/>
  <c r="R124" i="39"/>
  <c r="P124" i="39"/>
  <c r="O124" i="39"/>
  <c r="S123" i="39"/>
  <c r="R123" i="39"/>
  <c r="P123" i="39"/>
  <c r="O123" i="39"/>
  <c r="S122" i="39"/>
  <c r="R122" i="39"/>
  <c r="P122" i="39"/>
  <c r="O122" i="39"/>
  <c r="S121" i="39"/>
  <c r="R121" i="39"/>
  <c r="P121" i="39"/>
  <c r="O121" i="39"/>
  <c r="S120" i="39"/>
  <c r="R120" i="39"/>
  <c r="P120" i="39"/>
  <c r="O120" i="39"/>
  <c r="S119" i="39"/>
  <c r="R119" i="39"/>
  <c r="P119" i="39"/>
  <c r="O119" i="39"/>
  <c r="S118" i="39"/>
  <c r="R118" i="39"/>
  <c r="P118" i="39"/>
  <c r="O118" i="39"/>
  <c r="S117" i="39"/>
  <c r="R117" i="39"/>
  <c r="P117" i="39"/>
  <c r="O117" i="39"/>
  <c r="S116" i="39"/>
  <c r="R116" i="39"/>
  <c r="P116" i="39"/>
  <c r="O116" i="39"/>
  <c r="S115" i="39"/>
  <c r="R115" i="39"/>
  <c r="P115" i="39"/>
  <c r="O115" i="39"/>
  <c r="S114" i="39"/>
  <c r="R114" i="39"/>
  <c r="P114" i="39"/>
  <c r="O114" i="39"/>
  <c r="S113" i="39"/>
  <c r="R113" i="39"/>
  <c r="P113" i="39"/>
  <c r="O113" i="39"/>
  <c r="S112" i="39"/>
  <c r="R112" i="39"/>
  <c r="P112" i="39"/>
  <c r="O112" i="39"/>
  <c r="S111" i="39"/>
  <c r="R111" i="39"/>
  <c r="P111" i="39"/>
  <c r="O111" i="39"/>
  <c r="S110" i="39"/>
  <c r="R110" i="39"/>
  <c r="P110" i="39"/>
  <c r="O110" i="39"/>
  <c r="S109" i="39"/>
  <c r="R109" i="39"/>
  <c r="P109" i="39"/>
  <c r="O109" i="39"/>
  <c r="S108" i="39"/>
  <c r="R108" i="39"/>
  <c r="P108" i="39"/>
  <c r="O108" i="39"/>
  <c r="S107" i="39"/>
  <c r="R107" i="39"/>
  <c r="P107" i="39"/>
  <c r="O107" i="39"/>
  <c r="S106" i="39"/>
  <c r="R106" i="39"/>
  <c r="P106" i="39"/>
  <c r="O106" i="39"/>
  <c r="S105" i="39"/>
  <c r="R105" i="39"/>
  <c r="P105" i="39"/>
  <c r="O105" i="39"/>
  <c r="S104" i="39"/>
  <c r="R104" i="39"/>
  <c r="P104" i="39"/>
  <c r="O104" i="39"/>
  <c r="S103" i="39"/>
  <c r="R103" i="39"/>
  <c r="P103" i="39"/>
  <c r="O103" i="39"/>
  <c r="S102" i="39"/>
  <c r="R102" i="39"/>
  <c r="P102" i="39"/>
  <c r="O102" i="39"/>
  <c r="S101" i="39"/>
  <c r="R101" i="39"/>
  <c r="P101" i="39"/>
  <c r="O101" i="39"/>
  <c r="S100" i="39"/>
  <c r="R100" i="39"/>
  <c r="P100" i="39"/>
  <c r="O100" i="39"/>
  <c r="S99" i="39"/>
  <c r="R99" i="39"/>
  <c r="P99" i="39"/>
  <c r="O99" i="39"/>
  <c r="S98" i="39"/>
  <c r="R98" i="39"/>
  <c r="P98" i="39"/>
  <c r="O98" i="39"/>
  <c r="S97" i="39"/>
  <c r="R97" i="39"/>
  <c r="P97" i="39"/>
  <c r="O97" i="39"/>
  <c r="S96" i="39"/>
  <c r="R96" i="39"/>
  <c r="P96" i="39"/>
  <c r="O96" i="39"/>
  <c r="S95" i="39"/>
  <c r="R95" i="39"/>
  <c r="P95" i="39"/>
  <c r="O95" i="39"/>
  <c r="S94" i="39"/>
  <c r="R94" i="39"/>
  <c r="P94" i="39"/>
  <c r="O94" i="39"/>
  <c r="S93" i="39"/>
  <c r="R93" i="39"/>
  <c r="P93" i="39"/>
  <c r="O93" i="39"/>
  <c r="S92" i="39"/>
  <c r="R92" i="39"/>
  <c r="P92" i="39"/>
  <c r="O92" i="39"/>
  <c r="S91" i="39"/>
  <c r="R91" i="39"/>
  <c r="P91" i="39"/>
  <c r="O91" i="39"/>
  <c r="S90" i="39"/>
  <c r="R90" i="39"/>
  <c r="P90" i="39"/>
  <c r="O90" i="39"/>
  <c r="S89" i="39"/>
  <c r="R89" i="39"/>
  <c r="P89" i="39"/>
  <c r="O89" i="39"/>
  <c r="S88" i="39"/>
  <c r="R88" i="39"/>
  <c r="P88" i="39"/>
  <c r="O88" i="39"/>
  <c r="S87" i="39"/>
  <c r="R87" i="39"/>
  <c r="P87" i="39"/>
  <c r="O87" i="39"/>
  <c r="S86" i="39"/>
  <c r="R86" i="39"/>
  <c r="P86" i="39"/>
  <c r="O86" i="39"/>
  <c r="S85" i="39"/>
  <c r="R85" i="39"/>
  <c r="P85" i="39"/>
  <c r="O85" i="39"/>
  <c r="S84" i="39"/>
  <c r="R84" i="39"/>
  <c r="P84" i="39"/>
  <c r="O84" i="39"/>
  <c r="S83" i="39"/>
  <c r="R83" i="39"/>
  <c r="P83" i="39"/>
  <c r="O83" i="39"/>
  <c r="S82" i="39"/>
  <c r="R82" i="39"/>
  <c r="P82" i="39"/>
  <c r="O82" i="39"/>
  <c r="S81" i="39"/>
  <c r="R81" i="39"/>
  <c r="P81" i="39"/>
  <c r="O81" i="39"/>
  <c r="S80" i="39"/>
  <c r="R80" i="39"/>
  <c r="P80" i="39"/>
  <c r="O80" i="39"/>
  <c r="S79" i="39"/>
  <c r="R79" i="39"/>
  <c r="P79" i="39"/>
  <c r="O79" i="39"/>
  <c r="S78" i="39"/>
  <c r="R78" i="39"/>
  <c r="P78" i="39"/>
  <c r="O78" i="39"/>
  <c r="S77" i="39"/>
  <c r="R77" i="39"/>
  <c r="P77" i="39"/>
  <c r="O77" i="39"/>
  <c r="S76" i="39"/>
  <c r="R76" i="39"/>
  <c r="P76" i="39"/>
  <c r="O76" i="39"/>
  <c r="S75" i="39"/>
  <c r="R75" i="39"/>
  <c r="P75" i="39"/>
  <c r="O75" i="39"/>
  <c r="S74" i="39"/>
  <c r="R74" i="39"/>
  <c r="P74" i="39"/>
  <c r="O74" i="39"/>
  <c r="S73" i="39"/>
  <c r="R73" i="39"/>
  <c r="P73" i="39"/>
  <c r="O73" i="39"/>
  <c r="S72" i="39"/>
  <c r="R72" i="39"/>
  <c r="P72" i="39"/>
  <c r="O72" i="39"/>
  <c r="S71" i="39"/>
  <c r="R71" i="39"/>
  <c r="P71" i="39"/>
  <c r="O71" i="39"/>
  <c r="S70" i="39"/>
  <c r="R70" i="39"/>
  <c r="P70" i="39"/>
  <c r="O70" i="39"/>
  <c r="S69" i="39"/>
  <c r="R69" i="39"/>
  <c r="P69" i="39"/>
  <c r="O69" i="39"/>
  <c r="S68" i="39"/>
  <c r="R68" i="39"/>
  <c r="P68" i="39"/>
  <c r="O68" i="39"/>
  <c r="S67" i="39"/>
  <c r="R67" i="39"/>
  <c r="P67" i="39"/>
  <c r="O67" i="39"/>
  <c r="S66" i="39"/>
  <c r="R66" i="39"/>
  <c r="P66" i="39"/>
  <c r="O66" i="39"/>
  <c r="S65" i="39"/>
  <c r="R65" i="39"/>
  <c r="P65" i="39"/>
  <c r="O65" i="39"/>
  <c r="S64" i="39"/>
  <c r="R64" i="39"/>
  <c r="P64" i="39"/>
  <c r="O64" i="39"/>
  <c r="S63" i="39"/>
  <c r="R63" i="39"/>
  <c r="P63" i="39"/>
  <c r="O63" i="39"/>
  <c r="S62" i="39"/>
  <c r="R62" i="39"/>
  <c r="P62" i="39"/>
  <c r="O62" i="39"/>
  <c r="S61" i="39"/>
  <c r="R61" i="39"/>
  <c r="P61" i="39"/>
  <c r="O61" i="39"/>
  <c r="S60" i="39"/>
  <c r="R60" i="39"/>
  <c r="P60" i="39"/>
  <c r="O60" i="39"/>
  <c r="S59" i="39"/>
  <c r="R59" i="39"/>
  <c r="P59" i="39"/>
  <c r="O59" i="39"/>
  <c r="S58" i="39"/>
  <c r="R58" i="39"/>
  <c r="P58" i="39"/>
  <c r="O58" i="39"/>
  <c r="S57" i="39"/>
  <c r="R57" i="39"/>
  <c r="P57" i="39"/>
  <c r="O57" i="39"/>
  <c r="S56" i="39"/>
  <c r="R56" i="39"/>
  <c r="P56" i="39"/>
  <c r="O56" i="39"/>
  <c r="S55" i="39"/>
  <c r="R55" i="39"/>
  <c r="P55" i="39"/>
  <c r="O55" i="39"/>
  <c r="S54" i="39"/>
  <c r="R54" i="39"/>
  <c r="P54" i="39"/>
  <c r="O54" i="39"/>
  <c r="S53" i="39"/>
  <c r="R53" i="39"/>
  <c r="P53" i="39"/>
  <c r="O53" i="39"/>
  <c r="S52" i="39"/>
  <c r="R52" i="39"/>
  <c r="P52" i="39"/>
  <c r="O52" i="39"/>
  <c r="S51" i="39"/>
  <c r="R51" i="39"/>
  <c r="P51" i="39"/>
  <c r="O51" i="39"/>
  <c r="S50" i="39"/>
  <c r="R50" i="39"/>
  <c r="P50" i="39"/>
  <c r="O50" i="39"/>
  <c r="S49" i="39"/>
  <c r="R49" i="39"/>
  <c r="P49" i="39"/>
  <c r="O49" i="39"/>
  <c r="S48" i="39"/>
  <c r="R48" i="39"/>
  <c r="P48" i="39"/>
  <c r="O48" i="39"/>
  <c r="S47" i="39"/>
  <c r="R47" i="39"/>
  <c r="P47" i="39"/>
  <c r="O47" i="39"/>
  <c r="S46" i="39"/>
  <c r="R46" i="39"/>
  <c r="P46" i="39"/>
  <c r="O46" i="39"/>
  <c r="S45" i="39"/>
  <c r="R45" i="39"/>
  <c r="P45" i="39"/>
  <c r="O45" i="39"/>
  <c r="S44" i="39"/>
  <c r="R44" i="39"/>
  <c r="P44" i="39"/>
  <c r="O44" i="39"/>
  <c r="S43" i="39"/>
  <c r="R43" i="39"/>
  <c r="P43" i="39"/>
  <c r="O43" i="39"/>
  <c r="S42" i="39"/>
  <c r="R42" i="39"/>
  <c r="P42" i="39"/>
  <c r="O42" i="39"/>
  <c r="S41" i="39"/>
  <c r="R41" i="39"/>
  <c r="P41" i="39"/>
  <c r="O41" i="39"/>
  <c r="S40" i="39"/>
  <c r="R40" i="39"/>
  <c r="P40" i="39"/>
  <c r="O40" i="39"/>
  <c r="S39" i="39"/>
  <c r="R39" i="39"/>
  <c r="P39" i="39"/>
  <c r="O39" i="39"/>
  <c r="S38" i="39"/>
  <c r="R38" i="39"/>
  <c r="P38" i="39"/>
  <c r="O38" i="39"/>
  <c r="S37" i="39"/>
  <c r="R37" i="39"/>
  <c r="P37" i="39"/>
  <c r="O37" i="39"/>
  <c r="S36" i="39"/>
  <c r="R36" i="39"/>
  <c r="P36" i="39"/>
  <c r="O36" i="39"/>
  <c r="S35" i="39"/>
  <c r="R35" i="39"/>
  <c r="P35" i="39"/>
  <c r="O35" i="39"/>
  <c r="S34" i="39"/>
  <c r="R34" i="39"/>
  <c r="P34" i="39"/>
  <c r="O34" i="39"/>
  <c r="S33" i="39"/>
  <c r="R33" i="39"/>
  <c r="P33" i="39"/>
  <c r="O33" i="39"/>
  <c r="S32" i="39"/>
  <c r="R32" i="39"/>
  <c r="P32" i="39"/>
  <c r="O32" i="39"/>
  <c r="S31" i="39"/>
  <c r="R31" i="39"/>
  <c r="P31" i="39"/>
  <c r="O31" i="39"/>
  <c r="S30" i="39"/>
  <c r="R30" i="39"/>
  <c r="P30" i="39"/>
  <c r="O30" i="39"/>
  <c r="S29" i="39"/>
  <c r="R29" i="39"/>
  <c r="P29" i="39"/>
  <c r="O29" i="39"/>
  <c r="S28" i="39"/>
  <c r="R28" i="39"/>
  <c r="P28" i="39"/>
  <c r="O28" i="39"/>
  <c r="S27" i="39"/>
  <c r="R27" i="39"/>
  <c r="P27" i="39"/>
  <c r="O27" i="39"/>
  <c r="S26" i="39"/>
  <c r="R26" i="39"/>
  <c r="P26" i="39"/>
  <c r="O26" i="39"/>
  <c r="S25" i="39"/>
  <c r="R25" i="39"/>
  <c r="P25" i="39"/>
  <c r="O25" i="39"/>
  <c r="S24" i="39"/>
  <c r="R24" i="39"/>
  <c r="P24" i="39"/>
  <c r="O24" i="39"/>
  <c r="S23" i="39"/>
  <c r="R23" i="39"/>
  <c r="P23" i="39"/>
  <c r="O23" i="39"/>
  <c r="S22" i="39"/>
  <c r="R22" i="39"/>
  <c r="P22" i="39"/>
  <c r="O22" i="39"/>
  <c r="S21" i="39"/>
  <c r="R21" i="39"/>
  <c r="P21" i="39"/>
  <c r="O21" i="39"/>
  <c r="S20" i="39"/>
  <c r="R20" i="39"/>
  <c r="P20" i="39"/>
  <c r="O20" i="39"/>
  <c r="S19" i="39"/>
  <c r="R19" i="39"/>
  <c r="P19" i="39"/>
  <c r="O19" i="39"/>
  <c r="S18" i="39"/>
  <c r="R18" i="39"/>
  <c r="P18" i="39"/>
  <c r="O18" i="39"/>
  <c r="S17" i="39"/>
  <c r="R17" i="39"/>
  <c r="P17" i="39"/>
  <c r="O17" i="39"/>
  <c r="S16" i="39"/>
  <c r="R16" i="39"/>
  <c r="P16" i="39"/>
  <c r="O16" i="39"/>
  <c r="S15" i="39"/>
  <c r="R15" i="39"/>
  <c r="P15" i="39"/>
  <c r="O15" i="39"/>
  <c r="S14" i="39"/>
  <c r="R14" i="39"/>
  <c r="P14" i="39"/>
  <c r="O14" i="39"/>
  <c r="S13" i="39"/>
  <c r="R13" i="39"/>
  <c r="P13" i="39"/>
  <c r="O13" i="39"/>
  <c r="S12" i="39"/>
  <c r="R12" i="39"/>
  <c r="P12" i="39"/>
  <c r="O12" i="39"/>
  <c r="S11" i="39"/>
  <c r="R11" i="39"/>
  <c r="P11" i="39"/>
  <c r="O11" i="39"/>
  <c r="S10" i="39"/>
  <c r="R10" i="39"/>
  <c r="P10" i="39"/>
  <c r="O10" i="39"/>
  <c r="S9" i="39"/>
  <c r="R9" i="39"/>
  <c r="P9" i="39"/>
  <c r="O9" i="39"/>
  <c r="S8" i="39"/>
  <c r="R8" i="39"/>
  <c r="P8" i="39"/>
  <c r="O8" i="39"/>
  <c r="S7" i="39"/>
  <c r="R7" i="39"/>
  <c r="P7" i="39"/>
  <c r="O7" i="39"/>
  <c r="S6" i="39"/>
  <c r="R6" i="39"/>
  <c r="P6" i="39"/>
  <c r="O6" i="39"/>
  <c r="S5" i="39"/>
  <c r="R5" i="39"/>
  <c r="P5" i="39"/>
  <c r="O5" i="39"/>
  <c r="S4" i="39"/>
  <c r="R4" i="39"/>
  <c r="P4" i="39"/>
  <c r="O4" i="39"/>
  <c r="S3" i="39"/>
  <c r="R3" i="39"/>
  <c r="P3" i="39"/>
  <c r="O3" i="39"/>
  <c r="S2" i="39"/>
  <c r="R2" i="39"/>
  <c r="P2" i="39"/>
  <c r="O2" i="39"/>
  <c r="O21" i="14"/>
  <c r="B4" i="14"/>
  <c r="K4" i="14" s="1"/>
  <c r="C52" i="38"/>
  <c r="J52" i="38" s="1"/>
  <c r="C51" i="38"/>
  <c r="J51" i="38" s="1"/>
  <c r="C50" i="38"/>
  <c r="J50" i="38" s="1"/>
  <c r="K45" i="38"/>
  <c r="J45" i="38"/>
  <c r="J44" i="38"/>
  <c r="K44" i="38" s="1"/>
  <c r="C33" i="38"/>
  <c r="J33" i="38" s="1"/>
  <c r="K33" i="38" s="1"/>
  <c r="C31" i="38"/>
  <c r="C32" i="38" s="1"/>
  <c r="C29" i="38"/>
  <c r="C30" i="38" s="1"/>
  <c r="J30" i="38" s="1"/>
  <c r="K30" i="38" s="1"/>
  <c r="C27" i="38"/>
  <c r="C28" i="38" s="1"/>
  <c r="M17" i="14" s="1"/>
  <c r="C25" i="38"/>
  <c r="J25" i="38" s="1"/>
  <c r="K25" i="38" s="1"/>
  <c r="C23" i="38"/>
  <c r="C24" i="38" s="1"/>
  <c r="C21" i="38"/>
  <c r="C22" i="38" s="1"/>
  <c r="T14" i="22" s="1"/>
  <c r="C19" i="38"/>
  <c r="C20" i="38" s="1"/>
  <c r="J20" i="38" s="1"/>
  <c r="K20" i="38" s="1"/>
  <c r="C17" i="38"/>
  <c r="J17" i="38" s="1"/>
  <c r="K17" i="38" s="1"/>
  <c r="C15" i="38"/>
  <c r="C16" i="38" s="1"/>
  <c r="C13" i="38"/>
  <c r="C14" i="38" s="1"/>
  <c r="C11" i="38"/>
  <c r="C12" i="38" s="1"/>
  <c r="C10" i="38"/>
  <c r="C9" i="38"/>
  <c r="J9" i="38" s="1"/>
  <c r="K9" i="38" s="1"/>
  <c r="C7" i="38"/>
  <c r="C8" i="38" s="1"/>
  <c r="C5" i="38"/>
  <c r="C6" i="38" s="1"/>
  <c r="CQ44" i="37"/>
  <c r="CQ42" i="37"/>
  <c r="CQ38" i="37"/>
  <c r="CQ26" i="37"/>
  <c r="CQ28" i="37" s="1"/>
  <c r="CQ22" i="37"/>
  <c r="J16" i="38" l="1"/>
  <c r="K16" i="38" s="1"/>
  <c r="T19" i="22"/>
  <c r="T23" i="22"/>
  <c r="T24" i="22"/>
  <c r="T22" i="22"/>
  <c r="R15" i="17"/>
  <c r="R14" i="17"/>
  <c r="C18" i="38"/>
  <c r="J18" i="38" s="1"/>
  <c r="K18" i="38" s="1"/>
  <c r="R13" i="17"/>
  <c r="T20" i="22"/>
  <c r="R10" i="17"/>
  <c r="J14" i="38"/>
  <c r="K14" i="38" s="1"/>
  <c r="T17" i="22"/>
  <c r="R12" i="17"/>
  <c r="J10" i="38"/>
  <c r="K10" i="38" s="1"/>
  <c r="J12" i="38"/>
  <c r="K12" i="38" s="1"/>
  <c r="T25" i="22"/>
  <c r="J28" i="38"/>
  <c r="K28" i="38" s="1"/>
  <c r="R5" i="17"/>
  <c r="J15" i="38"/>
  <c r="K15" i="38" s="1"/>
  <c r="J8" i="38"/>
  <c r="K8" i="38" s="1"/>
  <c r="K21" i="18"/>
  <c r="J7" i="38"/>
  <c r="K7" i="38" s="1"/>
  <c r="J32" i="38"/>
  <c r="K32" i="38" s="1"/>
  <c r="K18" i="18"/>
  <c r="B3" i="14"/>
  <c r="K22" i="18"/>
  <c r="C34" i="38"/>
  <c r="J22" i="38"/>
  <c r="K22" i="38" s="1"/>
  <c r="K15" i="18"/>
  <c r="J24" i="38"/>
  <c r="K24" i="38" s="1"/>
  <c r="K19" i="18"/>
  <c r="J31" i="38"/>
  <c r="K31" i="38" s="1"/>
  <c r="J23" i="38"/>
  <c r="K23" i="38" s="1"/>
  <c r="K3" i="14"/>
  <c r="C26" i="38"/>
  <c r="J26" i="38" s="1"/>
  <c r="K26" i="38" s="1"/>
  <c r="J4" i="14"/>
  <c r="H4" i="14"/>
  <c r="G4" i="14"/>
  <c r="C3" i="14"/>
  <c r="J11" i="38"/>
  <c r="K11" i="38" s="1"/>
  <c r="J19" i="38"/>
  <c r="K19" i="38" s="1"/>
  <c r="J27" i="38"/>
  <c r="K27" i="38" s="1"/>
  <c r="D3" i="14"/>
  <c r="E3" i="14"/>
  <c r="C49" i="38"/>
  <c r="J49" i="38" s="1"/>
  <c r="G3" i="14"/>
  <c r="H3" i="14"/>
  <c r="I3" i="14"/>
  <c r="I4" i="14"/>
  <c r="F4" i="14"/>
  <c r="E4" i="14"/>
  <c r="C4" i="14"/>
  <c r="D4" i="14"/>
  <c r="C48" i="38"/>
  <c r="J48" i="38" s="1"/>
  <c r="J6" i="38"/>
  <c r="K6" i="38" s="1"/>
  <c r="C47" i="38"/>
  <c r="J47" i="38" s="1"/>
  <c r="C36" i="38"/>
  <c r="J5" i="38"/>
  <c r="K5" i="38" s="1"/>
  <c r="J13" i="38"/>
  <c r="K13" i="38" s="1"/>
  <c r="J21" i="38"/>
  <c r="K21" i="38" s="1"/>
  <c r="J29" i="38"/>
  <c r="K29" i="38" s="1"/>
  <c r="K17" i="18" l="1"/>
  <c r="L17" i="14"/>
  <c r="R38" i="17"/>
  <c r="K24" i="18"/>
  <c r="T26" i="22"/>
  <c r="R16" i="17"/>
  <c r="J3" i="14"/>
  <c r="J34" i="38"/>
  <c r="K34" i="38" s="1"/>
  <c r="K35" i="38" s="1"/>
  <c r="R8" i="17"/>
  <c r="T16" i="22"/>
  <c r="C46" i="38"/>
  <c r="J46" i="38" s="1"/>
  <c r="K46" i="38" s="1"/>
  <c r="K46" i="18"/>
  <c r="K39" i="20"/>
  <c r="K34" i="18"/>
  <c r="F19" i="18" l="1"/>
  <c r="K33" i="18"/>
  <c r="Y24" i="19"/>
  <c r="Y42" i="19"/>
  <c r="Y43" i="19" s="1"/>
  <c r="F18" i="19"/>
  <c r="O30" i="20" l="1"/>
  <c r="O43" i="20"/>
  <c r="F14" i="20"/>
  <c r="F12" i="20" l="1"/>
  <c r="K38" i="20"/>
  <c r="J4" i="36" l="1"/>
  <c r="G4" i="36"/>
  <c r="K30" i="20"/>
  <c r="K41" i="19"/>
  <c r="F19" i="19" s="1"/>
  <c r="K28" i="19"/>
  <c r="K38" i="18"/>
  <c r="K28" i="18"/>
  <c r="F20" i="18" l="1"/>
  <c r="F10" i="18"/>
  <c r="F19" i="35" l="1"/>
  <c r="I19" i="35" s="1"/>
  <c r="L19" i="35" s="1"/>
  <c r="O19" i="35" s="1"/>
  <c r="T17" i="35"/>
  <c r="O17" i="35" s="1"/>
  <c r="P17" i="35" s="1"/>
  <c r="R13" i="35"/>
  <c r="C16" i="35" s="1"/>
  <c r="I17" i="35"/>
  <c r="J17" i="35" s="1"/>
  <c r="F17" i="35"/>
  <c r="I15" i="35"/>
  <c r="J15" i="35" s="1"/>
  <c r="F15" i="35"/>
  <c r="C15" i="35"/>
  <c r="X8" i="35"/>
  <c r="T9" i="35"/>
  <c r="Y7" i="35"/>
  <c r="X7" i="35"/>
  <c r="T8" i="35"/>
  <c r="T7" i="35"/>
  <c r="Y6" i="35"/>
  <c r="X6" i="35"/>
  <c r="T6" i="35"/>
  <c r="G6" i="35"/>
  <c r="C10" i="22"/>
  <c r="C9" i="22"/>
  <c r="G15" i="35" l="1"/>
  <c r="T10" i="35"/>
  <c r="T11" i="35" s="1"/>
  <c r="G17" i="35"/>
  <c r="F18" i="34"/>
  <c r="F17" i="34"/>
  <c r="F10" i="34"/>
  <c r="G10" i="34" s="1"/>
  <c r="F15" i="34"/>
  <c r="F14" i="34"/>
  <c r="C14" i="34"/>
  <c r="C13" i="34"/>
  <c r="K8" i="34"/>
  <c r="K7" i="34"/>
  <c r="K6" i="34"/>
  <c r="K5" i="34"/>
  <c r="G5" i="34"/>
  <c r="E18" i="33"/>
  <c r="C16" i="32"/>
  <c r="E19" i="33"/>
  <c r="E13" i="33"/>
  <c r="F13" i="33" s="1"/>
  <c r="E10" i="33"/>
  <c r="F10" i="33" s="1"/>
  <c r="T36" i="33"/>
  <c r="T37" i="33" s="1"/>
  <c r="S31" i="33"/>
  <c r="R31" i="33"/>
  <c r="Q31" i="33"/>
  <c r="P31" i="33"/>
  <c r="O31" i="33"/>
  <c r="N31" i="33"/>
  <c r="M31" i="33"/>
  <c r="E16" i="33"/>
  <c r="E15" i="33"/>
  <c r="C15" i="33"/>
  <c r="S24" i="33"/>
  <c r="R24" i="33"/>
  <c r="Q24" i="33"/>
  <c r="P24" i="33"/>
  <c r="O24" i="33"/>
  <c r="N24" i="33"/>
  <c r="M24" i="33"/>
  <c r="J8" i="33"/>
  <c r="J7" i="33"/>
  <c r="J6" i="33"/>
  <c r="J5" i="33"/>
  <c r="F5" i="33"/>
  <c r="E17" i="32"/>
  <c r="E19" i="32"/>
  <c r="E16" i="32"/>
  <c r="F16" i="32" s="1"/>
  <c r="E14" i="32"/>
  <c r="F14" i="32" s="1"/>
  <c r="J8" i="32"/>
  <c r="J7" i="32"/>
  <c r="J6" i="32"/>
  <c r="J5" i="32"/>
  <c r="F5" i="32"/>
  <c r="J18" i="31"/>
  <c r="E18" i="31"/>
  <c r="H7" i="31"/>
  <c r="P22" i="31"/>
  <c r="U39" i="31"/>
  <c r="U38" i="31"/>
  <c r="H17" i="31"/>
  <c r="J15" i="31"/>
  <c r="K15" i="31" s="1"/>
  <c r="E15" i="31"/>
  <c r="F15" i="31" s="1"/>
  <c r="J14" i="31"/>
  <c r="K14" i="31" s="1"/>
  <c r="E14" i="31"/>
  <c r="F14" i="31" s="1"/>
  <c r="E13" i="31"/>
  <c r="J13" i="31" s="1"/>
  <c r="K13" i="31" s="1"/>
  <c r="E11" i="31"/>
  <c r="F11" i="31" s="1"/>
  <c r="K4" i="31"/>
  <c r="F4" i="31"/>
  <c r="F11" i="34" l="1"/>
  <c r="G11" i="34" s="1"/>
  <c r="G12" i="34" s="1"/>
  <c r="G14" i="34"/>
  <c r="G15" i="34"/>
  <c r="K9" i="34"/>
  <c r="K10" i="34" s="1"/>
  <c r="E11" i="33"/>
  <c r="F11" i="33" s="1"/>
  <c r="F12" i="33" s="1"/>
  <c r="T24" i="33"/>
  <c r="T25" i="33" s="1"/>
  <c r="T26" i="33" s="1"/>
  <c r="F15" i="33"/>
  <c r="J9" i="33"/>
  <c r="J10" i="33" s="1"/>
  <c r="T31" i="33"/>
  <c r="T32" i="33" s="1"/>
  <c r="T33" i="33" s="1"/>
  <c r="F16" i="33"/>
  <c r="F17" i="32"/>
  <c r="L17" i="32"/>
  <c r="L18" i="32" s="1"/>
  <c r="L19" i="32" s="1"/>
  <c r="L24" i="32"/>
  <c r="T25" i="32" s="1"/>
  <c r="T26" i="32" s="1"/>
  <c r="J9" i="32"/>
  <c r="J10" i="32" s="1"/>
  <c r="F13" i="31"/>
  <c r="U40" i="31"/>
  <c r="J11" i="31"/>
  <c r="K11" i="31" s="1"/>
  <c r="K19" i="20" l="1"/>
  <c r="K15" i="20"/>
  <c r="E29" i="17"/>
  <c r="K49" i="19"/>
  <c r="T13" i="35" s="1"/>
  <c r="K22" i="19"/>
  <c r="K24" i="20" s="1"/>
  <c r="K19" i="19"/>
  <c r="K20" i="20" s="1"/>
  <c r="K21" i="19"/>
  <c r="K23" i="20" s="1"/>
  <c r="K18" i="19"/>
  <c r="K18" i="20" s="1"/>
  <c r="K21" i="20"/>
  <c r="K17" i="19"/>
  <c r="K17" i="20" s="1"/>
  <c r="K14" i="19"/>
  <c r="K14" i="20" s="1"/>
  <c r="I16" i="35" l="1"/>
  <c r="J16" i="35" s="1"/>
  <c r="F16" i="35"/>
  <c r="G16" i="35" s="1"/>
  <c r="K50" i="20"/>
  <c r="T30" i="22"/>
  <c r="K23" i="18"/>
  <c r="K23" i="19" s="1"/>
  <c r="K25" i="20" s="1"/>
  <c r="D38" i="29"/>
  <c r="P15" i="31" s="1"/>
  <c r="J8" i="31" l="1"/>
  <c r="K8" i="31" s="1"/>
  <c r="E8" i="31"/>
  <c r="F8" i="31" s="1"/>
  <c r="J21" i="32"/>
  <c r="E11" i="32" s="1"/>
  <c r="F11" i="32" s="1"/>
  <c r="V29" i="22"/>
  <c r="M48" i="18"/>
  <c r="M51" i="19" s="1"/>
  <c r="M51" i="20" s="1"/>
  <c r="M45" i="18"/>
  <c r="M48" i="19" s="1"/>
  <c r="M49" i="20" s="1"/>
  <c r="V35" i="22" s="1"/>
  <c r="M41" i="18" a="1"/>
  <c r="M41" i="18" s="1"/>
  <c r="M44" i="19" s="1"/>
  <c r="K44" i="19" l="1"/>
  <c r="K45" i="20" s="1"/>
  <c r="O18" i="14"/>
  <c r="C18" i="14"/>
  <c r="D18" i="14"/>
  <c r="E18" i="14"/>
  <c r="F18" i="14"/>
  <c r="G18" i="14"/>
  <c r="H18" i="14"/>
  <c r="I18" i="14"/>
  <c r="J18" i="14"/>
  <c r="K18" i="14"/>
  <c r="L18" i="14" s="1"/>
  <c r="M18" i="14" s="1"/>
  <c r="N18" i="14" s="1"/>
  <c r="N19" i="14" s="1"/>
  <c r="N20" i="14" s="1"/>
  <c r="B18" i="14"/>
  <c r="N21" i="14" l="1"/>
  <c r="N23" i="14" s="1"/>
  <c r="T29" i="22"/>
  <c r="T12" i="35"/>
  <c r="F12" i="35" s="1"/>
  <c r="E34" i="29"/>
  <c r="I33" i="29"/>
  <c r="E32" i="29"/>
  <c r="I31" i="29"/>
  <c r="I29" i="29"/>
  <c r="O30" i="29"/>
  <c r="E28" i="29"/>
  <c r="I27" i="29"/>
  <c r="K27" i="29"/>
  <c r="O26" i="29"/>
  <c r="O22" i="29"/>
  <c r="O20" i="29"/>
  <c r="E18" i="29"/>
  <c r="I17" i="29"/>
  <c r="E16" i="29"/>
  <c r="E14" i="29"/>
  <c r="I13" i="29"/>
  <c r="K13" i="29"/>
  <c r="E12" i="29"/>
  <c r="E10" i="29"/>
  <c r="I9" i="29"/>
  <c r="E8" i="29"/>
  <c r="I7" i="29"/>
  <c r="E6" i="29"/>
  <c r="I5" i="29"/>
  <c r="J12" i="35" l="1"/>
  <c r="M12" i="35"/>
  <c r="P12" i="35"/>
  <c r="G12" i="35"/>
  <c r="I5" i="14"/>
  <c r="I6" i="14" s="1"/>
  <c r="B5" i="14"/>
  <c r="B6" i="14" s="1"/>
  <c r="B7" i="14" s="1"/>
  <c r="K5" i="14"/>
  <c r="K6" i="14" s="1"/>
  <c r="C5" i="14"/>
  <c r="C6" i="14" s="1"/>
  <c r="O24" i="29"/>
  <c r="F18" i="29"/>
  <c r="O16" i="29"/>
  <c r="F8" i="29"/>
  <c r="K17" i="29"/>
  <c r="O18" i="29"/>
  <c r="F10" i="29"/>
  <c r="O10" i="29"/>
  <c r="F16" i="29"/>
  <c r="O28" i="29"/>
  <c r="K5" i="29"/>
  <c r="K9" i="29"/>
  <c r="K29" i="29"/>
  <c r="K7" i="29"/>
  <c r="O32" i="29"/>
  <c r="F32" i="29"/>
  <c r="O34" i="29"/>
  <c r="F34" i="29"/>
  <c r="O12" i="29"/>
  <c r="F12" i="29"/>
  <c r="D36" i="29"/>
  <c r="F6" i="29"/>
  <c r="O6" i="29"/>
  <c r="K33" i="29"/>
  <c r="O8" i="29"/>
  <c r="K31" i="29"/>
  <c r="H5" i="14" l="1"/>
  <c r="H6" i="14" s="1"/>
  <c r="D5" i="14"/>
  <c r="D6" i="14" s="1"/>
  <c r="J5" i="14"/>
  <c r="J6" i="14" s="1"/>
  <c r="E5" i="14"/>
  <c r="E6" i="14" s="1"/>
  <c r="K24" i="19"/>
  <c r="K26" i="20" s="1"/>
  <c r="E20" i="20" s="1"/>
  <c r="F5" i="14"/>
  <c r="F6" i="14" s="1"/>
  <c r="F28" i="29"/>
  <c r="O14" i="29"/>
  <c r="F14" i="29"/>
  <c r="G5" i="14" l="1"/>
  <c r="G6" i="14" s="1"/>
  <c r="CG22" i="28"/>
  <c r="CF22" i="28"/>
  <c r="CE22" i="28"/>
  <c r="CD22" i="28"/>
  <c r="CC22" i="28"/>
  <c r="CB22" i="28"/>
  <c r="CA22" i="28"/>
  <c r="BZ22" i="28"/>
  <c r="CG21" i="28"/>
  <c r="CF21" i="28"/>
  <c r="CE21" i="28"/>
  <c r="CD21" i="28"/>
  <c r="CC21" i="28"/>
  <c r="CB21" i="28"/>
  <c r="CA21" i="28"/>
  <c r="BZ21" i="28"/>
  <c r="BZ18" i="28"/>
  <c r="CI18" i="28" s="1"/>
  <c r="BZ17" i="28"/>
  <c r="CI22" i="28" l="1"/>
  <c r="CI24" i="28" s="1"/>
  <c r="BW22" i="26"/>
  <c r="BV22" i="26"/>
  <c r="BU22" i="26"/>
  <c r="BT22" i="26"/>
  <c r="BS22" i="26"/>
  <c r="BR22" i="26"/>
  <c r="BQ22" i="26"/>
  <c r="BP22" i="26"/>
  <c r="BW21" i="26"/>
  <c r="BV21" i="26"/>
  <c r="BU21" i="26"/>
  <c r="BT21" i="26"/>
  <c r="BS21" i="26"/>
  <c r="BR21" i="26"/>
  <c r="BQ21" i="26"/>
  <c r="BP21" i="26"/>
  <c r="BP18" i="26"/>
  <c r="BY18" i="26" s="1"/>
  <c r="BP17" i="26"/>
  <c r="P25" i="31" l="1"/>
  <c r="BY22" i="26"/>
  <c r="BY24" i="26" s="1"/>
  <c r="J17" i="31" l="1"/>
  <c r="J27" i="32"/>
  <c r="J9" i="31"/>
  <c r="K9" i="31" s="1"/>
  <c r="K10" i="31" s="1"/>
  <c r="E17" i="31"/>
  <c r="E9" i="31"/>
  <c r="F9" i="31" s="1"/>
  <c r="F10" i="31" s="1"/>
  <c r="E28" i="17"/>
  <c r="E17" i="14"/>
  <c r="F17" i="14"/>
  <c r="C39" i="24"/>
  <c r="D34" i="24"/>
  <c r="H33" i="24"/>
  <c r="C33" i="24"/>
  <c r="D32" i="24"/>
  <c r="H31" i="24"/>
  <c r="C31" i="24"/>
  <c r="C32" i="24" s="1"/>
  <c r="H29" i="24"/>
  <c r="C29" i="24"/>
  <c r="C30" i="24" s="1"/>
  <c r="D28" i="24"/>
  <c r="H27" i="24"/>
  <c r="C27" i="24"/>
  <c r="C25" i="24"/>
  <c r="C26" i="24" s="1"/>
  <c r="C23" i="24"/>
  <c r="C24" i="24" s="1"/>
  <c r="C22" i="24"/>
  <c r="C21" i="24"/>
  <c r="C19" i="24"/>
  <c r="C20" i="24" s="1"/>
  <c r="D18" i="24"/>
  <c r="H17" i="24"/>
  <c r="C17" i="24"/>
  <c r="D16" i="24"/>
  <c r="C15" i="24"/>
  <c r="C16" i="24" s="1"/>
  <c r="D14" i="24"/>
  <c r="H13" i="24"/>
  <c r="C13" i="24"/>
  <c r="C14" i="24" s="1"/>
  <c r="D12" i="24"/>
  <c r="C11" i="24"/>
  <c r="C12" i="24" s="1"/>
  <c r="D10" i="24"/>
  <c r="H9" i="24"/>
  <c r="C9" i="24"/>
  <c r="D8" i="24"/>
  <c r="H7" i="24"/>
  <c r="C7" i="24"/>
  <c r="C8" i="24" s="1"/>
  <c r="D6" i="24"/>
  <c r="H5" i="24"/>
  <c r="C5" i="24"/>
  <c r="F20" i="22"/>
  <c r="BQ15" i="15"/>
  <c r="O30" i="22"/>
  <c r="P30" i="22" s="1"/>
  <c r="E34" i="22"/>
  <c r="L34" i="22" s="1"/>
  <c r="V30" i="22"/>
  <c r="R30" i="22"/>
  <c r="C29" i="22" s="1"/>
  <c r="F30" i="22"/>
  <c r="F28" i="22"/>
  <c r="C28" i="22"/>
  <c r="E24" i="22"/>
  <c r="L21" i="22"/>
  <c r="V19" i="22"/>
  <c r="C20" i="22" s="1"/>
  <c r="O19" i="22"/>
  <c r="I19" i="22"/>
  <c r="F19" i="22"/>
  <c r="C19" i="22"/>
  <c r="V18" i="22"/>
  <c r="O18" i="22"/>
  <c r="I18" i="22"/>
  <c r="F18" i="22"/>
  <c r="C18" i="22"/>
  <c r="V17" i="22"/>
  <c r="O17" i="22"/>
  <c r="I17" i="22"/>
  <c r="F17" i="22"/>
  <c r="V16" i="22"/>
  <c r="F16" i="22"/>
  <c r="C16" i="22"/>
  <c r="C15" i="22"/>
  <c r="V14" i="22"/>
  <c r="I14" i="22"/>
  <c r="F14" i="22"/>
  <c r="C14" i="22"/>
  <c r="F13" i="22"/>
  <c r="C13" i="22"/>
  <c r="F12" i="22"/>
  <c r="C12" i="22"/>
  <c r="X11" i="22"/>
  <c r="I13" i="22" s="1"/>
  <c r="V11" i="22"/>
  <c r="C11" i="22"/>
  <c r="X10" i="22"/>
  <c r="F10" i="22"/>
  <c r="T9" i="22"/>
  <c r="Y8" i="22"/>
  <c r="O12" i="22" s="1"/>
  <c r="X8" i="22"/>
  <c r="I12" i="22" s="1"/>
  <c r="V8" i="22"/>
  <c r="T8" i="22"/>
  <c r="T7" i="22"/>
  <c r="Y6" i="22"/>
  <c r="O10" i="22" s="1"/>
  <c r="X6" i="22"/>
  <c r="I10" i="22" s="1"/>
  <c r="V6" i="22"/>
  <c r="T6" i="22"/>
  <c r="G6" i="22"/>
  <c r="I24" i="21"/>
  <c r="I26" i="21" s="1"/>
  <c r="H30" i="21" s="1"/>
  <c r="J14" i="21"/>
  <c r="J19" i="21"/>
  <c r="D18" i="21"/>
  <c r="J16" i="21" s="1"/>
  <c r="K16" i="21" s="1"/>
  <c r="J17" i="21"/>
  <c r="K17" i="21" s="1"/>
  <c r="K15" i="21"/>
  <c r="C15" i="21"/>
  <c r="D15" i="21" s="1"/>
  <c r="J9" i="21" s="1"/>
  <c r="C14" i="21"/>
  <c r="D14" i="21" s="1"/>
  <c r="J8" i="21" s="1"/>
  <c r="D13" i="21"/>
  <c r="J7" i="21" s="1"/>
  <c r="C13" i="21"/>
  <c r="D12" i="21"/>
  <c r="J6" i="21" s="1"/>
  <c r="C12" i="21"/>
  <c r="D11" i="21"/>
  <c r="J5" i="21" s="1"/>
  <c r="C11" i="21"/>
  <c r="I9" i="21"/>
  <c r="H7" i="21"/>
  <c r="I8" i="21"/>
  <c r="I7" i="21"/>
  <c r="I6" i="21"/>
  <c r="I5" i="21"/>
  <c r="I71" i="20"/>
  <c r="I72" i="20" s="1"/>
  <c r="H63" i="20"/>
  <c r="G63" i="20"/>
  <c r="F63" i="20"/>
  <c r="E63" i="20"/>
  <c r="D63" i="20"/>
  <c r="C63" i="20"/>
  <c r="B65" i="20"/>
  <c r="I66" i="20" s="1"/>
  <c r="I67" i="20" s="1"/>
  <c r="I68" i="20" s="1"/>
  <c r="H56" i="20"/>
  <c r="G56" i="20"/>
  <c r="F56" i="20"/>
  <c r="E56" i="20"/>
  <c r="D56" i="20"/>
  <c r="C56" i="20"/>
  <c r="B58" i="20"/>
  <c r="I59" i="20" s="1"/>
  <c r="I60" i="20" s="1"/>
  <c r="I61" i="20" s="1"/>
  <c r="I43" i="20"/>
  <c r="I42" i="20"/>
  <c r="C21" i="20" s="1"/>
  <c r="I40" i="20"/>
  <c r="I39" i="20"/>
  <c r="C17" i="20"/>
  <c r="F13" i="20"/>
  <c r="I35" i="20"/>
  <c r="E35" i="20"/>
  <c r="I30" i="20"/>
  <c r="F31" i="20"/>
  <c r="F30" i="20"/>
  <c r="C30" i="20"/>
  <c r="E26" i="20"/>
  <c r="F22" i="20"/>
  <c r="C22" i="20"/>
  <c r="F19" i="20"/>
  <c r="C19" i="20"/>
  <c r="C18" i="20"/>
  <c r="C15" i="20"/>
  <c r="C14" i="20"/>
  <c r="C13" i="20"/>
  <c r="C12" i="20"/>
  <c r="C11" i="20"/>
  <c r="C10" i="20"/>
  <c r="F9" i="20"/>
  <c r="C9" i="20"/>
  <c r="K8" i="20"/>
  <c r="C8" i="20"/>
  <c r="K7" i="20"/>
  <c r="K6" i="20"/>
  <c r="K5" i="20"/>
  <c r="G5" i="20"/>
  <c r="I42" i="19"/>
  <c r="C20" i="19" s="1"/>
  <c r="I41" i="19"/>
  <c r="I39" i="19"/>
  <c r="I38" i="19"/>
  <c r="I37" i="19"/>
  <c r="V36" i="19"/>
  <c r="V37" i="19" s="1"/>
  <c r="I34" i="19"/>
  <c r="E32" i="19"/>
  <c r="U31" i="19"/>
  <c r="T31" i="19"/>
  <c r="S31" i="19"/>
  <c r="R31" i="19"/>
  <c r="Q31" i="19"/>
  <c r="P31" i="19"/>
  <c r="O31" i="19"/>
  <c r="F29" i="19"/>
  <c r="F28" i="19"/>
  <c r="C28" i="19"/>
  <c r="I28" i="19"/>
  <c r="U24" i="19"/>
  <c r="T24" i="19"/>
  <c r="S24" i="19"/>
  <c r="R24" i="19"/>
  <c r="Q24" i="19"/>
  <c r="P24" i="19"/>
  <c r="O24" i="19"/>
  <c r="E23" i="19"/>
  <c r="C19" i="19"/>
  <c r="F17" i="19"/>
  <c r="C17" i="19"/>
  <c r="C16" i="19"/>
  <c r="C15" i="19"/>
  <c r="C13" i="19"/>
  <c r="F12" i="19"/>
  <c r="C12" i="19"/>
  <c r="C11" i="19"/>
  <c r="C10" i="19"/>
  <c r="C9" i="19"/>
  <c r="F8" i="19"/>
  <c r="C8" i="19"/>
  <c r="K8" i="19"/>
  <c r="C7" i="19"/>
  <c r="K7" i="19"/>
  <c r="K6" i="19"/>
  <c r="K5" i="19"/>
  <c r="G5" i="19"/>
  <c r="C29" i="20"/>
  <c r="I39" i="18"/>
  <c r="C21" i="18" s="1"/>
  <c r="I38" i="18"/>
  <c r="I36" i="18"/>
  <c r="I35" i="18"/>
  <c r="I34" i="18"/>
  <c r="E32" i="18"/>
  <c r="K30" i="18"/>
  <c r="F13" i="18" s="1"/>
  <c r="I31" i="18"/>
  <c r="V30" i="18"/>
  <c r="V31" i="18" s="1"/>
  <c r="F30" i="18"/>
  <c r="F29" i="18"/>
  <c r="C29" i="18"/>
  <c r="I28" i="18"/>
  <c r="U25" i="18"/>
  <c r="T25" i="18"/>
  <c r="S25" i="18"/>
  <c r="R25" i="18"/>
  <c r="Q25" i="18"/>
  <c r="P25" i="18"/>
  <c r="O25" i="18"/>
  <c r="E24" i="18"/>
  <c r="U18" i="18"/>
  <c r="T18" i="18"/>
  <c r="S18" i="18"/>
  <c r="R18" i="18"/>
  <c r="Q18" i="18"/>
  <c r="P18" i="18"/>
  <c r="O18" i="18"/>
  <c r="C20" i="18"/>
  <c r="F18" i="18"/>
  <c r="C18" i="18"/>
  <c r="C17" i="18"/>
  <c r="C14" i="18"/>
  <c r="C13" i="18"/>
  <c r="C12" i="18"/>
  <c r="C11" i="18"/>
  <c r="C10" i="18"/>
  <c r="K9" i="18"/>
  <c r="C9" i="18"/>
  <c r="K8" i="18"/>
  <c r="K7" i="18"/>
  <c r="K6" i="18"/>
  <c r="G6" i="18"/>
  <c r="R43" i="17"/>
  <c r="F22" i="17"/>
  <c r="F26" i="17"/>
  <c r="F25" i="17"/>
  <c r="G25" i="17" s="1"/>
  <c r="F24" i="17"/>
  <c r="Q22" i="17"/>
  <c r="F17" i="17"/>
  <c r="C17" i="17"/>
  <c r="F16" i="17"/>
  <c r="C16" i="17"/>
  <c r="F15" i="17"/>
  <c r="C15" i="17"/>
  <c r="F14" i="17"/>
  <c r="C14" i="17"/>
  <c r="F13" i="17"/>
  <c r="C13" i="17"/>
  <c r="F12" i="17"/>
  <c r="C12" i="17"/>
  <c r="F10" i="17"/>
  <c r="C10" i="17"/>
  <c r="F8" i="17"/>
  <c r="C8" i="17"/>
  <c r="M4" i="17"/>
  <c r="G4" i="17"/>
  <c r="F17" i="20"/>
  <c r="F18" i="20"/>
  <c r="C22" i="16"/>
  <c r="H21" i="16"/>
  <c r="D21" i="16"/>
  <c r="C20" i="16"/>
  <c r="H19" i="16"/>
  <c r="D19" i="16"/>
  <c r="D20" i="16" s="1"/>
  <c r="C18" i="16"/>
  <c r="H17" i="16"/>
  <c r="D17" i="16"/>
  <c r="D18" i="16" s="1"/>
  <c r="C16" i="16"/>
  <c r="H15" i="16"/>
  <c r="D15" i="16"/>
  <c r="C14" i="16"/>
  <c r="H13" i="16"/>
  <c r="D13" i="16"/>
  <c r="D14" i="16" s="1"/>
  <c r="C12" i="16"/>
  <c r="H11" i="16"/>
  <c r="D11" i="16"/>
  <c r="D9" i="16"/>
  <c r="D10" i="16" s="1"/>
  <c r="C9" i="16"/>
  <c r="C10" i="16" s="1"/>
  <c r="C8" i="16"/>
  <c r="H7" i="16"/>
  <c r="D7" i="16"/>
  <c r="D8" i="16" s="1"/>
  <c r="C6" i="16"/>
  <c r="H5" i="16"/>
  <c r="D5" i="16"/>
  <c r="D6" i="16" s="1"/>
  <c r="C4" i="16"/>
  <c r="C26" i="16" s="1"/>
  <c r="H3" i="16"/>
  <c r="D3" i="16"/>
  <c r="D4" i="16" s="1"/>
  <c r="BX21" i="15"/>
  <c r="BW21" i="15"/>
  <c r="BV21" i="15"/>
  <c r="BU21" i="15"/>
  <c r="BT21" i="15"/>
  <c r="BS21" i="15"/>
  <c r="BR21" i="15"/>
  <c r="BQ21" i="15"/>
  <c r="BX20" i="15"/>
  <c r="BW20" i="15"/>
  <c r="BV20" i="15"/>
  <c r="BU20" i="15"/>
  <c r="BT20" i="15"/>
  <c r="BS20" i="15"/>
  <c r="BR20" i="15"/>
  <c r="BQ20" i="15"/>
  <c r="BQ17" i="15"/>
  <c r="BZ17" i="15" s="1"/>
  <c r="BQ16" i="15"/>
  <c r="M33" i="14"/>
  <c r="D33" i="14"/>
  <c r="M32" i="14"/>
  <c r="D32" i="14"/>
  <c r="L28" i="14"/>
  <c r="K28" i="14"/>
  <c r="J28" i="14"/>
  <c r="I28" i="14"/>
  <c r="H28" i="14"/>
  <c r="G28" i="14"/>
  <c r="E28" i="14"/>
  <c r="D28" i="14"/>
  <c r="C28" i="14"/>
  <c r="B28" i="14"/>
  <c r="M19" i="14"/>
  <c r="M20" i="14" s="1"/>
  <c r="F27" i="18"/>
  <c r="G27" i="18" s="1"/>
  <c r="F26" i="19"/>
  <c r="F13" i="34" s="1"/>
  <c r="G13" i="34" s="1"/>
  <c r="K58" i="20"/>
  <c r="J28" i="22" l="1"/>
  <c r="M28" i="22"/>
  <c r="J30" i="22"/>
  <c r="G30" i="20"/>
  <c r="K9" i="20"/>
  <c r="E33" i="18"/>
  <c r="K51" i="19"/>
  <c r="G16" i="34"/>
  <c r="G18" i="34"/>
  <c r="E12" i="32"/>
  <c r="F12" i="32" s="1"/>
  <c r="F13" i="32" s="1"/>
  <c r="E20" i="32"/>
  <c r="F19" i="14"/>
  <c r="F20" i="14" s="1"/>
  <c r="F21" i="14" s="1"/>
  <c r="K7" i="21"/>
  <c r="BZ21" i="15"/>
  <c r="K8" i="21"/>
  <c r="G28" i="19"/>
  <c r="G29" i="19"/>
  <c r="G26" i="19"/>
  <c r="F29" i="20"/>
  <c r="G29" i="20" s="1"/>
  <c r="I34" i="22"/>
  <c r="O34" i="22" s="1"/>
  <c r="K10" i="20"/>
  <c r="K42" i="20" s="1"/>
  <c r="F21" i="20" s="1"/>
  <c r="F23" i="20" s="1"/>
  <c r="G30" i="18"/>
  <c r="V18" i="18"/>
  <c r="V19" i="18" s="1"/>
  <c r="V20" i="18" s="1"/>
  <c r="T10" i="22"/>
  <c r="T11" i="22" s="1"/>
  <c r="W19" i="22" s="1"/>
  <c r="O21" i="22"/>
  <c r="G28" i="22"/>
  <c r="D34" i="14"/>
  <c r="D35" i="14" s="1"/>
  <c r="D22" i="14" s="1"/>
  <c r="M34" i="14"/>
  <c r="M35" i="14" s="1"/>
  <c r="F22" i="14" s="1"/>
  <c r="V31" i="19"/>
  <c r="V32" i="19" s="1"/>
  <c r="V33" i="19" s="1"/>
  <c r="K38" i="19" s="1"/>
  <c r="I21" i="22"/>
  <c r="K6" i="21"/>
  <c r="V24" i="19"/>
  <c r="V25" i="19" s="1"/>
  <c r="V26" i="19" s="1"/>
  <c r="G31" i="20"/>
  <c r="F21" i="22"/>
  <c r="M21" i="14"/>
  <c r="G29" i="18"/>
  <c r="V25" i="18"/>
  <c r="V26" i="18" s="1"/>
  <c r="V27" i="18" s="1"/>
  <c r="F17" i="18" s="1"/>
  <c r="G30" i="22"/>
  <c r="F18" i="17"/>
  <c r="G24" i="17" s="1"/>
  <c r="K10" i="18"/>
  <c r="K11" i="18" s="1"/>
  <c r="K9" i="21"/>
  <c r="K9" i="19"/>
  <c r="K10" i="19" s="1"/>
  <c r="E13" i="17"/>
  <c r="E13" i="18"/>
  <c r="G13" i="18" s="1"/>
  <c r="BZ23" i="15"/>
  <c r="K5" i="21"/>
  <c r="J10" i="21"/>
  <c r="F16" i="18"/>
  <c r="E19" i="14"/>
  <c r="J17" i="24"/>
  <c r="J27" i="24"/>
  <c r="J33" i="24"/>
  <c r="J15" i="16"/>
  <c r="E12" i="20"/>
  <c r="G12" i="20" s="1"/>
  <c r="J7" i="24"/>
  <c r="J13" i="24"/>
  <c r="E16" i="18"/>
  <c r="E15" i="18" s="1"/>
  <c r="G15" i="18" s="1"/>
  <c r="E13" i="20"/>
  <c r="G13" i="20" s="1"/>
  <c r="E18" i="22"/>
  <c r="P18" i="22" s="1"/>
  <c r="E11" i="19"/>
  <c r="G11" i="19" s="1"/>
  <c r="E14" i="20"/>
  <c r="G14" i="20" s="1"/>
  <c r="E12" i="19"/>
  <c r="G12" i="19" s="1"/>
  <c r="E17" i="20"/>
  <c r="E13" i="22"/>
  <c r="E14" i="22"/>
  <c r="C28" i="24"/>
  <c r="E15" i="19"/>
  <c r="E14" i="19" s="1"/>
  <c r="G14" i="19" s="1"/>
  <c r="C18" i="24"/>
  <c r="E12" i="17"/>
  <c r="G12" i="17" s="1"/>
  <c r="D16" i="16"/>
  <c r="J29" i="24"/>
  <c r="K17" i="14"/>
  <c r="J3" i="16"/>
  <c r="C10" i="24"/>
  <c r="E10" i="24" s="1"/>
  <c r="J9" i="24"/>
  <c r="J31" i="24"/>
  <c r="J13" i="16"/>
  <c r="G22" i="17"/>
  <c r="E32" i="24"/>
  <c r="E16" i="24"/>
  <c r="C6" i="24"/>
  <c r="J5" i="24"/>
  <c r="D22" i="16"/>
  <c r="J21" i="16"/>
  <c r="C34" i="24"/>
  <c r="L19" i="14" s="1"/>
  <c r="L20" i="14" s="1"/>
  <c r="J17" i="16"/>
  <c r="E14" i="24"/>
  <c r="J19" i="16"/>
  <c r="E12" i="24"/>
  <c r="J7" i="16"/>
  <c r="E8" i="24"/>
  <c r="J11" i="16"/>
  <c r="D12" i="16"/>
  <c r="I29" i="22"/>
  <c r="J29" i="22" s="1"/>
  <c r="F29" i="22"/>
  <c r="G29" i="22" s="1"/>
  <c r="J5" i="16"/>
  <c r="L7" i="14"/>
  <c r="I22" i="14" l="1"/>
  <c r="K37" i="19"/>
  <c r="F15" i="19" s="1"/>
  <c r="G15" i="19" s="1"/>
  <c r="F32" i="20"/>
  <c r="G17" i="20"/>
  <c r="E16" i="20"/>
  <c r="G16" i="20" s="1"/>
  <c r="F16" i="19"/>
  <c r="G17" i="34"/>
  <c r="G19" i="34" s="1"/>
  <c r="G20" i="34" s="1"/>
  <c r="H22" i="34" s="1"/>
  <c r="E31" i="19"/>
  <c r="K51" i="20"/>
  <c r="E20" i="14"/>
  <c r="E21" i="14" s="1"/>
  <c r="B22" i="14"/>
  <c r="M22" i="14"/>
  <c r="M23" i="14" s="1"/>
  <c r="F43" i="42" s="1"/>
  <c r="G43" i="42" s="1"/>
  <c r="C22" i="14"/>
  <c r="E22" i="14"/>
  <c r="H22" i="14"/>
  <c r="K22" i="14"/>
  <c r="J22" i="14"/>
  <c r="E7" i="14"/>
  <c r="E8" i="14" s="1"/>
  <c r="I22" i="42" s="1"/>
  <c r="M22" i="42" s="1"/>
  <c r="F7" i="14"/>
  <c r="F8" i="14" s="1"/>
  <c r="K10" i="21"/>
  <c r="K12" i="21" s="1"/>
  <c r="K13" i="21" s="1"/>
  <c r="G22" i="14"/>
  <c r="L22" i="14"/>
  <c r="K42" i="19"/>
  <c r="F20" i="19" s="1"/>
  <c r="K39" i="18"/>
  <c r="F21" i="18" s="1"/>
  <c r="F23" i="14"/>
  <c r="F38" i="14" s="1"/>
  <c r="G18" i="22"/>
  <c r="G13" i="17"/>
  <c r="C36" i="24"/>
  <c r="G16" i="18"/>
  <c r="G26" i="17"/>
  <c r="E28" i="24"/>
  <c r="J18" i="22"/>
  <c r="E12" i="22"/>
  <c r="E10" i="22"/>
  <c r="E11" i="20"/>
  <c r="G11" i="20" s="1"/>
  <c r="E9" i="20"/>
  <c r="G9" i="20" s="1"/>
  <c r="J14" i="22"/>
  <c r="G14" i="22"/>
  <c r="E19" i="20"/>
  <c r="G19" i="20" s="1"/>
  <c r="E18" i="20"/>
  <c r="G18" i="20" s="1"/>
  <c r="E19" i="22"/>
  <c r="E22" i="20"/>
  <c r="G22" i="20" s="1"/>
  <c r="G13" i="22"/>
  <c r="J13" i="22"/>
  <c r="E8" i="19"/>
  <c r="G8" i="19" s="1"/>
  <c r="E12" i="18"/>
  <c r="E10" i="18"/>
  <c r="G10" i="18" s="1"/>
  <c r="E10" i="17"/>
  <c r="E8" i="17"/>
  <c r="E10" i="19"/>
  <c r="G10" i="19" s="1"/>
  <c r="E18" i="18"/>
  <c r="G18" i="18" s="1"/>
  <c r="E17" i="18"/>
  <c r="G17" i="18" s="1"/>
  <c r="E17" i="19"/>
  <c r="G17" i="19" s="1"/>
  <c r="E16" i="17"/>
  <c r="E16" i="19"/>
  <c r="E17" i="17"/>
  <c r="E18" i="24"/>
  <c r="J17" i="14"/>
  <c r="I17" i="14"/>
  <c r="I7" i="14"/>
  <c r="L21" i="14"/>
  <c r="E6" i="24"/>
  <c r="E34" i="24"/>
  <c r="C17" i="14"/>
  <c r="D17" i="14"/>
  <c r="K19" i="14"/>
  <c r="K20" i="14" s="1"/>
  <c r="H17" i="14"/>
  <c r="G17" i="14"/>
  <c r="G10" i="22" l="1"/>
  <c r="M10" i="22"/>
  <c r="E23" i="14"/>
  <c r="P18" i="31"/>
  <c r="G16" i="19"/>
  <c r="F21" i="19"/>
  <c r="T19" i="35"/>
  <c r="E34" i="20"/>
  <c r="T36" i="22"/>
  <c r="E33" i="22" s="1"/>
  <c r="L33" i="22" s="1"/>
  <c r="E12" i="14"/>
  <c r="E9" i="14"/>
  <c r="J22" i="42" s="1"/>
  <c r="E11" i="14"/>
  <c r="L22" i="42" s="1"/>
  <c r="E10" i="14"/>
  <c r="K22" i="42" s="1"/>
  <c r="F12" i="14"/>
  <c r="F10" i="14"/>
  <c r="F9" i="14"/>
  <c r="F11" i="14"/>
  <c r="K14" i="21"/>
  <c r="K18" i="21" s="1"/>
  <c r="K19" i="21" s="1"/>
  <c r="K20" i="21" s="1"/>
  <c r="M38" i="14"/>
  <c r="N24" i="14" s="1"/>
  <c r="N25" i="14" s="1"/>
  <c r="L23" i="14"/>
  <c r="F42" i="42" s="1"/>
  <c r="G42" i="42" s="1"/>
  <c r="B17" i="14"/>
  <c r="E17" i="22"/>
  <c r="E16" i="22"/>
  <c r="G16" i="22" s="1"/>
  <c r="I19" i="14"/>
  <c r="I20" i="14" s="1"/>
  <c r="P19" i="22"/>
  <c r="J19" i="22"/>
  <c r="G19" i="22"/>
  <c r="M21" i="22"/>
  <c r="P10" i="22"/>
  <c r="J10" i="22"/>
  <c r="G12" i="22"/>
  <c r="J12" i="22"/>
  <c r="P12" i="22"/>
  <c r="G10" i="17"/>
  <c r="E14" i="17"/>
  <c r="E15" i="17"/>
  <c r="E20" i="18"/>
  <c r="G20" i="18" s="1"/>
  <c r="E19" i="18"/>
  <c r="G19" i="18" s="1"/>
  <c r="K25" i="18" s="1"/>
  <c r="E19" i="19"/>
  <c r="G19" i="19" s="1"/>
  <c r="E18" i="19"/>
  <c r="G18" i="19" s="1"/>
  <c r="G16" i="17"/>
  <c r="G17" i="17"/>
  <c r="G8" i="17"/>
  <c r="G7" i="14"/>
  <c r="K21" i="14"/>
  <c r="G19" i="14"/>
  <c r="G20" i="14" s="1"/>
  <c r="I8" i="14"/>
  <c r="I26" i="42" s="1"/>
  <c r="M26" i="42" s="1"/>
  <c r="C19" i="14"/>
  <c r="C20" i="14" s="1"/>
  <c r="H7" i="14"/>
  <c r="D19" i="14"/>
  <c r="D20" i="14" s="1"/>
  <c r="H19" i="14"/>
  <c r="H20" i="14" s="1"/>
  <c r="D7" i="14"/>
  <c r="C7" i="14"/>
  <c r="J19" i="14"/>
  <c r="J20" i="14" s="1"/>
  <c r="E38" i="14" l="1"/>
  <c r="F35" i="42"/>
  <c r="G35" i="42" s="1"/>
  <c r="R39" i="17"/>
  <c r="K47" i="18"/>
  <c r="J22" i="32"/>
  <c r="E15" i="32" s="1"/>
  <c r="F23" i="17"/>
  <c r="G23" i="17" s="1"/>
  <c r="E12" i="31"/>
  <c r="F12" i="31" s="1"/>
  <c r="F20" i="35"/>
  <c r="F13" i="35"/>
  <c r="B19" i="14"/>
  <c r="B20" i="14" s="1"/>
  <c r="I21" i="14"/>
  <c r="I33" i="22"/>
  <c r="O33" i="22"/>
  <c r="E21" i="18"/>
  <c r="G21" i="18" s="1"/>
  <c r="K25" i="19"/>
  <c r="E20" i="19" s="1"/>
  <c r="G20" i="19" s="1"/>
  <c r="G21" i="19" s="1"/>
  <c r="K7" i="14"/>
  <c r="K8" i="14" s="1"/>
  <c r="I28" i="42" s="1"/>
  <c r="M28" i="42" s="1"/>
  <c r="K23" i="14"/>
  <c r="F41" i="42" s="1"/>
  <c r="G41" i="42" s="1"/>
  <c r="L38" i="14"/>
  <c r="G30" i="21"/>
  <c r="F30" i="21"/>
  <c r="I30" i="21" s="1"/>
  <c r="M24" i="22"/>
  <c r="G17" i="22"/>
  <c r="P17" i="22"/>
  <c r="J17" i="22"/>
  <c r="J21" i="22" s="1"/>
  <c r="G15" i="17"/>
  <c r="G14" i="17"/>
  <c r="J21" i="14"/>
  <c r="C21" i="14"/>
  <c r="D8" i="14"/>
  <c r="I21" i="42" s="1"/>
  <c r="M21" i="42" s="1"/>
  <c r="C8" i="14"/>
  <c r="I20" i="42" s="1"/>
  <c r="M20" i="42" s="1"/>
  <c r="G21" i="14"/>
  <c r="B8" i="14"/>
  <c r="I19" i="42" s="1"/>
  <c r="M19" i="42" s="1"/>
  <c r="H21" i="14"/>
  <c r="D21" i="14"/>
  <c r="H8" i="14"/>
  <c r="I25" i="42" s="1"/>
  <c r="M25" i="42" s="1"/>
  <c r="I11" i="14"/>
  <c r="L26" i="42" s="1"/>
  <c r="I10" i="14"/>
  <c r="K26" i="42" s="1"/>
  <c r="I9" i="14"/>
  <c r="J26" i="42" s="1"/>
  <c r="I12" i="14"/>
  <c r="G8" i="14"/>
  <c r="I24" i="42" s="1"/>
  <c r="M24" i="42" s="1"/>
  <c r="J12" i="31" l="1"/>
  <c r="K12" i="31" s="1"/>
  <c r="K17" i="31" s="1"/>
  <c r="F27" i="19"/>
  <c r="G27" i="19" s="1"/>
  <c r="K50" i="19"/>
  <c r="F28" i="18"/>
  <c r="G28" i="18" s="1"/>
  <c r="P21" i="22"/>
  <c r="P24" i="22" s="1"/>
  <c r="M25" i="22"/>
  <c r="M32" i="22" s="1"/>
  <c r="J13" i="35"/>
  <c r="J14" i="35" s="1"/>
  <c r="J18" i="35" s="1"/>
  <c r="J19" i="35" s="1"/>
  <c r="P13" i="35"/>
  <c r="P14" i="35" s="1"/>
  <c r="P18" i="35" s="1"/>
  <c r="M13" i="35"/>
  <c r="M14" i="35" s="1"/>
  <c r="G13" i="35"/>
  <c r="G14" i="35" s="1"/>
  <c r="G18" i="35" s="1"/>
  <c r="I20" i="35"/>
  <c r="F15" i="32"/>
  <c r="E14" i="33"/>
  <c r="F14" i="33" s="1"/>
  <c r="F17" i="31"/>
  <c r="F16" i="31"/>
  <c r="F18" i="31" s="1"/>
  <c r="J7" i="14"/>
  <c r="J8" i="14" s="1"/>
  <c r="I27" i="42" s="1"/>
  <c r="M27" i="42" s="1"/>
  <c r="B21" i="14"/>
  <c r="B24" i="14" s="1"/>
  <c r="T27" i="22"/>
  <c r="E20" i="22" s="1"/>
  <c r="G20" i="22" s="1"/>
  <c r="G21" i="22" s="1"/>
  <c r="G24" i="22" s="1"/>
  <c r="G25" i="22" s="1"/>
  <c r="K12" i="14"/>
  <c r="K10" i="14"/>
  <c r="K28" i="42" s="1"/>
  <c r="K9" i="14"/>
  <c r="J28" i="42" s="1"/>
  <c r="K11" i="14"/>
  <c r="L28" i="42" s="1"/>
  <c r="K38" i="14"/>
  <c r="J23" i="14"/>
  <c r="F40" i="42" s="1"/>
  <c r="G40" i="42" s="1"/>
  <c r="I23" i="14"/>
  <c r="G18" i="17"/>
  <c r="J24" i="22"/>
  <c r="J25" i="22" s="1"/>
  <c r="G23" i="19"/>
  <c r="G24" i="19" s="1"/>
  <c r="G11" i="14"/>
  <c r="L24" i="42" s="1"/>
  <c r="G12" i="14"/>
  <c r="G10" i="14"/>
  <c r="K24" i="42" s="1"/>
  <c r="G9" i="14"/>
  <c r="J24" i="42" s="1"/>
  <c r="B11" i="14"/>
  <c r="L19" i="42" s="1"/>
  <c r="B10" i="14"/>
  <c r="K19" i="42" s="1"/>
  <c r="B12" i="14"/>
  <c r="B9" i="14"/>
  <c r="J19" i="42" s="1"/>
  <c r="H10" i="14"/>
  <c r="K25" i="42" s="1"/>
  <c r="H9" i="14"/>
  <c r="J25" i="42" s="1"/>
  <c r="H11" i="14"/>
  <c r="L25" i="42" s="1"/>
  <c r="H12" i="14"/>
  <c r="D23" i="14"/>
  <c r="D12" i="14"/>
  <c r="D9" i="14"/>
  <c r="J21" i="42" s="1"/>
  <c r="D11" i="14"/>
  <c r="L21" i="42" s="1"/>
  <c r="D10" i="14"/>
  <c r="K21" i="42" s="1"/>
  <c r="C10" i="14"/>
  <c r="K20" i="42" s="1"/>
  <c r="C11" i="14"/>
  <c r="L20" i="42" s="1"/>
  <c r="C12" i="14"/>
  <c r="C9" i="14"/>
  <c r="J20" i="42" s="1"/>
  <c r="K16" i="31" l="1"/>
  <c r="K18" i="31" s="1"/>
  <c r="D38" i="14"/>
  <c r="F34" i="42"/>
  <c r="G34" i="42" s="1"/>
  <c r="I38" i="14"/>
  <c r="F39" i="42"/>
  <c r="G39" i="42" s="1"/>
  <c r="P25" i="22"/>
  <c r="P32" i="22" s="1"/>
  <c r="J20" i="35"/>
  <c r="J21" i="35" s="1"/>
  <c r="J22" i="35" s="1"/>
  <c r="P19" i="35"/>
  <c r="M18" i="35"/>
  <c r="M19" i="35" s="1"/>
  <c r="G20" i="35"/>
  <c r="L20" i="35"/>
  <c r="M20" i="35" s="1"/>
  <c r="G19" i="35"/>
  <c r="K19" i="31"/>
  <c r="K20" i="31" s="1"/>
  <c r="K21" i="31" s="1"/>
  <c r="L24" i="31" s="1"/>
  <c r="F19" i="31"/>
  <c r="F20" i="31" s="1"/>
  <c r="F21" i="31" s="1"/>
  <c r="G24" i="31" s="1"/>
  <c r="F17" i="33"/>
  <c r="F18" i="33" s="1"/>
  <c r="F19" i="33"/>
  <c r="F20" i="32"/>
  <c r="F18" i="32"/>
  <c r="F19" i="32" s="1"/>
  <c r="J9" i="14"/>
  <c r="J27" i="42" s="1"/>
  <c r="J11" i="14"/>
  <c r="L27" i="42" s="1"/>
  <c r="J10" i="14"/>
  <c r="K27" i="42" s="1"/>
  <c r="J12" i="14"/>
  <c r="M34" i="22"/>
  <c r="M33" i="22"/>
  <c r="B23" i="14"/>
  <c r="G20" i="17"/>
  <c r="G21" i="17" s="1"/>
  <c r="G27" i="17" s="1"/>
  <c r="J38" i="14"/>
  <c r="G23" i="14"/>
  <c r="C23" i="14"/>
  <c r="H23" i="14"/>
  <c r="G30" i="19"/>
  <c r="F25" i="22"/>
  <c r="G32" i="22"/>
  <c r="J32" i="22"/>
  <c r="B27" i="14"/>
  <c r="B25" i="14"/>
  <c r="B26" i="14"/>
  <c r="H38" i="14" l="1"/>
  <c r="F38" i="42"/>
  <c r="G38" i="42" s="1"/>
  <c r="C38" i="14"/>
  <c r="F33" i="42"/>
  <c r="G33" i="42" s="1"/>
  <c r="B38" i="14"/>
  <c r="F32" i="42"/>
  <c r="G32" i="42" s="1"/>
  <c r="G38" i="14"/>
  <c r="F37" i="42"/>
  <c r="G37" i="42" s="1"/>
  <c r="G21" i="35"/>
  <c r="G22" i="35" s="1"/>
  <c r="H27" i="35" s="1"/>
  <c r="G29" i="17"/>
  <c r="G28" i="17"/>
  <c r="G31" i="19"/>
  <c r="G32" i="19"/>
  <c r="K27" i="35"/>
  <c r="M21" i="35"/>
  <c r="M24" i="35" s="1"/>
  <c r="O20" i="35"/>
  <c r="F20" i="33"/>
  <c r="F21" i="33" s="1"/>
  <c r="G23" i="33" s="1"/>
  <c r="F21" i="32"/>
  <c r="F22" i="32" s="1"/>
  <c r="G26" i="32" s="1"/>
  <c r="J34" i="22"/>
  <c r="J33" i="22"/>
  <c r="M35" i="22"/>
  <c r="P34" i="22"/>
  <c r="P33" i="22"/>
  <c r="G33" i="22"/>
  <c r="G34" i="22"/>
  <c r="G23" i="35" l="1"/>
  <c r="M36" i="22"/>
  <c r="F7" i="42" s="1"/>
  <c r="G7" i="42" s="1"/>
  <c r="P20" i="35"/>
  <c r="P21" i="35" s="1"/>
  <c r="P24" i="35" s="1"/>
  <c r="G33" i="19"/>
  <c r="G34" i="19" s="1"/>
  <c r="F10" i="42" s="1"/>
  <c r="G10" i="42" s="1"/>
  <c r="H28" i="35"/>
  <c r="N30" i="35"/>
  <c r="G30" i="17"/>
  <c r="G31" i="17" s="1"/>
  <c r="P35" i="22"/>
  <c r="P36" i="22" s="1"/>
  <c r="F8" i="42" s="1"/>
  <c r="G8" i="42" s="1"/>
  <c r="J35" i="22"/>
  <c r="J36" i="22" s="1"/>
  <c r="F6" i="42" s="1"/>
  <c r="G6" i="42" s="1"/>
  <c r="G35" i="22"/>
  <c r="G36" i="22" s="1"/>
  <c r="F4" i="42" s="1"/>
  <c r="G4" i="42" s="1"/>
  <c r="N37" i="22" l="1"/>
  <c r="Q30" i="35"/>
  <c r="H35" i="19"/>
  <c r="G32" i="17"/>
  <c r="F3" i="42" s="1"/>
  <c r="G3" i="42" s="1"/>
  <c r="G37" i="22"/>
  <c r="F5" i="42" s="1"/>
  <c r="G5" i="42" s="1"/>
  <c r="H38" i="22"/>
  <c r="K37" i="22"/>
  <c r="Q37" i="22"/>
  <c r="G20" i="20"/>
  <c r="H33" i="17" l="1"/>
  <c r="K27" i="20"/>
  <c r="E21" i="20" s="1"/>
  <c r="G21" i="20" s="1"/>
  <c r="H39" i="22"/>
  <c r="G23" i="20" l="1"/>
  <c r="G26" i="20" s="1"/>
  <c r="G27" i="20" s="1"/>
  <c r="F27" i="20" l="1"/>
  <c r="G33" i="20"/>
  <c r="G35" i="20" s="1"/>
  <c r="G34" i="20" l="1"/>
  <c r="G36" i="20" s="1"/>
  <c r="G37" i="20" s="1"/>
  <c r="F11" i="42" s="1"/>
  <c r="G11" i="42" s="1"/>
  <c r="H38" i="20" l="1"/>
  <c r="G12" i="18" l="1"/>
  <c r="G22" i="18" s="1"/>
  <c r="F22" i="18"/>
  <c r="G24" i="18" l="1"/>
  <c r="G25" i="18" s="1"/>
  <c r="G31" i="18" s="1"/>
  <c r="G33" i="18" l="1"/>
  <c r="G32" i="18"/>
  <c r="G34" i="18" l="1"/>
  <c r="G35" i="18" s="1"/>
  <c r="F9" i="42" s="1"/>
  <c r="G9" i="42" s="1"/>
  <c r="H36" i="18" l="1"/>
  <c r="F24" i="4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Solimini, Kara (EHS)</author>
  </authors>
  <commentList>
    <comment ref="B44" authorId="0" shapeId="0" xr:uid="{3BC36082-1725-4915-AEFF-29A546B149EA}">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tc={6D672016-79CA-4C7D-8F1A-75613D2A96F9}</author>
  </authors>
  <commentList>
    <comment ref="J11" authorId="0" shapeId="0" xr:uid="{6D672016-79CA-4C7D-8F1A-75613D2A96F9}">
      <text>
        <t>[Threaded comment]
Your version of Excel allows you to read this threaded comment; however, any edits to it will get removed if the file is opened in a newer version of Excel. Learn more: https://go.microsoft.com/fwlink/?linkid=870924
Comment:
    Add .35 to absorb RN position being removed</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tc={738FF078-D875-4435-B01E-554457D623AA}</author>
  </authors>
  <commentList>
    <comment ref="O38" authorId="0" shapeId="0" xr:uid="{738FF078-D875-4435-B01E-554457D623AA}">
      <text>
        <t>[Threaded comment]
Your version of Excel allows you to read this threaded comment; however, any edits to it will get removed if the file is opened in a newer version of Excel. Learn more: https://go.microsoft.com/fwlink/?linkid=870924
Comment:
    Move to 85% from 90%</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tc={5248D7D4-9639-4652-97B7-129A07D64811}</author>
    <author>tc={F25AA710-1404-464F-AA05-6110C565E45A}</author>
    <author>tc={59B298A6-F17A-46B3-A37F-C94B482FA3D7}</author>
    <author>Solimini, Kara (EHS)</author>
  </authors>
  <commentList>
    <comment ref="B4" authorId="0" shapeId="0" xr:uid="{5248D7D4-9639-4652-97B7-129A07D64811}">
      <text>
        <t>[Threaded comment]
Your version of Excel allows you to read this threaded comment; however, any edits to it will get removed if the file is opened in a newer version of Excel. Learn more: https://go.microsoft.com/fwlink/?linkid=870924
Comment:
    this is comprised of Prgm Mgr and Clinician(s)</t>
      </text>
    </comment>
    <comment ref="E4" authorId="1" shapeId="0" xr:uid="{F25AA710-1404-464F-AA05-6110C565E45A}">
      <text>
        <t>[Threaded comment]
Your version of Excel allows you to read this threaded comment; however, any edits to it will get removed if the file is opened in a newer version of Excel. Learn more: https://go.microsoft.com/fwlink/?linkid=870924
Comment:
    this is comprised of Prgm Mgr and Clinician(s)</t>
      </text>
    </comment>
    <comment ref="H4" authorId="2" shapeId="0" xr:uid="{59B298A6-F17A-46B3-A37F-C94B482FA3D7}">
      <text>
        <t>[Threaded comment]
Your version of Excel allows you to read this threaded comment; however, any edits to it will get removed if the file is opened in a newer version of Excel. Learn more: https://go.microsoft.com/fwlink/?linkid=870924
Comment:
    this is comprised of Prgm Mgr and Clinician(s)</t>
      </text>
    </comment>
    <comment ref="D6" authorId="3" shapeId="0" xr:uid="{7E6780DE-5EFD-4232-8B46-2075995A8E92}">
      <text>
        <r>
          <rPr>
            <b/>
            <sz val="9"/>
            <color indexed="81"/>
            <rFont val="Tahoma"/>
            <family val="2"/>
          </rPr>
          <t>Solimini, Kara (EHS):</t>
        </r>
        <r>
          <rPr>
            <sz val="9"/>
            <color indexed="81"/>
            <rFont val="Tahoma"/>
            <family val="2"/>
          </rPr>
          <t xml:space="preserve">
higher than Prg Mgmt b/c incorporates relief staff adj
</t>
        </r>
      </text>
    </comment>
    <comment ref="D8" authorId="3" shapeId="0" xr:uid="{8235CE94-D572-4FC4-9F87-6A9644C48D98}">
      <text>
        <r>
          <rPr>
            <b/>
            <sz val="9"/>
            <color indexed="81"/>
            <rFont val="Tahoma"/>
            <family val="2"/>
          </rPr>
          <t>Solimini, Kara (EHS):</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Kara Stanford</author>
    <author>kara</author>
  </authors>
  <commentList>
    <comment ref="I12" authorId="0" shapeId="0" xr:uid="{00000000-0006-0000-1700-000001000000}">
      <text>
        <r>
          <rPr>
            <b/>
            <sz val="9"/>
            <color indexed="81"/>
            <rFont val="Tahoma"/>
            <family val="2"/>
          </rPr>
          <t xml:space="preserve">Kara:clinical Diretor and Clinician combined
</t>
        </r>
        <r>
          <rPr>
            <sz val="9"/>
            <color indexed="81"/>
            <rFont val="Tahoma"/>
            <family val="2"/>
          </rPr>
          <t xml:space="preserve">
</t>
        </r>
      </text>
    </comment>
    <comment ref="O12" authorId="0" shapeId="0" xr:uid="{00000000-0006-0000-1700-000002000000}">
      <text>
        <r>
          <rPr>
            <b/>
            <sz val="9"/>
            <color indexed="81"/>
            <rFont val="Tahoma"/>
            <family val="2"/>
          </rPr>
          <t xml:space="preserve">Kara:clinical Diretor and Clinician combined
</t>
        </r>
      </text>
    </comment>
    <comment ref="F20" authorId="1" shapeId="0" xr:uid="{00000000-0006-0000-1700-000003000000}">
      <text>
        <r>
          <rPr>
            <b/>
            <sz val="9"/>
            <color indexed="81"/>
            <rFont val="Tahoma"/>
            <family val="2"/>
          </rPr>
          <t>kara:</t>
        </r>
        <r>
          <rPr>
            <sz val="9"/>
            <color indexed="81"/>
            <rFont val="Tahoma"/>
            <family val="2"/>
          </rPr>
          <t xml:space="preserve">
was 1.2  added in 0.5 FTE post hearing</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<sst xmlns="http://schemas.openxmlformats.org/spreadsheetml/2006/main" count="6963" uniqueCount="2538">
  <si>
    <t>Beds:</t>
  </si>
  <si>
    <t>Bed Days:</t>
  </si>
  <si>
    <t>Model</t>
  </si>
  <si>
    <t>Days</t>
  </si>
  <si>
    <t>Hours</t>
  </si>
  <si>
    <t>Salary</t>
  </si>
  <si>
    <t>FTE</t>
  </si>
  <si>
    <t>Expense</t>
  </si>
  <si>
    <t>vacation</t>
  </si>
  <si>
    <t>Management</t>
  </si>
  <si>
    <t>sick/ personal</t>
  </si>
  <si>
    <t>holidays</t>
  </si>
  <si>
    <t>training</t>
  </si>
  <si>
    <t>Medical and Clinical</t>
  </si>
  <si>
    <t>Total Hours per FTE:</t>
  </si>
  <si>
    <t>% of FTE:</t>
  </si>
  <si>
    <t>LPN</t>
  </si>
  <si>
    <t>Psychiatrist</t>
  </si>
  <si>
    <t>Direct Care</t>
  </si>
  <si>
    <t xml:space="preserve">    Occupational Therapy</t>
  </si>
  <si>
    <t>Total Program Staff</t>
  </si>
  <si>
    <t>Expenses</t>
  </si>
  <si>
    <t>Unit Cost</t>
  </si>
  <si>
    <t>Tax and Fringe</t>
  </si>
  <si>
    <t>Total Compensation</t>
  </si>
  <si>
    <t>Support</t>
  </si>
  <si>
    <t>Occupancy</t>
  </si>
  <si>
    <t>Other Expenses</t>
  </si>
  <si>
    <t>Benchmark Expenses</t>
  </si>
  <si>
    <t>Total Reimb excl M&amp;G</t>
  </si>
  <si>
    <t>Admin. Allocation</t>
  </si>
  <si>
    <t>TOTAL</t>
  </si>
  <si>
    <t>Rate</t>
  </si>
  <si>
    <t>Shift 1</t>
  </si>
  <si>
    <t>Shift 2</t>
  </si>
  <si>
    <t>Shift 3</t>
  </si>
  <si>
    <t>CAF</t>
  </si>
  <si>
    <t xml:space="preserve">Monthly Add-on Rates </t>
  </si>
  <si>
    <t>Certified Nursing Assistant</t>
  </si>
  <si>
    <t>Direct Care III</t>
  </si>
  <si>
    <t>Occupantional Therapist</t>
  </si>
  <si>
    <t>Case Mgr, Social Worker, Clinician (MA level but not Indep Lic)</t>
  </si>
  <si>
    <t>Registered Nurse</t>
  </si>
  <si>
    <t>Clinician w/Independent Lic</t>
  </si>
  <si>
    <t>Social / Caseworker (BA Level)</t>
  </si>
  <si>
    <t>Source</t>
  </si>
  <si>
    <t>Tax &amp; Fringe</t>
  </si>
  <si>
    <t>Total Tax &amp; Fringe</t>
  </si>
  <si>
    <t>PFMLA</t>
  </si>
  <si>
    <t>TOTAL COMPENSATION</t>
  </si>
  <si>
    <t>Nurse Practioner / APRN</t>
  </si>
  <si>
    <t>Psycologist / Phychiatrist (PhD Lvl)</t>
  </si>
  <si>
    <t>Billable Hours</t>
  </si>
  <si>
    <t>Monthly Rate (1.0 FTE Add-on)</t>
  </si>
  <si>
    <t>Monthly Rate (0.75 FTE Add-on)</t>
  </si>
  <si>
    <t>Monthly Rate (0.50 FTE Add-on)</t>
  </si>
  <si>
    <t>Monthly Rate (0.25 FTE Add-on)</t>
  </si>
  <si>
    <t>Direct Care Productivity Chart</t>
  </si>
  <si>
    <t>Nursing and Other Staff Productivity Chart</t>
  </si>
  <si>
    <t>Paid Time Off (PTO)</t>
  </si>
  <si>
    <t>Training (not OJT)</t>
  </si>
  <si>
    <t>Travel / Admin / Supervision / Training / Misc</t>
  </si>
  <si>
    <t>Massachusetts Economic Indicators</t>
  </si>
  <si>
    <r>
      <t xml:space="preserve">IHS Markit, </t>
    </r>
    <r>
      <rPr>
        <b/>
        <sz val="12"/>
        <color indexed="10"/>
        <rFont val="Arial"/>
        <family val="2"/>
      </rPr>
      <t>Spring 2020 Forecast</t>
    </r>
  </si>
  <si>
    <t>Prepared by Michael Lynch, 781-301-9129</t>
  </si>
  <si>
    <t>FY20 Q1</t>
  </si>
  <si>
    <t>FY20 Q2</t>
  </si>
  <si>
    <t>FY20 Q3</t>
  </si>
  <si>
    <t>FY20 Q4</t>
  </si>
  <si>
    <t>FY21 Q1</t>
  </si>
  <si>
    <t>FY21 Q2</t>
  </si>
  <si>
    <t>FY21 Q3</t>
  </si>
  <si>
    <t>FY21 Q4</t>
  </si>
  <si>
    <t>FY22 Q1</t>
  </si>
  <si>
    <t>FY22 Q2</t>
  </si>
  <si>
    <t>FY22 Q3</t>
  </si>
  <si>
    <t>FY22 Q4</t>
  </si>
  <si>
    <t>FY23 Q1</t>
  </si>
  <si>
    <t>FY23 Q2</t>
  </si>
  <si>
    <t>FY23 Q3</t>
  </si>
  <si>
    <t>FY23 Q4</t>
  </si>
  <si>
    <t>NAME</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</si>
  <si>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</si>
  <si>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</si>
  <si>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</si>
  <si>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</si>
  <si>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</si>
  <si>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</si>
  <si>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</si>
  <si>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</si>
  <si>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</si>
  <si>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</si>
  <si>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</si>
  <si>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</si>
  <si>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</si>
  <si>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</si>
  <si>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</si>
  <si>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</si>
  <si>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</si>
  <si>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</si>
  <si>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</si>
  <si>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</si>
  <si>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</si>
  <si>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</si>
  <si>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</si>
  <si>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</si>
  <si>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</si>
  <si>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</si>
  <si>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</si>
  <si>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</si>
  <si>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</si>
  <si>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</si>
  <si>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</si>
  <si>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</si>
  <si>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</si>
  <si>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</si>
  <si>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</si>
  <si>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</si>
  <si>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</si>
  <si>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</si>
  <si>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</si>
  <si>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</si>
  <si>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</si>
  <si>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</si>
  <si>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</si>
  <si>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</si>
  <si>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</si>
  <si>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</si>
  <si>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</si>
  <si>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</si>
  <si>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</si>
  <si>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</si>
  <si>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</si>
  <si>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</si>
  <si>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</si>
  <si>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</si>
  <si>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</si>
  <si>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</si>
  <si>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</si>
  <si>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</si>
  <si>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</si>
  <si>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</si>
  <si>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</si>
  <si>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</si>
  <si>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</si>
  <si>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</si>
  <si>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</si>
  <si>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</si>
  <si>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</si>
  <si>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</si>
  <si>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</si>
  <si>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</si>
  <si>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</si>
  <si>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</si>
  <si>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</si>
  <si>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</si>
  <si>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</si>
  <si>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</si>
  <si>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</si>
  <si>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</si>
  <si>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</si>
  <si>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</si>
  <si>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</si>
  <si>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</si>
  <si>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</si>
  <si>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</si>
  <si>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LABEL</t>
  </si>
  <si>
    <t>CPI--BASELINE SCENARIO (1982-84=1)</t>
  </si>
  <si>
    <t>CPIBASEMA</t>
  </si>
  <si>
    <t>CPI--OPTIMISTIC SCENARIO (1982-84=1)</t>
  </si>
  <si>
    <t>CPIOPTMA</t>
  </si>
  <si>
    <t>CPI--PESSIMISTIC SCENARIO (1982-84=1)</t>
  </si>
  <si>
    <t>CPIPESSMA</t>
  </si>
  <si>
    <t>Rate-to-rate CAF</t>
  </si>
  <si>
    <t>Assumption for Rate Reviews that are to be promulgated  July 1, 2021</t>
  </si>
  <si>
    <t xml:space="preserve">Base period: </t>
  </si>
  <si>
    <t>Average</t>
  </si>
  <si>
    <t xml:space="preserve">Prospective rate period: </t>
  </si>
  <si>
    <t>FY22 and FY23</t>
  </si>
  <si>
    <t>CAF:</t>
  </si>
  <si>
    <t>Median</t>
  </si>
  <si>
    <t>BLS MA</t>
  </si>
  <si>
    <t>Position</t>
  </si>
  <si>
    <t>50th percentile</t>
  </si>
  <si>
    <t>Avg</t>
  </si>
  <si>
    <t>Minimum Education and/or certification</t>
  </si>
  <si>
    <t>C.257 Average</t>
  </si>
  <si>
    <t>Hourly Difference b/w Avg &amp; C.257</t>
  </si>
  <si>
    <t>Direct Care I &amp; II Blend (hourly)</t>
  </si>
  <si>
    <t>Direct Care, Direct Care Blend, Non Specialized DC, Peer mentor, Family Specialist, House Parent</t>
  </si>
  <si>
    <t>High School diploma / GED / State Training</t>
  </si>
  <si>
    <t>Direct Care I &amp; II Blend (annual)</t>
  </si>
  <si>
    <t>Direct Care III (hourly)</t>
  </si>
  <si>
    <t>Direct Care Supervisor, Direct Care Bachelors</t>
  </si>
  <si>
    <t>Bachelors Level or 5+ years related experience</t>
  </si>
  <si>
    <t>Direct Care III (annual)</t>
  </si>
  <si>
    <t>Certified Nursing Assistant  (hourly)</t>
  </si>
  <si>
    <t>Completed a state-approved education program and must pass their state’s competency exam. </t>
  </si>
  <si>
    <t>Certified Nursing Assistant  (annual)</t>
  </si>
  <si>
    <t xml:space="preserve">Case / Social Worker (hourly) </t>
  </si>
  <si>
    <t>BA level social worker, LSW, BSW</t>
  </si>
  <si>
    <t>Bachelors Level or 8+ years related experience</t>
  </si>
  <si>
    <t>N/A</t>
  </si>
  <si>
    <t>Case / Social Worker (annual)</t>
  </si>
  <si>
    <t>Case Manager / Social Worker / Clinical w/o independent License (hourly)</t>
  </si>
  <si>
    <t>LDAC1,  LMSW, LCSW</t>
  </si>
  <si>
    <t>Masters Level</t>
  </si>
  <si>
    <t>Case Manager / Social Worker / Clinical w/o independent License</t>
  </si>
  <si>
    <t>Clinical without Independent Licensure</t>
  </si>
  <si>
    <t>Clinical w/ Independent licensure (hourly)</t>
  </si>
  <si>
    <t>LPHA, LICSW, LMHC, LBHA, BCBA</t>
  </si>
  <si>
    <t xml:space="preserve">Masters with Licensure in Related Discipline </t>
  </si>
  <si>
    <t>Clinical w/ Independent licensure (annual)</t>
  </si>
  <si>
    <t>Clinical Manager (hourly)</t>
  </si>
  <si>
    <t>Clinical Manager, Clinical Director, Supervising Professional</t>
  </si>
  <si>
    <t>Masters with Licensure in Related Discipline and supervising/managerial related experience</t>
  </si>
  <si>
    <t>Clinical Manager (annual)</t>
  </si>
  <si>
    <t>LPN (hourly)</t>
  </si>
  <si>
    <t>Complete a state approved nurse education program for licensed practical or licensed vocation nurse</t>
  </si>
  <si>
    <t>LPN (annual)</t>
  </si>
  <si>
    <t>Registerd Nurse (BA) (hourly)</t>
  </si>
  <si>
    <t>Minimum of an associates degree in nursing, a diploma from an approved nursing program, or a Bachelors of Science in Nursing</t>
  </si>
  <si>
    <t>Registered Nurse (BA) (annual)</t>
  </si>
  <si>
    <t>Registerd Nurse (MA / APRN) (hourly)</t>
  </si>
  <si>
    <t>Minimum of a Masters of Science in one of the APRN roles. Must be licensed</t>
  </si>
  <si>
    <t>Registered Nurse (MA / APRN) (annual)</t>
  </si>
  <si>
    <t>Support and Relief Staff are Benchmarked to Direct Care I &amp; II</t>
  </si>
  <si>
    <t xml:space="preserve">Overnight staff (asleep or awake) bench to $14.25 / hr </t>
  </si>
  <si>
    <t xml:space="preserve">Tax and Fringe  =  </t>
  </si>
  <si>
    <t>FY21 Projected MA Comptroller Rate</t>
  </si>
  <si>
    <t>CAF =</t>
  </si>
  <si>
    <t>Placeholder</t>
  </si>
  <si>
    <t>PFMLA =</t>
  </si>
  <si>
    <t>Admin Allocation</t>
  </si>
  <si>
    <t>C.257 Benchmark</t>
  </si>
  <si>
    <t>Slots:</t>
  </si>
  <si>
    <t>Total Slots</t>
  </si>
  <si>
    <t>Months</t>
  </si>
  <si>
    <t>Clinical Director LICSW</t>
  </si>
  <si>
    <t xml:space="preserve">    Psychiatrist</t>
  </si>
  <si>
    <t xml:space="preserve">    Occupational Therapist </t>
  </si>
  <si>
    <t xml:space="preserve"> </t>
  </si>
  <si>
    <t xml:space="preserve">    Clinicial Care Coordinator (MA Lvl)</t>
  </si>
  <si>
    <t xml:space="preserve">    Direct Care III</t>
  </si>
  <si>
    <t xml:space="preserve">    Young Adult Peer Mentor</t>
  </si>
  <si>
    <t xml:space="preserve">    Direct Care </t>
  </si>
  <si>
    <t xml:space="preserve">    Family Partner</t>
  </si>
  <si>
    <t xml:space="preserve">    Support Staff</t>
  </si>
  <si>
    <t>Benchmark FTEs</t>
  </si>
  <si>
    <t>Model Name:</t>
  </si>
  <si>
    <t>Continuum</t>
  </si>
  <si>
    <t>Capacity:</t>
  </si>
  <si>
    <t>Psychiatric Consultation Services</t>
  </si>
  <si>
    <t>Occupational Therapy Consulting</t>
  </si>
  <si>
    <t xml:space="preserve">    Clinician/Care Coordinator</t>
  </si>
  <si>
    <t>Additional Travel</t>
  </si>
  <si>
    <t>50/50 APRN /Psychiatrist</t>
  </si>
  <si>
    <t>Daily Slot rate</t>
  </si>
  <si>
    <t>Bench to ACCS Outreach Engage 150 sq ft per FTE</t>
  </si>
  <si>
    <t>Bench to current CT Continuum calculated per slot</t>
  </si>
  <si>
    <t>Bench to current CT Continuum calculated per FTE</t>
  </si>
  <si>
    <t>Relief Assumptions</t>
  </si>
  <si>
    <t>S</t>
  </si>
  <si>
    <t>M</t>
  </si>
  <si>
    <t xml:space="preserve">T </t>
  </si>
  <si>
    <t>W</t>
  </si>
  <si>
    <t xml:space="preserve">TH </t>
  </si>
  <si>
    <t>F</t>
  </si>
  <si>
    <t xml:space="preserve">    Clinician (LICSW)</t>
  </si>
  <si>
    <t xml:space="preserve">    Registered Nurse</t>
  </si>
  <si>
    <t>Current CT Continuum $67,965 - this bench to 2018 MA BLS/OES 65/35 OT Therapist/OT Assistants Blend</t>
  </si>
  <si>
    <t>Direct Care (GH)</t>
  </si>
  <si>
    <t xml:space="preserve">    Direct Care (GH)</t>
  </si>
  <si>
    <t xml:space="preserve">    Direct Care (Outreach, Transport &amp; Map)</t>
  </si>
  <si>
    <t xml:space="preserve">    Relief staff</t>
  </si>
  <si>
    <t>total Shifts</t>
  </si>
  <si>
    <t>shift * 8 hours</t>
  </si>
  <si>
    <t>FTE needed</t>
  </si>
  <si>
    <t>Direct Care (Outreach, Transport &amp; Map)</t>
  </si>
  <si>
    <t>hours</t>
  </si>
  <si>
    <t>9 hours a week</t>
  </si>
  <si>
    <t>hours / 40</t>
  </si>
  <si>
    <t>Monthly Program Accommodation rate</t>
  </si>
  <si>
    <t>Occupancy (per bed day)</t>
  </si>
  <si>
    <t>Bench to Youth Residential (DYS)</t>
  </si>
  <si>
    <t>other exp &amp; Add'l travel (ct model)</t>
  </si>
  <si>
    <t>12 hours a week</t>
  </si>
  <si>
    <t>Assumes 4 hours a day 7 days a week</t>
  </si>
  <si>
    <t>.175 = 10 hours a week</t>
  </si>
  <si>
    <t>15 hours a week</t>
  </si>
  <si>
    <t>Direct Care (2 per shift night shift ) = 16hours * 7days = 112 hours per week. Plus 4 Day DC = 448 / 40 hrs per FTE = 14FTEs</t>
  </si>
  <si>
    <t>Assumes 5.5 hours a day 7 days a week</t>
  </si>
  <si>
    <t>MASTER DATA LOOK-UP TABLE</t>
  </si>
  <si>
    <t>Enhanced Foster Care Model Budget</t>
  </si>
  <si>
    <t>Benchmark Salaries</t>
  </si>
  <si>
    <t>Youth</t>
  </si>
  <si>
    <t>Service Days</t>
  </si>
  <si>
    <t>Family Resource Worker</t>
  </si>
  <si>
    <t>11/1/19: Benchmark to BLS Caseworker: Minimum education = BA or 8 years related experience</t>
  </si>
  <si>
    <t>Total FTE</t>
  </si>
  <si>
    <t>DC Supervisor</t>
  </si>
  <si>
    <t>11/1/19: Benchmark to Direct Care III: Minimum education = BA or 5+ years related experience</t>
  </si>
  <si>
    <t>Case Manager</t>
  </si>
  <si>
    <t>11/1/19: Benchmark to BLS CaseManager: Minimum education = Masters (i.e. LMSW)</t>
  </si>
  <si>
    <t xml:space="preserve">11/1/19: Benchmark to Direct Care : Minimum education = HS Diploma / GED / Associates </t>
  </si>
  <si>
    <t>Program Director</t>
  </si>
  <si>
    <t>Benchmark from YITS, 101 CMR 413</t>
  </si>
  <si>
    <t xml:space="preserve"> Capacity: </t>
  </si>
  <si>
    <t>8 clients</t>
  </si>
  <si>
    <t>5 clients</t>
  </si>
  <si>
    <t xml:space="preserve">DCF defined </t>
  </si>
  <si>
    <t xml:space="preserve">Assumes 1 DC Supervisor for every 6 Case Mangers.  </t>
  </si>
  <si>
    <t>Case Manager/Child Care Worker</t>
  </si>
  <si>
    <t xml:space="preserve">Assumes a 1:8 and 1:5 ratio </t>
  </si>
  <si>
    <t>Total Staffing Costs</t>
  </si>
  <si>
    <t>PFLMA Trust Contribution</t>
  </si>
  <si>
    <t>Flex Pool</t>
  </si>
  <si>
    <t>11/1/19 Benchmarked to MA Comptroller FY20</t>
  </si>
  <si>
    <t>Flex Pool`</t>
  </si>
  <si>
    <t>Admin Alloc. (M &amp;G)</t>
  </si>
  <si>
    <t>Benchmark to current rate</t>
  </si>
  <si>
    <t>Total Reimb Excl M &amp; G</t>
  </si>
  <si>
    <t>Consultation (clinical/Behavioral)</t>
  </si>
  <si>
    <t>Flex pool ( provider to maintain pool, amt is not child-specific)</t>
  </si>
  <si>
    <t>FY2019</t>
  </si>
  <si>
    <t xml:space="preserve">Per Service Per day </t>
  </si>
  <si>
    <t>Rate Review CAF (Spring 2019)</t>
  </si>
  <si>
    <t>Prospective period FY21 &amp; FY22</t>
  </si>
  <si>
    <t>Per the Grand Bargain Agreement</t>
  </si>
  <si>
    <t xml:space="preserve">Enhanced Foster Care Stipend </t>
  </si>
  <si>
    <t>FY19 &amp; FY20 DCF Stipend Rate</t>
  </si>
  <si>
    <t>FY21 &amp; FY22 Stipend</t>
  </si>
  <si>
    <t>FY21 &amp; FY22 DCF Stipend Rate</t>
  </si>
  <si>
    <t xml:space="preserve">Average DCF Departmental Stipend </t>
  </si>
  <si>
    <t>Acuity</t>
  </si>
  <si>
    <t>Service</t>
  </si>
  <si>
    <t>Operational</t>
  </si>
  <si>
    <t>Stipend</t>
  </si>
  <si>
    <t>Total Rate</t>
  </si>
  <si>
    <t>Unit</t>
  </si>
  <si>
    <t>Enhanced Intensive Foster Care</t>
  </si>
  <si>
    <t>Per placement day</t>
  </si>
  <si>
    <t>This rate is found in 101 CMR 411:Placement and Shared Living Support Services</t>
  </si>
  <si>
    <t>This rate is effective from July 1, 2020 - June 30, 2022</t>
  </si>
  <si>
    <t>Supported Apartment</t>
  </si>
  <si>
    <t>Supported Apartment          (Hold Harmless)</t>
  </si>
  <si>
    <t>Outreach</t>
  </si>
  <si>
    <t>Staff Apt</t>
  </si>
  <si>
    <t>Sup Apt</t>
  </si>
  <si>
    <t>Apartment</t>
  </si>
  <si>
    <t>Slot</t>
  </si>
  <si>
    <t>Bed days</t>
  </si>
  <si>
    <t>.10 =4hrs wk</t>
  </si>
  <si>
    <t xml:space="preserve">    Peer / Family Mentor</t>
  </si>
  <si>
    <t xml:space="preserve">    Family / Peer Mentor</t>
  </si>
  <si>
    <t xml:space="preserve">    Direct Care (staffed apt)</t>
  </si>
  <si>
    <t xml:space="preserve">    Direct Care (Supported Apt)</t>
  </si>
  <si>
    <t xml:space="preserve">    Direct Care (Outreach)</t>
  </si>
  <si>
    <t xml:space="preserve">    Transition Facilitator / Caseworker</t>
  </si>
  <si>
    <t xml:space="preserve">   Direct Care/ Relief staff</t>
  </si>
  <si>
    <t>Occupancy (per bed day) staffed Apts</t>
  </si>
  <si>
    <t>Other Expenses (staffed Apts)</t>
  </si>
  <si>
    <t>Other Expenses (outreach)</t>
  </si>
  <si>
    <t>Monthly single apt rate</t>
  </si>
  <si>
    <t>Clinician (LICSW)</t>
  </si>
  <si>
    <t xml:space="preserve">CAF </t>
  </si>
  <si>
    <t>Monthly Program Rate</t>
  </si>
  <si>
    <t>Monthly Program rate</t>
  </si>
  <si>
    <t>Clinician w/Independent License</t>
  </si>
  <si>
    <t>Case Manager, Social Worker, Clinician (MA level-not Indep Licensed)</t>
  </si>
  <si>
    <t xml:space="preserve">Therapeutic Group Care  (12 Bed) Model Budget - Includes Outreach
</t>
  </si>
  <si>
    <t xml:space="preserve">Therapeutic Group Care (9 Bed) Model Budget - Includes Outreach
</t>
  </si>
  <si>
    <t xml:space="preserve">Therapeutic Group Care (6 Bed) Model Budget - Includes Outreach
</t>
  </si>
  <si>
    <t>Occupantional Therapist Assistant</t>
  </si>
  <si>
    <t>Intensive Home Based Therapeutic Care Model Budget -  12 slots</t>
  </si>
  <si>
    <t>Intensive Home Based Therapeutic Care Model Budget -  18 slots</t>
  </si>
  <si>
    <t xml:space="preserve">    Direct Care Support Staff</t>
  </si>
  <si>
    <t xml:space="preserve">Young Adult Therapeutic Care  / Staffed Apartments (6 Bed) Model Budget - includes Respite ) 
</t>
  </si>
  <si>
    <t>a/o 5/12/21</t>
  </si>
  <si>
    <t>Source:</t>
  </si>
  <si>
    <t>2017/2018</t>
  </si>
  <si>
    <t>BLS / OES</t>
  </si>
  <si>
    <r>
      <t>Median</t>
    </r>
    <r>
      <rPr>
        <b/>
        <sz val="16"/>
        <color indexed="10"/>
        <rFont val="Calibri"/>
        <family val="2"/>
      </rPr>
      <t xml:space="preserve"> </t>
    </r>
  </si>
  <si>
    <t>Change</t>
  </si>
  <si>
    <t>Common model titles (not all inclusive)</t>
  </si>
  <si>
    <t>Minimum Education and/or certification/Training/Experience</t>
  </si>
  <si>
    <t>Direct Care (hourly)</t>
  </si>
  <si>
    <t>Direct Care, Direct Care Blend, Non Specialized DC, Peer mentor, Family Specialist/ Partner</t>
  </si>
  <si>
    <t>Direct Care  (annual)</t>
  </si>
  <si>
    <t xml:space="preserve">Developmental Specialist, </t>
  </si>
  <si>
    <t>LDAC1</t>
  </si>
  <si>
    <t>LDAC2,  LMSW, LCSW</t>
  </si>
  <si>
    <t>Dietician / Nutritionist (hourly)</t>
  </si>
  <si>
    <t xml:space="preserve">Bachelors Level </t>
  </si>
  <si>
    <t>Dietician / Nutritionist (annual)</t>
  </si>
  <si>
    <t>Program Management (hourly)</t>
  </si>
  <si>
    <t xml:space="preserve">Program manager, management, </t>
  </si>
  <si>
    <t>BA Level w/ 3+ years related work experience</t>
  </si>
  <si>
    <t>Program Management (annual)</t>
  </si>
  <si>
    <t xml:space="preserve"> program director</t>
  </si>
  <si>
    <t>Occupational Therapist (hourly)</t>
  </si>
  <si>
    <t>Occupational Therapists</t>
  </si>
  <si>
    <t>Occupational Therapist (annual)</t>
  </si>
  <si>
    <t>Physical Therapist (hourly)</t>
  </si>
  <si>
    <t>Physical Therapists</t>
  </si>
  <si>
    <t>Physical Therapist (annual)</t>
  </si>
  <si>
    <t>Clinical Manager / Psychologists (hourly)</t>
  </si>
  <si>
    <t>Clinical Manager, Clinical Director, Clinical  Psychologist</t>
  </si>
  <si>
    <t>Clinical Manager /  Psychologists  (annual)</t>
  </si>
  <si>
    <t>Speech Language Pathologists (hourly)</t>
  </si>
  <si>
    <t>Speech Language Pathologists (annual)</t>
  </si>
  <si>
    <t>Clerical, Support &amp; Direct Care Relief Staff are benched to Direct Care</t>
  </si>
  <si>
    <t>Medical Assistant</t>
  </si>
  <si>
    <t>M2020 BLS</t>
  </si>
  <si>
    <t>Legal Advocate</t>
  </si>
  <si>
    <t>Overnight staff (asleep or awake) benchmarked to $14.63 / hr (avg CY22 &amp; CY23)</t>
  </si>
  <si>
    <t>CY21 min. wage = $13.50 and CY22 min. wage = $14.25 and CY23 = $15.00</t>
  </si>
  <si>
    <t xml:space="preserve">Benchmarked to FY21 (proposed) Commonwealth (office of the Comptroller) T&amp;F rate, less </t>
  </si>
  <si>
    <t>Terminal leave, retirement and Paid Family Medical Leave tax (actual FY21 approved was 22.28% )
FY22 Proposed is 21.87% with same parameters as above</t>
  </si>
  <si>
    <t>CURRENT</t>
  </si>
  <si>
    <t>Bench to MA BLS 2020</t>
  </si>
  <si>
    <t xml:space="preserve">    Clinical LICSW</t>
  </si>
  <si>
    <t xml:space="preserve">    Program Management</t>
  </si>
  <si>
    <t>BLS M2020 Benchmark</t>
  </si>
  <si>
    <t>Clinical Director</t>
  </si>
  <si>
    <t>IHS Markit, Fall 2020 Forecast</t>
  </si>
  <si>
    <t>FY20</t>
  </si>
  <si>
    <t>FY21</t>
  </si>
  <si>
    <t>FY22</t>
  </si>
  <si>
    <t>FY23</t>
  </si>
  <si>
    <t>Assumption for Rate Reviews that are to be promulgated  July  1, 2021</t>
  </si>
  <si>
    <t>FY21Q4</t>
  </si>
  <si>
    <t>7/1/21 - 12/31/23</t>
  </si>
  <si>
    <t>(FY22 and FY23)</t>
  </si>
  <si>
    <t>IHS Markit, Fall 2022 Forecast</t>
  </si>
  <si>
    <t>FY24</t>
  </si>
  <si>
    <t>FY25</t>
  </si>
  <si>
    <t>2025Q1</t>
  </si>
  <si>
    <t>2025Q2</t>
  </si>
  <si>
    <t>2025Q3</t>
  </si>
  <si>
    <t>2025Q4</t>
  </si>
  <si>
    <t>2026Q1</t>
  </si>
  <si>
    <t>2026Q2</t>
  </si>
  <si>
    <t>2026Q3</t>
  </si>
  <si>
    <t>2026Q4</t>
  </si>
  <si>
    <t>2027Q1</t>
  </si>
  <si>
    <t>2027Q2</t>
  </si>
  <si>
    <t>2027Q3</t>
  </si>
  <si>
    <t>2027Q4</t>
  </si>
  <si>
    <t>Assumption for Rate Reviews that are to be promulgated July 2023</t>
  </si>
  <si>
    <t>FY23Q4</t>
  </si>
  <si>
    <t>July 1, 2023 - June 30, 2024</t>
  </si>
  <si>
    <t>Change over M2020</t>
  </si>
  <si>
    <r>
      <t>Median</t>
    </r>
    <r>
      <rPr>
        <b/>
        <sz val="20"/>
        <color indexed="10"/>
        <rFont val="Calibri"/>
        <family val="2"/>
      </rPr>
      <t xml:space="preserve"> </t>
    </r>
  </si>
  <si>
    <t>BLS Occupational Code(s)</t>
  </si>
  <si>
    <t>21-1093, 31-1120, 31-2022, 31-9099</t>
  </si>
  <si>
    <t>21-1094, 21-1015, 21-1018, 21-1023, 39-1022</t>
  </si>
  <si>
    <t>31-1131</t>
  </si>
  <si>
    <t>21-1021, 21-1099</t>
  </si>
  <si>
    <t>21-1021, 21-1019, 21-1022, 21-1029</t>
  </si>
  <si>
    <t>29-2061</t>
  </si>
  <si>
    <t>19-3033, 21-1021, 21-1022, 19-3034</t>
  </si>
  <si>
    <t>29-1031</t>
  </si>
  <si>
    <t xml:space="preserve">Program manager, Program management, </t>
  </si>
  <si>
    <t>11-9151</t>
  </si>
  <si>
    <t>Program director</t>
  </si>
  <si>
    <t>29-1129, 31-2011, 29-1122 (25%/25%/50%)</t>
  </si>
  <si>
    <t>29-1129, 31-2021, 29-1123  (20%/20%/60%)</t>
  </si>
  <si>
    <t>Clinical Manager, Clinical Director</t>
  </si>
  <si>
    <t>19-3033, 19-3034</t>
  </si>
  <si>
    <t>29-1129, 29-1127</t>
  </si>
  <si>
    <t>29-1141</t>
  </si>
  <si>
    <t>29-1171</t>
  </si>
  <si>
    <t xml:space="preserve">Tax and Fringe =  </t>
  </si>
  <si>
    <t xml:space="preserve">Terminal leave, and  retirement.  Does include Paid Family Medical Leave tax.
Includes and additional 2% to be used at providers descretion for retirement and/or other benefits
</t>
  </si>
  <si>
    <t>Misc. BLS benchmarks</t>
  </si>
  <si>
    <t>Medical Director</t>
  </si>
  <si>
    <t>Physician Assistants</t>
  </si>
  <si>
    <t>Program Name</t>
  </si>
  <si>
    <t>HCPCS Code/Description</t>
  </si>
  <si>
    <t xml:space="preserve">Youth Residential Substance Use Disorder Treatment                                                        </t>
  </si>
  <si>
    <r>
      <t xml:space="preserve">H0019-HF - Behavioral health; long-term residential (nonmedical, nonacute care in a residential treatment program where stay is typically longer than 30 days), without room and board, </t>
    </r>
    <r>
      <rPr>
        <i/>
        <sz val="11"/>
        <color rgb="FF000000"/>
        <rFont val="Times New Roman"/>
        <family val="1"/>
      </rPr>
      <t>per diem</t>
    </r>
    <r>
      <rPr>
        <sz val="11"/>
        <color rgb="FF000000"/>
        <rFont val="Times New Roman"/>
        <family val="1"/>
      </rPr>
      <t xml:space="preserve"> (residential treatment service for transitional age youth and young adults: youth residential substance use disorder treatment).</t>
    </r>
  </si>
  <si>
    <t>Clinically Intensive Youth Residential Substance Use Disorder Treatment</t>
  </si>
  <si>
    <r>
      <t xml:space="preserve">H0019-HA - Behavioral health; long-term residential (nonmedical, nonacute care in a residential treatment program where stay is typically longer than 30 days), without room and board, </t>
    </r>
    <r>
      <rPr>
        <i/>
        <sz val="11"/>
        <color rgb="FF000000"/>
        <rFont val="Times New Roman"/>
        <family val="1"/>
      </rPr>
      <t>per diem</t>
    </r>
    <r>
      <rPr>
        <sz val="11"/>
        <color rgb="FF000000"/>
        <rFont val="Times New Roman"/>
        <family val="1"/>
      </rPr>
      <t xml:space="preserve"> (residential treatment services for youth: clinically intensive youth residential substance use disorder treatment).</t>
    </r>
  </si>
  <si>
    <t>RESIDENTIAL SERVICES (Formerly known as Caring Together)</t>
  </si>
  <si>
    <t>Program Type</t>
  </si>
  <si>
    <t>Rate per Month</t>
  </si>
  <si>
    <t>STARR</t>
  </si>
  <si>
    <t>Six Beds</t>
  </si>
  <si>
    <t>Nine Beds</t>
  </si>
  <si>
    <t>12 Beds</t>
  </si>
  <si>
    <t>15 Beds</t>
  </si>
  <si>
    <t>Teen Parenting</t>
  </si>
  <si>
    <t>TLP 1:5 (per slot)</t>
  </si>
  <si>
    <t>House Parent (per slot)</t>
  </si>
  <si>
    <t>STEP (per slot)</t>
  </si>
  <si>
    <r>
      <t xml:space="preserve">Rate </t>
    </r>
    <r>
      <rPr>
        <i/>
        <sz val="11"/>
        <color theme="1"/>
        <rFont val="Times New Roman"/>
        <family val="1"/>
      </rPr>
      <t>per Diem</t>
    </r>
  </si>
  <si>
    <t>Group Home</t>
  </si>
  <si>
    <t>Intensive 1:3</t>
  </si>
  <si>
    <t>Group Home 1:4</t>
  </si>
  <si>
    <t>Pre-independent Living</t>
  </si>
  <si>
    <t>Independent Living</t>
  </si>
  <si>
    <t>Enhanced 1:4</t>
  </si>
  <si>
    <t>COMMUNITY-BASED SERVICES (Formerly known as Caring Together)</t>
  </si>
  <si>
    <t>Community Wrap</t>
  </si>
  <si>
    <t>Adjusted GH 1:3</t>
  </si>
  <si>
    <t>Adjusted GH 1:4</t>
  </si>
  <si>
    <t>Follow Along</t>
  </si>
  <si>
    <t>Stepping Out</t>
  </si>
  <si>
    <t>SPECIALTY SERVICES (Formerly known as Caring Together)</t>
  </si>
  <si>
    <r>
      <t>Rate</t>
    </r>
    <r>
      <rPr>
        <i/>
        <sz val="11"/>
        <color theme="1"/>
        <rFont val="Times New Roman"/>
        <family val="1"/>
      </rPr>
      <t xml:space="preserve"> per Diem</t>
    </r>
  </si>
  <si>
    <t xml:space="preserve">Transitional Age Youth: Adult Continuum </t>
  </si>
  <si>
    <t>Transitional Age Youth: Young Adult Group Living Environment</t>
  </si>
  <si>
    <t>Intensive 1:1 Supported Living</t>
  </si>
  <si>
    <t>Intensive 1:2 Group Home</t>
  </si>
  <si>
    <t>Intensive 1:3 Group Home with expanded nursing</t>
  </si>
  <si>
    <t xml:space="preserve">Medically Complex Needs GH, nine beds </t>
  </si>
  <si>
    <t>Medically Complex Needs GH, nine beds with expanded nursing</t>
  </si>
  <si>
    <t xml:space="preserve">Medically Complex Needs GH, six beds </t>
  </si>
  <si>
    <t>Medically Complex Needs GH, six beds with expanded nursing</t>
  </si>
  <si>
    <t xml:space="preserve">Medically Complex Needs GH, 12 beds </t>
  </si>
  <si>
    <t>Medically Complex Needs GH, 12 beds with expanded nursing</t>
  </si>
  <si>
    <t>Transition to IFC Add-on</t>
  </si>
  <si>
    <t>Teen Parenting Emergency Beds Add-on (per day)</t>
  </si>
  <si>
    <t>Teen Parenting Emergency Beds Add-on (per month)</t>
  </si>
  <si>
    <t>Congregate Care Program</t>
  </si>
  <si>
    <t>Clinically Intensive Residential Treatment</t>
  </si>
  <si>
    <t>monthly program rate</t>
  </si>
  <si>
    <t>Community Treatment Residence (Non-QRTP)</t>
  </si>
  <si>
    <t>per bed day</t>
  </si>
  <si>
    <t>Community Treatment Residence (QRTP)</t>
  </si>
  <si>
    <t>Intensive Home Based Therapeutic Care</t>
  </si>
  <si>
    <t>per day per person</t>
  </si>
  <si>
    <t>Emergency Residence</t>
  </si>
  <si>
    <t>Intensive Emergency Residence</t>
  </si>
  <si>
    <t>Intensive Residential Treatment Program,  Co-located</t>
  </si>
  <si>
    <t>Intensive Residential Treatment Program, not co-located</t>
  </si>
  <si>
    <t>Intensive Treatment Residence (Non-QRTP)</t>
  </si>
  <si>
    <t>Intensive Treatment Residence (QRTP)</t>
  </si>
  <si>
    <t xml:space="preserve">Intensive Treatment Residence Emergency Intake – Add-on </t>
  </si>
  <si>
    <t>Medically Complex &amp; Behavioral Residence (Non- QRTP)</t>
  </si>
  <si>
    <t>Medically Complex &amp; Behavioral Residence (QRTP)</t>
  </si>
  <si>
    <t>Medically Complex Residence (Non-QRTP)</t>
  </si>
  <si>
    <t>Medically Complex Residence (QRTP)</t>
  </si>
  <si>
    <t>Specialty Treatment Residence (Commercially Sexually Exploited Children)</t>
  </si>
  <si>
    <t>Specialty Treatment Residence (Non-QRTP)</t>
  </si>
  <si>
    <t>Specialty Treatment Residence (QRTP)</t>
  </si>
  <si>
    <t>Therapeutic Group Care - 6 beds</t>
  </si>
  <si>
    <t>Therapeutic Group Care - 9 beds</t>
  </si>
  <si>
    <t>Therapeutic Group Care - 12 beds</t>
  </si>
  <si>
    <t xml:space="preserve">Young Adult Supported Living </t>
  </si>
  <si>
    <t>Young Adult Therapeutic Care - Outreach</t>
  </si>
  <si>
    <t>daily slot rate</t>
  </si>
  <si>
    <t>Young Adult Therapeutic Care - Staffed Apartments</t>
  </si>
  <si>
    <t>monthly single apt.</t>
  </si>
  <si>
    <t>Young Adult Therapeutic Care - Supported Apartments</t>
  </si>
  <si>
    <t xml:space="preserve">Young Adult Therapeutic Care - Supported Apartments Hold </t>
  </si>
  <si>
    <t>daily rate</t>
  </si>
  <si>
    <t>Young Parent Assessment</t>
  </si>
  <si>
    <t>per assessment</t>
  </si>
  <si>
    <t>Young Parent Living Program</t>
  </si>
  <si>
    <t>monthly bed rate</t>
  </si>
  <si>
    <t>Youth &amp; Young Adult Group Residence</t>
  </si>
  <si>
    <t>Youth &amp; Young Adult Supported Living Community</t>
  </si>
  <si>
    <t>Add-on Rates (Monthly)</t>
  </si>
  <si>
    <t>1.0 FTE</t>
  </si>
  <si>
    <t>0.75 FTE</t>
  </si>
  <si>
    <t>0.50 FTE</t>
  </si>
  <si>
    <t>0.25 FTE</t>
  </si>
  <si>
    <t>Occupational Therapist</t>
  </si>
  <si>
    <t>Occupational Therapist Assistant</t>
  </si>
  <si>
    <t>Case Manager, Social Worker, Clinician (MA level-not Independent Licensed)</t>
  </si>
  <si>
    <t>Social/Caseworker (BA Level)</t>
  </si>
  <si>
    <t>Add-on Rates (Hourly)</t>
  </si>
  <si>
    <t>Nurse Practitioner/APRN</t>
  </si>
  <si>
    <t>Psychologist/Psychiatrist (PhD)</t>
  </si>
  <si>
    <t>Forensic Psychiatrist</t>
  </si>
  <si>
    <t>Other Add-on Rates</t>
  </si>
  <si>
    <t>Canine Therapy</t>
  </si>
  <si>
    <t>$10,000 per dog</t>
  </si>
  <si>
    <t>Extraordinary Circumstances /Flex Funding</t>
  </si>
  <si>
    <t>Individual Consideration (I.C.)</t>
  </si>
  <si>
    <t xml:space="preserve">ADJUDICATED YOUTH RESIDENTIAL TREATMENT ADD-ON RATES </t>
  </si>
  <si>
    <t>Position - Add-on</t>
  </si>
  <si>
    <t>Per Youth, Per Day</t>
  </si>
  <si>
    <t>COMMUNITY SERVICE NETWORK (CSN)/READY</t>
  </si>
  <si>
    <t>Rates are based on region, and reflect per client per enrollment day.</t>
  </si>
  <si>
    <t xml:space="preserve"> Model</t>
  </si>
  <si>
    <t>Rate per Client per Enrollment Day</t>
  </si>
  <si>
    <t>Central Region</t>
  </si>
  <si>
    <t>Metro Boston Region</t>
  </si>
  <si>
    <t>Northeast Region</t>
  </si>
  <si>
    <t>Southeast Region</t>
  </si>
  <si>
    <t>West Region</t>
  </si>
  <si>
    <t>Community Service Network (CSN) Add-on Rates</t>
  </si>
  <si>
    <t>Add-on</t>
  </si>
  <si>
    <t>Occupancy Add-on</t>
  </si>
  <si>
    <t>Monthly</t>
  </si>
  <si>
    <t xml:space="preserve">Youth Service Coordinator Add-on </t>
  </si>
  <si>
    <t xml:space="preserve">Administrative Assistant/Transporter Add-on </t>
  </si>
  <si>
    <t xml:space="preserve">Administrative Assistant / Transporter Add-on </t>
  </si>
  <si>
    <t xml:space="preserve">READY Program </t>
  </si>
  <si>
    <t>Enrolled Day</t>
  </si>
  <si>
    <t>FY23 &amp; FY24</t>
  </si>
  <si>
    <t>2024 Rate Review changes:</t>
  </si>
  <si>
    <t>Updated CAF to 2.78%  Standard Ch. 257</t>
  </si>
  <si>
    <t>53 Percentile</t>
  </si>
  <si>
    <t xml:space="preserve">Benchmarked to FY23 (approved) Commonwealth (office of the Comptroller) T&amp;F rate, less </t>
  </si>
  <si>
    <t>M2021 BLS  Occ Code 29-1071</t>
  </si>
  <si>
    <t>M2021 BLS Occ Code 29-1229 NAICS 622200 (Nat'l)</t>
  </si>
  <si>
    <t>M2021 BLS Occ Code 29-1223 NAICS 622200 (Nat'l)</t>
  </si>
  <si>
    <t>increase over current</t>
  </si>
  <si>
    <t>Updated Tax &amp; Fringe to 25.39 % which includes PFMLA</t>
  </si>
  <si>
    <t>Updated Tax &amp; Fringe to 25.39% which includes PFMLA</t>
  </si>
  <si>
    <t>aprn BLS</t>
  </si>
  <si>
    <t>Psychiatrist BLS</t>
  </si>
  <si>
    <t>Direct Service and Support Staff</t>
  </si>
  <si>
    <t xml:space="preserve">Cost Adjustment Factor </t>
  </si>
  <si>
    <t>Program &amp; Clinical Management Staff</t>
  </si>
  <si>
    <t xml:space="preserve">    Clinical Director LICSW</t>
  </si>
  <si>
    <t>60/40 OT /OT Assistant</t>
  </si>
  <si>
    <t>Medical and Clinical Staff</t>
  </si>
  <si>
    <t>Management Staff</t>
  </si>
  <si>
    <r>
      <t xml:space="preserve">Benchmark Expenses </t>
    </r>
    <r>
      <rPr>
        <u/>
        <sz val="10"/>
        <rFont val="Calibri"/>
        <family val="2"/>
        <scheme val="minor"/>
      </rPr>
      <t>*</t>
    </r>
  </si>
  <si>
    <t xml:space="preserve">    Assistant Program Manager</t>
  </si>
  <si>
    <t>Assistant Program Manager</t>
  </si>
  <si>
    <t>Diret Care Support Staff</t>
  </si>
  <si>
    <t xml:space="preserve">    Program Management </t>
  </si>
  <si>
    <t>Physical Therapists Assistant</t>
  </si>
  <si>
    <t>M2021 BLS  Occ Code 31-2021</t>
  </si>
  <si>
    <t>This plus the LICSW = 1 FTE Prm Mgmt</t>
  </si>
  <si>
    <t>.2 FTE</t>
  </si>
  <si>
    <t>.15 FTE</t>
  </si>
  <si>
    <t>.1 FTE</t>
  </si>
  <si>
    <t>Psychiatry</t>
  </si>
  <si>
    <t>.5 FTE</t>
  </si>
  <si>
    <t>.3 FTE</t>
  </si>
  <si>
    <t>Occupational Therapy</t>
  </si>
  <si>
    <t>.375 FTE</t>
  </si>
  <si>
    <t>.225 FTE</t>
  </si>
  <si>
    <t>Nurse</t>
  </si>
  <si>
    <t>2.19 FTE</t>
  </si>
  <si>
    <t>1.79 FTE</t>
  </si>
  <si>
    <t>1.34 FTE</t>
  </si>
  <si>
    <t>Relief Staff</t>
  </si>
  <si>
    <t>1 FTE</t>
  </si>
  <si>
    <t>.75 FTE</t>
  </si>
  <si>
    <t xml:space="preserve">Flexible Direct Care Staff </t>
  </si>
  <si>
    <t>11.8 FTE</t>
  </si>
  <si>
    <t>9.4 FTE</t>
  </si>
  <si>
    <t>7.4 FTE</t>
  </si>
  <si>
    <t>Direct Care Staff for Milieu</t>
  </si>
  <si>
    <t>2 FTEs</t>
  </si>
  <si>
    <t>1.5 FTE</t>
  </si>
  <si>
    <t>Program Management</t>
  </si>
  <si>
    <t>$$ Chg to rate</t>
  </si>
  <si>
    <t>change</t>
  </si>
  <si>
    <t>FTE for 12 bed model</t>
  </si>
  <si>
    <t xml:space="preserve">Change </t>
  </si>
  <si>
    <t>FTE for 9 bed model</t>
  </si>
  <si>
    <t>FTE for 6 bed model</t>
  </si>
  <si>
    <t>Staff Role</t>
  </si>
  <si>
    <t>.75FTE</t>
  </si>
  <si>
    <t>Direct Care Supervisor (Millieu Mgr)</t>
  </si>
  <si>
    <t xml:space="preserve">    Millieu Manager (DC III)</t>
  </si>
  <si>
    <t>new</t>
  </si>
  <si>
    <t>OT</t>
  </si>
  <si>
    <t>pre PH</t>
  </si>
  <si>
    <t>post PH</t>
  </si>
  <si>
    <t>Utilization Rate</t>
  </si>
  <si>
    <t xml:space="preserve">    Clinical Manager</t>
  </si>
  <si>
    <t>S&amp;P Global Market Intelligence, Fall 2024</t>
  </si>
  <si>
    <t>FY26</t>
  </si>
  <si>
    <t>FY27</t>
  </si>
  <si>
    <t>2028Q1</t>
  </si>
  <si>
    <t>2028Q2</t>
  </si>
  <si>
    <t>2028Q3</t>
  </si>
  <si>
    <t>2028Q4</t>
  </si>
  <si>
    <t>2029Q1</t>
  </si>
  <si>
    <t>2029Q2</t>
  </si>
  <si>
    <t>2029Q3</t>
  </si>
  <si>
    <t>2029Q4</t>
  </si>
  <si>
    <t>2030Q1</t>
  </si>
  <si>
    <t>2030Q2</t>
  </si>
  <si>
    <t>2030Q3</t>
  </si>
  <si>
    <t>2030Q4</t>
  </si>
  <si>
    <t>New Rates</t>
  </si>
  <si>
    <t>Assumption for new rates that are to be promulgated July 1, 2025</t>
  </si>
  <si>
    <t>BASELINE SCENARIO</t>
  </si>
  <si>
    <t xml:space="preserve">FY25 </t>
  </si>
  <si>
    <t>July 1, 2025- June 30, 2027</t>
  </si>
  <si>
    <t>OPTIMISTIC SCENARIO</t>
  </si>
  <si>
    <t xml:space="preserve">
21-1093, 31-1120, 31-2022, 31-9099</t>
  </si>
  <si>
    <t>Developmental Specialist,  Triage Specialist, Medical Assistant</t>
  </si>
  <si>
    <t xml:space="preserve"> 31-1131</t>
  </si>
  <si>
    <t>Assistant Manager</t>
  </si>
  <si>
    <t>Occupational Therapist (hourly) *</t>
  </si>
  <si>
    <t xml:space="preserve">
29-1129, 31-2011, 29-1122 (25%/25%/50%)</t>
  </si>
  <si>
    <t>Occupational Therapist (annual) *</t>
  </si>
  <si>
    <t>Speech Language Pathologists (hourly) *</t>
  </si>
  <si>
    <t xml:space="preserve">
29-1129, 29-1127</t>
  </si>
  <si>
    <t>Speech Language Pathologists (annual) *</t>
  </si>
  <si>
    <t xml:space="preserve">Clerical, Support &amp; Direct Care Relief Staff are benched to Direct Care </t>
  </si>
  <si>
    <t xml:space="preserve">Benchmarked to FY25 (proposed) Commonwealth (office of the Comptroller) T&amp;F rate, less </t>
  </si>
  <si>
    <t>Terminal leave, and  retirement.  Does include Paid Family Medical Leave tax.</t>
  </si>
  <si>
    <t>Psychiatrist *</t>
  </si>
  <si>
    <t>M2021 BLS  NAICS 623200 (Nat'l)   Intellectual and Developmental Disability,   Residential, Mental Health, and Substance Abuse Facilities</t>
  </si>
  <si>
    <t>M2022 BLS  (29-1222 Physicians) National Annual Mean</t>
  </si>
  <si>
    <t>M2022 BLS  Occ Code 29-1071</t>
  </si>
  <si>
    <t>Food Service I</t>
  </si>
  <si>
    <t>Benchmarked to Direct Care</t>
  </si>
  <si>
    <t>Food Service II</t>
  </si>
  <si>
    <t>Average of benchmarks Direct Care and Direct Care III</t>
  </si>
  <si>
    <t>Food Service III</t>
  </si>
  <si>
    <t>Benchmarked to Direct Care III</t>
  </si>
  <si>
    <t>Maintenence I</t>
  </si>
  <si>
    <t>Maintenence II</t>
  </si>
  <si>
    <t>Maintenence III</t>
  </si>
  <si>
    <t>Important Notes</t>
  </si>
  <si>
    <t>*</t>
  </si>
  <si>
    <t>Physical Therapist assistant</t>
  </si>
  <si>
    <t>Proposed FY26 Monthly Rates (1.0 FTE)</t>
  </si>
  <si>
    <t>Proposed FY26 Monthly Rates (0.75FTE)</t>
  </si>
  <si>
    <t>Proposed FY26 Monthly Rates (0.50FTE)</t>
  </si>
  <si>
    <t>Proposed FY26 Monthly Rates (0.25FTE)</t>
  </si>
  <si>
    <t>Proposed FY26 Rates (per hour)</t>
  </si>
  <si>
    <t>Current FY24 Rates (per hour)</t>
  </si>
  <si>
    <t>M2023 BLS  Occ Code 31-2021</t>
  </si>
  <si>
    <t>AREA</t>
  </si>
  <si>
    <t>AREA_TITLE</t>
  </si>
  <si>
    <t>OCC_CODE</t>
  </si>
  <si>
    <t>OCC_TITLE</t>
  </si>
  <si>
    <t>H_MEAN</t>
  </si>
  <si>
    <t>A_MEAN</t>
  </si>
  <si>
    <t>MEAN_PRSE</t>
  </si>
  <si>
    <t>H_PCT10</t>
  </si>
  <si>
    <t>H_PCT25</t>
  </si>
  <si>
    <t>H_MEDIAN</t>
  </si>
  <si>
    <t>H_PCT75</t>
  </si>
  <si>
    <t>H_PCT90</t>
  </si>
  <si>
    <t>H_53rd</t>
  </si>
  <si>
    <t>H_63rd</t>
  </si>
  <si>
    <t>H_30th</t>
  </si>
  <si>
    <t>H_40th</t>
  </si>
  <si>
    <t>25</t>
  </si>
  <si>
    <t>Massachusetts</t>
  </si>
  <si>
    <t>11-0000</t>
  </si>
  <si>
    <t>Management Occupations</t>
  </si>
  <si>
    <t>#</t>
  </si>
  <si>
    <t>11-1021</t>
  </si>
  <si>
    <t>General and Operations Managers</t>
  </si>
  <si>
    <t>11-2011</t>
  </si>
  <si>
    <t>Advertising and Promotions Managers</t>
  </si>
  <si>
    <t>11-2021</t>
  </si>
  <si>
    <t>Marketing Managers</t>
  </si>
  <si>
    <t>11-2022</t>
  </si>
  <si>
    <t>Sales Managers</t>
  </si>
  <si>
    <t>11-2032</t>
  </si>
  <si>
    <t>Public Relations Managers</t>
  </si>
  <si>
    <t>11-2033</t>
  </si>
  <si>
    <t>Fundraising Managers</t>
  </si>
  <si>
    <t>11-3012</t>
  </si>
  <si>
    <t>Administrative Services Managers</t>
  </si>
  <si>
    <t>11-3013</t>
  </si>
  <si>
    <t>Facilities Managers</t>
  </si>
  <si>
    <t>11-3021</t>
  </si>
  <si>
    <t>Computer and Information Systems Managers</t>
  </si>
  <si>
    <t>11-3031</t>
  </si>
  <si>
    <t>Financial Managers</t>
  </si>
  <si>
    <t>11-3051</t>
  </si>
  <si>
    <t>Industrial Production Managers</t>
  </si>
  <si>
    <t>11-3061</t>
  </si>
  <si>
    <t>Purchasing Managers</t>
  </si>
  <si>
    <t>11-3071</t>
  </si>
  <si>
    <t>Transportation, Storage, and Distribution Managers</t>
  </si>
  <si>
    <t>11-3111</t>
  </si>
  <si>
    <t>Compensation and Benefits Managers</t>
  </si>
  <si>
    <t>11-3121</t>
  </si>
  <si>
    <t>Human Resources Managers</t>
  </si>
  <si>
    <t>11-3131</t>
  </si>
  <si>
    <t>Training and Development Managers</t>
  </si>
  <si>
    <t>11-9013</t>
  </si>
  <si>
    <t>Farmers, Ranchers, and Other Agricultural Managers</t>
  </si>
  <si>
    <t>11-9021</t>
  </si>
  <si>
    <t>Construction Managers</t>
  </si>
  <si>
    <t>11-9031</t>
  </si>
  <si>
    <t>Education and Childcare Administrators, Preschool and Daycare</t>
  </si>
  <si>
    <t>11-9032</t>
  </si>
  <si>
    <t>Education Administrators, Kindergarten through Secondary</t>
  </si>
  <si>
    <t>11-9033</t>
  </si>
  <si>
    <t>Education Administrators, Postsecondary</t>
  </si>
  <si>
    <t>11-9039</t>
  </si>
  <si>
    <t>Education Administrators, All Other</t>
  </si>
  <si>
    <t>11-9041</t>
  </si>
  <si>
    <t>Architectural and Engineering Managers</t>
  </si>
  <si>
    <t>11-9051</t>
  </si>
  <si>
    <t>Food Service Managers</t>
  </si>
  <si>
    <t>11-9072</t>
  </si>
  <si>
    <t>Entertainment and Recreation Managers, Except Gambling</t>
  </si>
  <si>
    <t>11-9081</t>
  </si>
  <si>
    <t>Lodging Managers</t>
  </si>
  <si>
    <t>11-9111</t>
  </si>
  <si>
    <t>Medical and Health Services Managers</t>
  </si>
  <si>
    <t>11-9121</t>
  </si>
  <si>
    <t>Natural Sciences Managers</t>
  </si>
  <si>
    <t>11-9131</t>
  </si>
  <si>
    <t>Postmasters and Mail Superintendents</t>
  </si>
  <si>
    <t>11-9141</t>
  </si>
  <si>
    <t>Property, Real Estate, and Community Association Managers</t>
  </si>
  <si>
    <t>Social and Community Service Managers</t>
  </si>
  <si>
    <t>11-9161</t>
  </si>
  <si>
    <t>Emergency Management Directors</t>
  </si>
  <si>
    <t>11-9171</t>
  </si>
  <si>
    <t>Funeral Home Managers</t>
  </si>
  <si>
    <t>11-9179</t>
  </si>
  <si>
    <t>Personal Service Managers, All Other</t>
  </si>
  <si>
    <t>11-9199</t>
  </si>
  <si>
    <t>Managers, All Other</t>
  </si>
  <si>
    <t>13-0000</t>
  </si>
  <si>
    <t>Business and Financial Operations Occupations</t>
  </si>
  <si>
    <t>13-1020</t>
  </si>
  <si>
    <t>Buyers and Purchasing Agents</t>
  </si>
  <si>
    <t>13-1031</t>
  </si>
  <si>
    <t>Claims Adjusters, Examiners, and Investigators</t>
  </si>
  <si>
    <t>13-1032</t>
  </si>
  <si>
    <t>Insurance Appraisers, Auto Damage</t>
  </si>
  <si>
    <t>13-1041</t>
  </si>
  <si>
    <t>Compliance Officers</t>
  </si>
  <si>
    <t>13-1051</t>
  </si>
  <si>
    <t>Cost Estimators</t>
  </si>
  <si>
    <t>13-1071</t>
  </si>
  <si>
    <t>Human Resources Specialists</t>
  </si>
  <si>
    <t>13-1075</t>
  </si>
  <si>
    <t>Labor Relations Specialists</t>
  </si>
  <si>
    <t>13-1081</t>
  </si>
  <si>
    <t>Logisticians</t>
  </si>
  <si>
    <t>13-1082</t>
  </si>
  <si>
    <t>Project Management Specialists</t>
  </si>
  <si>
    <t>13-1111</t>
  </si>
  <si>
    <t>Management Analysts</t>
  </si>
  <si>
    <t>13-1121</t>
  </si>
  <si>
    <t>Meeting, Convention, and Event Planners</t>
  </si>
  <si>
    <t>13-1131</t>
  </si>
  <si>
    <t>Fundraisers</t>
  </si>
  <si>
    <t>13-1141</t>
  </si>
  <si>
    <t>Compensation, Benefits, and Job Analysis Specialists</t>
  </si>
  <si>
    <t>13-1151</t>
  </si>
  <si>
    <t>Training and Development Specialists</t>
  </si>
  <si>
    <t>13-1161</t>
  </si>
  <si>
    <t>Market Research Analysts and Marketing Specialists</t>
  </si>
  <si>
    <t>13-1199</t>
  </si>
  <si>
    <t>Business Operations Specialists, All Other</t>
  </si>
  <si>
    <t>13-2011</t>
  </si>
  <si>
    <t>Accountants and Auditors</t>
  </si>
  <si>
    <t>13-2020</t>
  </si>
  <si>
    <t>Property Appraisers and Assessors</t>
  </si>
  <si>
    <t>13-2031</t>
  </si>
  <si>
    <t>Budget Analysts</t>
  </si>
  <si>
    <t>13-2041</t>
  </si>
  <si>
    <t>Credit Analysts</t>
  </si>
  <si>
    <t>13-2051</t>
  </si>
  <si>
    <t>Financial and Investment Analysts</t>
  </si>
  <si>
    <t>13-2052</t>
  </si>
  <si>
    <t>Personal Financial Advisors</t>
  </si>
  <si>
    <t>13-2053</t>
  </si>
  <si>
    <t>Insurance Underwriters</t>
  </si>
  <si>
    <t>13-2054</t>
  </si>
  <si>
    <t>Financial Risk Specialists</t>
  </si>
  <si>
    <t>13-2061</t>
  </si>
  <si>
    <t>Financial Examiners</t>
  </si>
  <si>
    <t>13-2071</t>
  </si>
  <si>
    <t>Credit Counselors</t>
  </si>
  <si>
    <t>13-2072</t>
  </si>
  <si>
    <t>Loan Officers</t>
  </si>
  <si>
    <t>13-2081</t>
  </si>
  <si>
    <t>Tax Examiners and Collectors, and Revenue Agents</t>
  </si>
  <si>
    <t>13-2082</t>
  </si>
  <si>
    <t>Tax Preparers</t>
  </si>
  <si>
    <t>13-2099</t>
  </si>
  <si>
    <t>Financial Specialists, All Other</t>
  </si>
  <si>
    <t>15-0000</t>
  </si>
  <si>
    <t>Computer and Mathematical Occupations</t>
  </si>
  <si>
    <t>15-1211</t>
  </si>
  <si>
    <t>Computer Systems Analysts</t>
  </si>
  <si>
    <t>15-1212</t>
  </si>
  <si>
    <t>Information Security Analysts</t>
  </si>
  <si>
    <t>15-1221</t>
  </si>
  <si>
    <t>Computer and Information Research Scientists</t>
  </si>
  <si>
    <t>15-1231</t>
  </si>
  <si>
    <t>Computer Network Support Specialists</t>
  </si>
  <si>
    <t>15-1232</t>
  </si>
  <si>
    <t>Computer User Support Specialists</t>
  </si>
  <si>
    <t>15-1241</t>
  </si>
  <si>
    <t>Computer Network Architects</t>
  </si>
  <si>
    <t>15-1242</t>
  </si>
  <si>
    <t>Database Administrators</t>
  </si>
  <si>
    <t>15-1243</t>
  </si>
  <si>
    <t>Database Architects</t>
  </si>
  <si>
    <t>15-1244</t>
  </si>
  <si>
    <t>Network and Computer Systems Administrators</t>
  </si>
  <si>
    <t>15-1251</t>
  </si>
  <si>
    <t>Computer Programmers</t>
  </si>
  <si>
    <t>15-1252</t>
  </si>
  <si>
    <t>Software Developers</t>
  </si>
  <si>
    <t>15-1253</t>
  </si>
  <si>
    <t>Software Quality Assurance Analysts and Testers</t>
  </si>
  <si>
    <t>15-1254</t>
  </si>
  <si>
    <t>Web Developers</t>
  </si>
  <si>
    <t>15-1255</t>
  </si>
  <si>
    <t>Web and Digital Interface Designers</t>
  </si>
  <si>
    <t>15-1299</t>
  </si>
  <si>
    <t>Computer Occupations, All Other</t>
  </si>
  <si>
    <t>15-2011</t>
  </si>
  <si>
    <t>Actuaries</t>
  </si>
  <si>
    <t>15-2031</t>
  </si>
  <si>
    <t>Operations Research Analysts</t>
  </si>
  <si>
    <t>15-2041</t>
  </si>
  <si>
    <t>Statisticians</t>
  </si>
  <si>
    <t>15-2051</t>
  </si>
  <si>
    <t>Data Scientists</t>
  </si>
  <si>
    <t>15-2099</t>
  </si>
  <si>
    <t>Mathematical Science Occupations, All Other</t>
  </si>
  <si>
    <t>17-0000</t>
  </si>
  <si>
    <t>Architecture and Engineering Occupations</t>
  </si>
  <si>
    <t>17-1011</t>
  </si>
  <si>
    <t>Architects, Except Landscape and Naval</t>
  </si>
  <si>
    <t>17-1012</t>
  </si>
  <si>
    <t>Landscape Architects</t>
  </si>
  <si>
    <t>17-1021</t>
  </si>
  <si>
    <t>Cartographers and Photogrammetrists</t>
  </si>
  <si>
    <t>17-1022</t>
  </si>
  <si>
    <t>Surveyors</t>
  </si>
  <si>
    <t>17-2011</t>
  </si>
  <si>
    <t>Aerospace Engineers</t>
  </si>
  <si>
    <t>17-2031</t>
  </si>
  <si>
    <t>Bioengineers and Biomedical Engineers</t>
  </si>
  <si>
    <t>17-2041</t>
  </si>
  <si>
    <t>Chemical Engineers</t>
  </si>
  <si>
    <t>17-2051</t>
  </si>
  <si>
    <t>Civil Engineers</t>
  </si>
  <si>
    <t>17-2061</t>
  </si>
  <si>
    <t>Computer Hardware Engineers</t>
  </si>
  <si>
    <t>17-2071</t>
  </si>
  <si>
    <t>Electrical Engineers</t>
  </si>
  <si>
    <t>17-2072</t>
  </si>
  <si>
    <t>Electronics Engineers, Except Computer</t>
  </si>
  <si>
    <t>17-2081</t>
  </si>
  <si>
    <t>Environmental Engineers</t>
  </si>
  <si>
    <t>17-2111</t>
  </si>
  <si>
    <t>Health and Safety Engineers, Except Mining Safety Engineers and Inspectors</t>
  </si>
  <si>
    <t>17-2112</t>
  </si>
  <si>
    <t>Industrial Engineers</t>
  </si>
  <si>
    <t>17-2121</t>
  </si>
  <si>
    <t>Marine Engineers and Naval Architects</t>
  </si>
  <si>
    <t>17-2131</t>
  </si>
  <si>
    <t>Materials Engineers</t>
  </si>
  <si>
    <t>17-2141</t>
  </si>
  <si>
    <t>Mechanical Engineers</t>
  </si>
  <si>
    <t>17-2199</t>
  </si>
  <si>
    <t>Engineers, All Other</t>
  </si>
  <si>
    <t>17-3011</t>
  </si>
  <si>
    <t>Architectural and Civil Drafters</t>
  </si>
  <si>
    <t>17-3012</t>
  </si>
  <si>
    <t>Electrical and Electronics Drafters</t>
  </si>
  <si>
    <t>17-3013</t>
  </si>
  <si>
    <t>Mechanical Drafters</t>
  </si>
  <si>
    <t>17-3019</t>
  </si>
  <si>
    <t>Drafters, All Other</t>
  </si>
  <si>
    <t>17-3022</t>
  </si>
  <si>
    <t>Civil Engineering Technologists and Technicians</t>
  </si>
  <si>
    <t>17-3023</t>
  </si>
  <si>
    <t>Electrical and Electronic Engineering Technologists and Technicians</t>
  </si>
  <si>
    <t>17-3024</t>
  </si>
  <si>
    <t>Electro-Mechanical and Mechatronics Technologists and Technicians</t>
  </si>
  <si>
    <t>17-3025</t>
  </si>
  <si>
    <t>Environmental Engineering Technologists and Technicians</t>
  </si>
  <si>
    <t>17-3026</t>
  </si>
  <si>
    <t>Industrial Engineering Technologists and Technicians</t>
  </si>
  <si>
    <t>17-3027</t>
  </si>
  <si>
    <t>Mechanical Engineering Technologists and Technicians</t>
  </si>
  <si>
    <t>17-3028</t>
  </si>
  <si>
    <t>Calibration Technologists and Technicians</t>
  </si>
  <si>
    <t>17-3029</t>
  </si>
  <si>
    <t>Engineering Technologists and Technicians, Except Drafters, All Other</t>
  </si>
  <si>
    <t>17-3031</t>
  </si>
  <si>
    <t>Surveying and Mapping Technicians</t>
  </si>
  <si>
    <t>19-0000</t>
  </si>
  <si>
    <t>Life, Physical, and Social Science Occupations</t>
  </si>
  <si>
    <t>19-1012</t>
  </si>
  <si>
    <t>Food Scientists and Technologists</t>
  </si>
  <si>
    <t>19-1013</t>
  </si>
  <si>
    <t>Soil and Plant Scientists</t>
  </si>
  <si>
    <t>19-1021</t>
  </si>
  <si>
    <t>Biochemists and Biophysicists</t>
  </si>
  <si>
    <t>19-1022</t>
  </si>
  <si>
    <t>Microbiologists</t>
  </si>
  <si>
    <t>19-1023</t>
  </si>
  <si>
    <t>Zoologists and Wildlife Biologists</t>
  </si>
  <si>
    <t>19-1029</t>
  </si>
  <si>
    <t>Biological Scientists, All Other</t>
  </si>
  <si>
    <t>19-1031</t>
  </si>
  <si>
    <t>Conservation Scientists</t>
  </si>
  <si>
    <t>19-1032</t>
  </si>
  <si>
    <t>Foresters</t>
  </si>
  <si>
    <t>19-1041</t>
  </si>
  <si>
    <t>Epidemiologists</t>
  </si>
  <si>
    <t>19-1042</t>
  </si>
  <si>
    <t>Medical Scientists, Except Epidemiologists</t>
  </si>
  <si>
    <t>19-1099</t>
  </si>
  <si>
    <t>Life Scientists, All Other</t>
  </si>
  <si>
    <t>19-2011</t>
  </si>
  <si>
    <t>Astronomers</t>
  </si>
  <si>
    <t>19-2012</t>
  </si>
  <si>
    <t>Physicists</t>
  </si>
  <si>
    <t>19-2031</t>
  </si>
  <si>
    <t>Chemists</t>
  </si>
  <si>
    <t>19-2032</t>
  </si>
  <si>
    <t>Materials Scientists</t>
  </si>
  <si>
    <t>19-2041</t>
  </si>
  <si>
    <t>Environmental Scientists and Specialists, Including Health</t>
  </si>
  <si>
    <t>19-2042</t>
  </si>
  <si>
    <t>Geoscientists, Except Hydrologists and Geographers</t>
  </si>
  <si>
    <t>19-2043</t>
  </si>
  <si>
    <t>Hydrologists</t>
  </si>
  <si>
    <t>19-2099</t>
  </si>
  <si>
    <t>Physical Scientists, All Other</t>
  </si>
  <si>
    <t>19-3011</t>
  </si>
  <si>
    <t>Economists</t>
  </si>
  <si>
    <t>19-3033</t>
  </si>
  <si>
    <t>Clinical and Counseling Psychologists</t>
  </si>
  <si>
    <t>19-3034</t>
  </si>
  <si>
    <t>School Psychologists</t>
  </si>
  <si>
    <t>19-3039</t>
  </si>
  <si>
    <t>Psychologists, All Other</t>
  </si>
  <si>
    <t>19-3041</t>
  </si>
  <si>
    <t>Sociologists</t>
  </si>
  <si>
    <t>19-3051</t>
  </si>
  <si>
    <t>Urban and Regional Planners</t>
  </si>
  <si>
    <t>19-3094</t>
  </si>
  <si>
    <t>Political Scientists</t>
  </si>
  <si>
    <t>19-3099</t>
  </si>
  <si>
    <t>Social Scientists and Related Workers, All Other</t>
  </si>
  <si>
    <t>19-4012</t>
  </si>
  <si>
    <t>Agricultural Technicians</t>
  </si>
  <si>
    <t>19-4013</t>
  </si>
  <si>
    <t>Food Science Technicians</t>
  </si>
  <si>
    <t>19-4021</t>
  </si>
  <si>
    <t>Biological Technicians</t>
  </si>
  <si>
    <t>19-4031</t>
  </si>
  <si>
    <t>Chemical Technicians</t>
  </si>
  <si>
    <t>19-4042</t>
  </si>
  <si>
    <t>Environmental Science and Protection Technicians, Including Health</t>
  </si>
  <si>
    <t>19-4043</t>
  </si>
  <si>
    <t>Geological Technicians, Except Hydrologic Technicians</t>
  </si>
  <si>
    <t>19-4061</t>
  </si>
  <si>
    <t>Social Science Research Assistants</t>
  </si>
  <si>
    <t>19-4071</t>
  </si>
  <si>
    <t>Forest and Conservation Technicians</t>
  </si>
  <si>
    <t>19-4092</t>
  </si>
  <si>
    <t>Forensic Science Technicians</t>
  </si>
  <si>
    <t>19-4099</t>
  </si>
  <si>
    <t>Life, Physical, and Social Science Technicians, All Other</t>
  </si>
  <si>
    <t>19-5011</t>
  </si>
  <si>
    <t>Occupational Health and Safety Specialists</t>
  </si>
  <si>
    <t>19-5012</t>
  </si>
  <si>
    <t>Occupational Health and Safety Technicians</t>
  </si>
  <si>
    <t>21-0000</t>
  </si>
  <si>
    <t>Community and Social Service Occupations</t>
  </si>
  <si>
    <t>21-1012</t>
  </si>
  <si>
    <t>Educational, Guidance, and Career Counselors and Advisors</t>
  </si>
  <si>
    <t>21-1013</t>
  </si>
  <si>
    <t>Marriage and Family Therapists</t>
  </si>
  <si>
    <t>21-1015</t>
  </si>
  <si>
    <t>Rehabilitation Counselors</t>
  </si>
  <si>
    <t>21-1018</t>
  </si>
  <si>
    <t>Substance Abuse, Behavioral Disorder, and Mental Health Counselors</t>
  </si>
  <si>
    <t>21-1019</t>
  </si>
  <si>
    <t>Counselors, All Other</t>
  </si>
  <si>
    <t>21-1021</t>
  </si>
  <si>
    <t>Child, Family, and School Social Workers</t>
  </si>
  <si>
    <t>21-1022</t>
  </si>
  <si>
    <t>Healthcare Social Workers</t>
  </si>
  <si>
    <t>21-1023</t>
  </si>
  <si>
    <t>Mental Health and Substance Abuse Social Workers</t>
  </si>
  <si>
    <t>21-1029</t>
  </si>
  <si>
    <t>Social Workers, All Other</t>
  </si>
  <si>
    <t>21-1091</t>
  </si>
  <si>
    <t>Health Education Specialists</t>
  </si>
  <si>
    <t>21-1092</t>
  </si>
  <si>
    <t>Probation Officers and Correctional Treatment Specialists</t>
  </si>
  <si>
    <t>21-1093</t>
  </si>
  <si>
    <t>Social and Human Service Assistants</t>
  </si>
  <si>
    <t>21-1094</t>
  </si>
  <si>
    <t>Community Health Workers</t>
  </si>
  <si>
    <t>21-1099</t>
  </si>
  <si>
    <t>Community and Social Service Specialists, All Other</t>
  </si>
  <si>
    <t>21-2011</t>
  </si>
  <si>
    <t>Clergy</t>
  </si>
  <si>
    <t>21-2099</t>
  </si>
  <si>
    <t>Religious Workers, All Other</t>
  </si>
  <si>
    <t>23-0000</t>
  </si>
  <si>
    <t>Legal Occupations</t>
  </si>
  <si>
    <t>23-1011</t>
  </si>
  <si>
    <t>Lawyers</t>
  </si>
  <si>
    <t>23-1012</t>
  </si>
  <si>
    <t>Judicial Law Clerks</t>
  </si>
  <si>
    <t>23-1021</t>
  </si>
  <si>
    <t>Administrative Law Judges, Adjudicators, and Hearing Officers</t>
  </si>
  <si>
    <t>23-1023</t>
  </si>
  <si>
    <t>Judges, Magistrate Judges, and Magistrates</t>
  </si>
  <si>
    <t>23-2011</t>
  </si>
  <si>
    <t>Paralegals and Legal Assistants</t>
  </si>
  <si>
    <t>23-2093</t>
  </si>
  <si>
    <t>Title Examiners, Abstractors, and Searchers</t>
  </si>
  <si>
    <t>23-2099</t>
  </si>
  <si>
    <t>Legal Support Workers, All Other</t>
  </si>
  <si>
    <t>25-0000</t>
  </si>
  <si>
    <t>Educational Instruction and Library Occupations</t>
  </si>
  <si>
    <t>25-1011</t>
  </si>
  <si>
    <t>Business Teachers, Postsecondary</t>
  </si>
  <si>
    <t>25-1021</t>
  </si>
  <si>
    <t>Computer Science Teachers, Postsecondary</t>
  </si>
  <si>
    <t>25-1022</t>
  </si>
  <si>
    <t>Mathematical Science Teachers, Postsecondary</t>
  </si>
  <si>
    <t>25-1031</t>
  </si>
  <si>
    <t>Architecture Teachers, Postsecondary</t>
  </si>
  <si>
    <t>25-1032</t>
  </si>
  <si>
    <t>Engineering Teachers, Postsecondary</t>
  </si>
  <si>
    <t>25-1041</t>
  </si>
  <si>
    <t>Agricultural Sciences Teachers, Postsecondary</t>
  </si>
  <si>
    <t>25-1042</t>
  </si>
  <si>
    <t>Biological Science Teachers, Postsecondary</t>
  </si>
  <si>
    <t>25-1051</t>
  </si>
  <si>
    <t>Atmospheric, Earth, Marine, and Space Sciences Teachers, Postsecondary</t>
  </si>
  <si>
    <t>25-1052</t>
  </si>
  <si>
    <t>Chemistry Teachers, Postsecondary</t>
  </si>
  <si>
    <t>25-1053</t>
  </si>
  <si>
    <t>Environmental Science Teachers, Postsecondary</t>
  </si>
  <si>
    <t>25-1054</t>
  </si>
  <si>
    <t>Physics Teachers, Postsecondary</t>
  </si>
  <si>
    <t>25-1061</t>
  </si>
  <si>
    <t>Anthropology and Archeology Teachers, Postsecondary</t>
  </si>
  <si>
    <t>25-1062</t>
  </si>
  <si>
    <t>Area, Ethnic, and Cultural Studies Teachers, Postsecondary</t>
  </si>
  <si>
    <t>25-1063</t>
  </si>
  <si>
    <t>Economics Teachers, Postsecondary</t>
  </si>
  <si>
    <t>25-1064</t>
  </si>
  <si>
    <t>Geography Teachers, Postsecondary</t>
  </si>
  <si>
    <t>25-1065</t>
  </si>
  <si>
    <t>Political Science Teachers, Postsecondary</t>
  </si>
  <si>
    <t>25-1066</t>
  </si>
  <si>
    <t>Psychology Teachers, Postsecondary</t>
  </si>
  <si>
    <t>25-1067</t>
  </si>
  <si>
    <t>Sociology Teachers, Postsecondary</t>
  </si>
  <si>
    <t>25-1069</t>
  </si>
  <si>
    <t>Social Sciences Teachers, Postsecondary, All Other</t>
  </si>
  <si>
    <t>25-1071</t>
  </si>
  <si>
    <t>Health Specialties Teachers, Postsecondary</t>
  </si>
  <si>
    <t>25-1072</t>
  </si>
  <si>
    <t>Nursing Instructors and Teachers, Postsecondary</t>
  </si>
  <si>
    <t>25-1081</t>
  </si>
  <si>
    <t>Education Teachers, Postsecondary</t>
  </si>
  <si>
    <t>25-1082</t>
  </si>
  <si>
    <t>Library Science Teachers, Postsecondary</t>
  </si>
  <si>
    <t>25-1111</t>
  </si>
  <si>
    <t>Criminal Justice and Law Enforcement Teachers, Postsecondary</t>
  </si>
  <si>
    <t>25-1112</t>
  </si>
  <si>
    <t>Law Teachers, Postsecondary</t>
  </si>
  <si>
    <t>25-1113</t>
  </si>
  <si>
    <t>Social Work Teachers, Postsecondary</t>
  </si>
  <si>
    <t>25-1121</t>
  </si>
  <si>
    <t>Art, Drama, and Music Teachers, Postsecondary</t>
  </si>
  <si>
    <t>25-1122</t>
  </si>
  <si>
    <t>Communications Teachers, Postsecondary</t>
  </si>
  <si>
    <t>25-1123</t>
  </si>
  <si>
    <t>English Language and Literature Teachers, Postsecondary</t>
  </si>
  <si>
    <t>25-1124</t>
  </si>
  <si>
    <t>Foreign Language and Literature Teachers, Postsecondary</t>
  </si>
  <si>
    <t>25-1125</t>
  </si>
  <si>
    <t>History Teachers, Postsecondary</t>
  </si>
  <si>
    <t>25-1126</t>
  </si>
  <si>
    <t>Philosophy and Religion Teachers, Postsecondary</t>
  </si>
  <si>
    <t>25-1193</t>
  </si>
  <si>
    <t>Recreation and Fitness Studies Teachers, Postsecondary</t>
  </si>
  <si>
    <t>25-1194</t>
  </si>
  <si>
    <t>Career/Technical Education Teachers, Postsecondary</t>
  </si>
  <si>
    <t>25-1199</t>
  </si>
  <si>
    <t>Postsecondary Teachers, All Other</t>
  </si>
  <si>
    <t>25-2011</t>
  </si>
  <si>
    <t>Preschool Teachers, Except Special Education</t>
  </si>
  <si>
    <t>25-2012</t>
  </si>
  <si>
    <t>Kindergarten Teachers, Except Special Education</t>
  </si>
  <si>
    <t>25-2021</t>
  </si>
  <si>
    <t>Elementary School Teachers, Except Special Education</t>
  </si>
  <si>
    <t>25-2022</t>
  </si>
  <si>
    <t>Middle School Teachers, Except Special and Career/Technical Education</t>
  </si>
  <si>
    <t>25-2023</t>
  </si>
  <si>
    <t>Career/Technical Education Teachers, Middle School</t>
  </si>
  <si>
    <t>25-2031</t>
  </si>
  <si>
    <t>Secondary School Teachers, Except Special and Career/Technical Education</t>
  </si>
  <si>
    <t>25-2032</t>
  </si>
  <si>
    <t>Career/Technical Education Teachers, Secondary School</t>
  </si>
  <si>
    <t>25-2051</t>
  </si>
  <si>
    <t>Special Education Teachers, Preschool</t>
  </si>
  <si>
    <t>25-2052</t>
  </si>
  <si>
    <t>Special Education Teachers, Kindergarten and Elementary School</t>
  </si>
  <si>
    <t>25-2057</t>
  </si>
  <si>
    <t>Special Education Teachers, Middle School</t>
  </si>
  <si>
    <t>25-2058</t>
  </si>
  <si>
    <t>Special Education Teachers, Secondary School</t>
  </si>
  <si>
    <t>25-2059</t>
  </si>
  <si>
    <t>Special Education Teachers, All Other</t>
  </si>
  <si>
    <t>25-3011</t>
  </si>
  <si>
    <t>Adult Basic Education, Adult Secondary Education, and English as a Second Language Instructors</t>
  </si>
  <si>
    <t>25-3021</t>
  </si>
  <si>
    <t>Self-Enrichment Teachers</t>
  </si>
  <si>
    <t>25-3031</t>
  </si>
  <si>
    <t>Substitute Teachers, Short-Term</t>
  </si>
  <si>
    <t>25-3041</t>
  </si>
  <si>
    <t>Tutors</t>
  </si>
  <si>
    <t>25-3099</t>
  </si>
  <si>
    <t>Teachers and Instructors, All Other</t>
  </si>
  <si>
    <t>25-4011</t>
  </si>
  <si>
    <t>Archivists</t>
  </si>
  <si>
    <t>25-4012</t>
  </si>
  <si>
    <t>Curators</t>
  </si>
  <si>
    <t>25-4013</t>
  </si>
  <si>
    <t>Museum Technicians and Conservators</t>
  </si>
  <si>
    <t>25-4022</t>
  </si>
  <si>
    <t>Librarians and Media Collections Specialists</t>
  </si>
  <si>
    <t>25-4031</t>
  </si>
  <si>
    <t>Library Technicians</t>
  </si>
  <si>
    <t>25-9031</t>
  </si>
  <si>
    <t>Instructional Coordinators</t>
  </si>
  <si>
    <t>25-9044</t>
  </si>
  <si>
    <t>Teaching Assistants, Postsecondary</t>
  </si>
  <si>
    <t>25-9045</t>
  </si>
  <si>
    <t>Teaching Assistants, Except Postsecondary</t>
  </si>
  <si>
    <t>25-9099</t>
  </si>
  <si>
    <t>Educational Instruction and Library Workers, All Other</t>
  </si>
  <si>
    <t>27-0000</t>
  </si>
  <si>
    <t>Arts, Design, Entertainment, Sports, and Media Occupations</t>
  </si>
  <si>
    <t>27-1011</t>
  </si>
  <si>
    <t>Art Directors</t>
  </si>
  <si>
    <t>27-1012</t>
  </si>
  <si>
    <t>Craft Artists</t>
  </si>
  <si>
    <t>27-1013</t>
  </si>
  <si>
    <t>Fine Artists, Including Painters, Sculptors, and Illustrators</t>
  </si>
  <si>
    <t>27-1014</t>
  </si>
  <si>
    <t>Special Effects Artists and Animators</t>
  </si>
  <si>
    <t>27-1019</t>
  </si>
  <si>
    <t>Artists and Related Workers, All Other</t>
  </si>
  <si>
    <t>27-1021</t>
  </si>
  <si>
    <t>Commercial and Industrial Designers</t>
  </si>
  <si>
    <t>27-1022</t>
  </si>
  <si>
    <t>Fashion Designers</t>
  </si>
  <si>
    <t>27-1023</t>
  </si>
  <si>
    <t>Floral Designers</t>
  </si>
  <si>
    <t>27-1024</t>
  </si>
  <si>
    <t>Graphic Designers</t>
  </si>
  <si>
    <t>27-1025</t>
  </si>
  <si>
    <t>Interior Designers</t>
  </si>
  <si>
    <t>27-1026</t>
  </si>
  <si>
    <t>Merchandise Displayers and Window Trimmers</t>
  </si>
  <si>
    <t>27-1027</t>
  </si>
  <si>
    <t>Set and Exhibit Designers</t>
  </si>
  <si>
    <t>27-2011</t>
  </si>
  <si>
    <t>Actors</t>
  </si>
  <si>
    <t>27-2012</t>
  </si>
  <si>
    <t>Producers and Directors</t>
  </si>
  <si>
    <t>27-2021</t>
  </si>
  <si>
    <t>Athletes and Sports Competitors</t>
  </si>
  <si>
    <t>27-2022</t>
  </si>
  <si>
    <t>Coaches and Scouts</t>
  </si>
  <si>
    <t>27-2023</t>
  </si>
  <si>
    <t>Umpires, Referees, and Other Sports Officials</t>
  </si>
  <si>
    <t>27-2041</t>
  </si>
  <si>
    <t>Music Directors and Composers</t>
  </si>
  <si>
    <t>27-2042</t>
  </si>
  <si>
    <t>Musicians and Singers</t>
  </si>
  <si>
    <t>27-3011</t>
  </si>
  <si>
    <t>Broadcast Announcers and Radio Disc Jockeys</t>
  </si>
  <si>
    <t>27-3023</t>
  </si>
  <si>
    <t>News Analysts, Reporters, and Journalists</t>
  </si>
  <si>
    <t>27-3031</t>
  </si>
  <si>
    <t>Public Relations Specialists</t>
  </si>
  <si>
    <t>27-3041</t>
  </si>
  <si>
    <t>Editors</t>
  </si>
  <si>
    <t>27-3042</t>
  </si>
  <si>
    <t>Technical Writers</t>
  </si>
  <si>
    <t>27-3043</t>
  </si>
  <si>
    <t>Writers and Authors</t>
  </si>
  <si>
    <t>27-3091</t>
  </si>
  <si>
    <t>Interpreters and Translators</t>
  </si>
  <si>
    <t>27-3092</t>
  </si>
  <si>
    <t>Court Reporters and Simultaneous Captioners</t>
  </si>
  <si>
    <t>27-3099</t>
  </si>
  <si>
    <t>Media and Communication Workers, All Other</t>
  </si>
  <si>
    <t>27-4011</t>
  </si>
  <si>
    <t>Audio and Video Technicians</t>
  </si>
  <si>
    <t>27-4012</t>
  </si>
  <si>
    <t>Broadcast Technicians</t>
  </si>
  <si>
    <t>27-4014</t>
  </si>
  <si>
    <t>Sound Engineering Technicians</t>
  </si>
  <si>
    <t>27-4015</t>
  </si>
  <si>
    <t>Lighting Technicians</t>
  </si>
  <si>
    <t>27-4021</t>
  </si>
  <si>
    <t>Photographers</t>
  </si>
  <si>
    <t>27-4031</t>
  </si>
  <si>
    <t>Camera Operators, Television, Video, and Film</t>
  </si>
  <si>
    <t>27-4032</t>
  </si>
  <si>
    <t>Film and Video Editors</t>
  </si>
  <si>
    <t>27-4099</t>
  </si>
  <si>
    <t>Media and Communication Equipment Workers, All Other</t>
  </si>
  <si>
    <t>29-0000</t>
  </si>
  <si>
    <t>Healthcare Practitioners and Technical Occupations</t>
  </si>
  <si>
    <t>29-1011</t>
  </si>
  <si>
    <t>Chiropractors</t>
  </si>
  <si>
    <t>29-1021</t>
  </si>
  <si>
    <t>Dentists, General</t>
  </si>
  <si>
    <t>29-1022</t>
  </si>
  <si>
    <t>Oral and Maxillofacial Surgeons</t>
  </si>
  <si>
    <t>29-1029</t>
  </si>
  <si>
    <t>Dentists, All Other Specialists</t>
  </si>
  <si>
    <t>Dietitians and Nutritionists</t>
  </si>
  <si>
    <t>29-1041</t>
  </si>
  <si>
    <t>Optometrists</t>
  </si>
  <si>
    <t>29-1051</t>
  </si>
  <si>
    <t>Pharmacists</t>
  </si>
  <si>
    <t>29-1071</t>
  </si>
  <si>
    <t>29-1081</t>
  </si>
  <si>
    <t>Podiatrists</t>
  </si>
  <si>
    <t>29-1122</t>
  </si>
  <si>
    <t>29-1123</t>
  </si>
  <si>
    <t>29-1124</t>
  </si>
  <si>
    <t>Radiation Therapists</t>
  </si>
  <si>
    <t>29-1125</t>
  </si>
  <si>
    <t>Recreational Therapists</t>
  </si>
  <si>
    <t>29-1126</t>
  </si>
  <si>
    <t>Respiratory Therapists</t>
  </si>
  <si>
    <t>29-1127</t>
  </si>
  <si>
    <t>Speech-Language Pathologists</t>
  </si>
  <si>
    <t>29-1128</t>
  </si>
  <si>
    <t>Exercise Physiologists</t>
  </si>
  <si>
    <t>29-1129</t>
  </si>
  <si>
    <t>Therapists, All Other</t>
  </si>
  <si>
    <t>29-1131</t>
  </si>
  <si>
    <t>Veterinarians</t>
  </si>
  <si>
    <t>Registered Nurses</t>
  </si>
  <si>
    <t>29-1151</t>
  </si>
  <si>
    <t>Nurse Anesthetists</t>
  </si>
  <si>
    <t>29-1161</t>
  </si>
  <si>
    <t>Nurse Midwives</t>
  </si>
  <si>
    <t>Nurse Practitioners</t>
  </si>
  <si>
    <t>29-1181</t>
  </si>
  <si>
    <t>Audiologists</t>
  </si>
  <si>
    <t>29-1211</t>
  </si>
  <si>
    <t>Anesthesiologists</t>
  </si>
  <si>
    <t>29-1212</t>
  </si>
  <si>
    <t>Cardiologists</t>
  </si>
  <si>
    <t>29-1213</t>
  </si>
  <si>
    <t>Dermatologists</t>
  </si>
  <si>
    <t>29-1214</t>
  </si>
  <si>
    <t>Emergency Medicine Physicians</t>
  </si>
  <si>
    <t>29-1215</t>
  </si>
  <si>
    <t>Family Medicine Physicians</t>
  </si>
  <si>
    <t>29-1216</t>
  </si>
  <si>
    <t>General Internal Medicine Physicians</t>
  </si>
  <si>
    <t>29-1217</t>
  </si>
  <si>
    <t>Neurologists</t>
  </si>
  <si>
    <t>29-1218</t>
  </si>
  <si>
    <t>Obstetricians and Gynecologists</t>
  </si>
  <si>
    <t>29-1221</t>
  </si>
  <si>
    <t>Pediatricians, General</t>
  </si>
  <si>
    <t>29-1222</t>
  </si>
  <si>
    <t>Physicians, Pathologists</t>
  </si>
  <si>
    <t>29-1223</t>
  </si>
  <si>
    <t>Psychiatrists</t>
  </si>
  <si>
    <t>29-1224</t>
  </si>
  <si>
    <t>Radiologists</t>
  </si>
  <si>
    <t>29-1229</t>
  </si>
  <si>
    <t>Physicians, All Other</t>
  </si>
  <si>
    <t>29-1241</t>
  </si>
  <si>
    <t>Ophthalmologists, Except Pediatric</t>
  </si>
  <si>
    <t>29-1249</t>
  </si>
  <si>
    <t>Surgeons, All Other</t>
  </si>
  <si>
    <t>29-1292</t>
  </si>
  <si>
    <t>Dental Hygienists</t>
  </si>
  <si>
    <t>29-1299</t>
  </si>
  <si>
    <t>Healthcare Diagnosing or Treating Practitioners, All Other</t>
  </si>
  <si>
    <t>29-2010</t>
  </si>
  <si>
    <t>Clinical Laboratory Technologists and Technicians</t>
  </si>
  <si>
    <t>29-2031</t>
  </si>
  <si>
    <t>Cardiovascular Technologists and Technicians</t>
  </si>
  <si>
    <t>29-2032</t>
  </si>
  <si>
    <t>Diagnostic Medical Sonographers</t>
  </si>
  <si>
    <t>29-2033</t>
  </si>
  <si>
    <t>Nuclear Medicine Technologists</t>
  </si>
  <si>
    <t>29-2034</t>
  </si>
  <si>
    <t>Radiologic Technologists and Technicians</t>
  </si>
  <si>
    <t>29-2035</t>
  </si>
  <si>
    <t>Magnetic Resonance Imaging Technologists</t>
  </si>
  <si>
    <t>29-2036</t>
  </si>
  <si>
    <t>Medical Dosimetrists</t>
  </si>
  <si>
    <t>29-2042</t>
  </si>
  <si>
    <t>Emergency Medical Technicians</t>
  </si>
  <si>
    <t>29-2043</t>
  </si>
  <si>
    <t>Paramedics</t>
  </si>
  <si>
    <t>29-2051</t>
  </si>
  <si>
    <t>Dietetic Technicians</t>
  </si>
  <si>
    <t>29-2052</t>
  </si>
  <si>
    <t>Pharmacy Technicians</t>
  </si>
  <si>
    <t>29-2053</t>
  </si>
  <si>
    <t>Psychiatric Technicians</t>
  </si>
  <si>
    <t>29-2055</t>
  </si>
  <si>
    <t>Surgical Technologists</t>
  </si>
  <si>
    <t>29-2056</t>
  </si>
  <si>
    <t>Veterinary Technologists and Technicians</t>
  </si>
  <si>
    <t>29-2057</t>
  </si>
  <si>
    <t>Ophthalmic Medical Technicians</t>
  </si>
  <si>
    <t>Licensed Practical and Licensed Vocational Nurses</t>
  </si>
  <si>
    <t>29-2072</t>
  </si>
  <si>
    <t>Medical Records Specialists</t>
  </si>
  <si>
    <t>29-2081</t>
  </si>
  <si>
    <t>Opticians, Dispensing</t>
  </si>
  <si>
    <t>29-2091</t>
  </si>
  <si>
    <t>Orthotists and Prosthetists</t>
  </si>
  <si>
    <t>29-2092</t>
  </si>
  <si>
    <t>Hearing Aid Specialists</t>
  </si>
  <si>
    <t>29-2099</t>
  </si>
  <si>
    <t>Health Technologists and Technicians, All Other</t>
  </si>
  <si>
    <t>29-9021</t>
  </si>
  <si>
    <t>Health Information Technologists and Medical Registrars</t>
  </si>
  <si>
    <t>29-9091</t>
  </si>
  <si>
    <t>Athletic Trainers</t>
  </si>
  <si>
    <t>29-9092</t>
  </si>
  <si>
    <t>Genetic Counselors</t>
  </si>
  <si>
    <t>29-9093</t>
  </si>
  <si>
    <t>Surgical Assistants</t>
  </si>
  <si>
    <t>29-9099</t>
  </si>
  <si>
    <t>Healthcare Practitioners and Technical Workers, All Other</t>
  </si>
  <si>
    <t>31-0000</t>
  </si>
  <si>
    <t>Healthcare Support Occupations</t>
  </si>
  <si>
    <t>31-1120</t>
  </si>
  <si>
    <t>Home Health and Personal Care Aides</t>
  </si>
  <si>
    <t>Nursing Assistants</t>
  </si>
  <si>
    <t>31-1132</t>
  </si>
  <si>
    <t>Orderlies</t>
  </si>
  <si>
    <t>31-1133</t>
  </si>
  <si>
    <t>Psychiatric Aides</t>
  </si>
  <si>
    <t>31-2011</t>
  </si>
  <si>
    <t>Occupational Therapy Assistants</t>
  </si>
  <si>
    <t>31-2012</t>
  </si>
  <si>
    <t>Occupational Therapy Aides</t>
  </si>
  <si>
    <t>31-2021</t>
  </si>
  <si>
    <t>Physical Therapist Assistants</t>
  </si>
  <si>
    <t>31-2022</t>
  </si>
  <si>
    <t>Physical Therapist Aides</t>
  </si>
  <si>
    <t>31-9011</t>
  </si>
  <si>
    <t>Massage Therapists</t>
  </si>
  <si>
    <t>31-9091</t>
  </si>
  <si>
    <t>Dental Assistants</t>
  </si>
  <si>
    <t>31-9092</t>
  </si>
  <si>
    <t>Medical Assistants</t>
  </si>
  <si>
    <t>31-9093</t>
  </si>
  <si>
    <t>Medical Equipment Preparers</t>
  </si>
  <si>
    <t>31-9094</t>
  </si>
  <si>
    <t>Medical Transcriptionists</t>
  </si>
  <si>
    <t>31-9095</t>
  </si>
  <si>
    <t>Pharmacy Aides</t>
  </si>
  <si>
    <t>31-9096</t>
  </si>
  <si>
    <t>Veterinary Assistants and Laboratory Animal Caretakers</t>
  </si>
  <si>
    <t>31-9097</t>
  </si>
  <si>
    <t>Phlebotomists</t>
  </si>
  <si>
    <t>31-9099</t>
  </si>
  <si>
    <t>Healthcare Support Workers, All Other</t>
  </si>
  <si>
    <t>33-0000</t>
  </si>
  <si>
    <t>Protective Service Occupations</t>
  </si>
  <si>
    <t>33-1011</t>
  </si>
  <si>
    <t>First-Line Supervisors of Correctional Officers</t>
  </si>
  <si>
    <t>33-1012</t>
  </si>
  <si>
    <t>First-Line Supervisors of Police and Detectives</t>
  </si>
  <si>
    <t>33-1021</t>
  </si>
  <si>
    <t>First-Line Supervisors of Firefighting and Prevention Workers</t>
  </si>
  <si>
    <t>33-1091</t>
  </si>
  <si>
    <t>First-Line Supervisors of Security Workers</t>
  </si>
  <si>
    <t>33-1099</t>
  </si>
  <si>
    <t>First-Line Supervisors of Protective Service Workers, All Other</t>
  </si>
  <si>
    <t>33-2011</t>
  </si>
  <si>
    <t>Firefighters</t>
  </si>
  <si>
    <t>33-2021</t>
  </si>
  <si>
    <t>Fire Inspectors and Investigators</t>
  </si>
  <si>
    <t>33-3011</t>
  </si>
  <si>
    <t>Bailiffs</t>
  </si>
  <si>
    <t>33-3012</t>
  </si>
  <si>
    <t>Correctional Officers and Jailers</t>
  </si>
  <si>
    <t>33-3021</t>
  </si>
  <si>
    <t>Detectives and Criminal Investigators</t>
  </si>
  <si>
    <t>33-3041</t>
  </si>
  <si>
    <t>Parking Enforcement Workers</t>
  </si>
  <si>
    <t>33-3051</t>
  </si>
  <si>
    <t>Police and Sheriff's Patrol Officers</t>
  </si>
  <si>
    <t>33-9011</t>
  </si>
  <si>
    <t>Animal Control Workers</t>
  </si>
  <si>
    <t>33-9021</t>
  </si>
  <si>
    <t>Private Detectives and Investigators</t>
  </si>
  <si>
    <t>33-9031</t>
  </si>
  <si>
    <t>Gambling Surveillance Officers and Gambling Investigators</t>
  </si>
  <si>
    <t>33-9032</t>
  </si>
  <si>
    <t>Security Guards</t>
  </si>
  <si>
    <t>33-9091</t>
  </si>
  <si>
    <t>Crossing Guards and Flaggers</t>
  </si>
  <si>
    <t>33-9092</t>
  </si>
  <si>
    <t>Lifeguards, Ski Patrol, and Other Recreational Protective Service Workers</t>
  </si>
  <si>
    <t>33-9093</t>
  </si>
  <si>
    <t>Transportation Security Screeners</t>
  </si>
  <si>
    <t>33-9094</t>
  </si>
  <si>
    <t>School Bus Monitors</t>
  </si>
  <si>
    <t>33-9099</t>
  </si>
  <si>
    <t>Protective Service Workers, All Other</t>
  </si>
  <si>
    <t>35-0000</t>
  </si>
  <si>
    <t>Food Preparation and Serving Related Occupations</t>
  </si>
  <si>
    <t>35-1011</t>
  </si>
  <si>
    <t>Chefs and Head Cooks</t>
  </si>
  <si>
    <t>35-1012</t>
  </si>
  <si>
    <t>First-Line Supervisors of Food Preparation and Serving Workers</t>
  </si>
  <si>
    <t>35-2011</t>
  </si>
  <si>
    <t>Cooks, Fast Food</t>
  </si>
  <si>
    <t>35-2012</t>
  </si>
  <si>
    <t>Cooks, Institution and Cafeteria</t>
  </si>
  <si>
    <t>35-2014</t>
  </si>
  <si>
    <t>Cooks, Restaurant</t>
  </si>
  <si>
    <t>35-2015</t>
  </si>
  <si>
    <t>Cooks, Short Order</t>
  </si>
  <si>
    <t>35-2019</t>
  </si>
  <si>
    <t>Cooks, All Other</t>
  </si>
  <si>
    <t>35-2021</t>
  </si>
  <si>
    <t>Food Preparation Workers</t>
  </si>
  <si>
    <t>35-3011</t>
  </si>
  <si>
    <t>Bartenders</t>
  </si>
  <si>
    <t>35-3023</t>
  </si>
  <si>
    <t>Fast Food and Counter Workers</t>
  </si>
  <si>
    <t>35-3031</t>
  </si>
  <si>
    <t>Waiters and Waitresses</t>
  </si>
  <si>
    <t>35-3041</t>
  </si>
  <si>
    <t>Food Servers, Nonrestaurant</t>
  </si>
  <si>
    <t>35-9011</t>
  </si>
  <si>
    <t>Dining Room and Cafeteria Attendants and Bartender Helpers</t>
  </si>
  <si>
    <t>35-9021</t>
  </si>
  <si>
    <t>Dishwashers</t>
  </si>
  <si>
    <t>35-9031</t>
  </si>
  <si>
    <t>Hosts and Hostesses, Restaurant, Lounge, and Coffee Shop</t>
  </si>
  <si>
    <t>37-0000</t>
  </si>
  <si>
    <t>Building and Grounds Cleaning and Maintenance Occupations</t>
  </si>
  <si>
    <t>37-1011</t>
  </si>
  <si>
    <t>First-Line Supervisors of Housekeeping and Janitorial Workers</t>
  </si>
  <si>
    <t>37-1012</t>
  </si>
  <si>
    <t>First-Line Supervisors of Landscaping, Lawn Service, and Groundskeeping Workers</t>
  </si>
  <si>
    <t>37-2011</t>
  </si>
  <si>
    <t>Janitors and Cleaners, Except Maids and Housekeeping Cleaners</t>
  </si>
  <si>
    <t>37-2012</t>
  </si>
  <si>
    <t>Maids and Housekeeping Cleaners</t>
  </si>
  <si>
    <t>37-2021</t>
  </si>
  <si>
    <t>Pest Control Workers</t>
  </si>
  <si>
    <t>37-3011</t>
  </si>
  <si>
    <t>Landscaping and Groundskeeping Workers</t>
  </si>
  <si>
    <t>37-3012</t>
  </si>
  <si>
    <t>Pesticide Handlers, Sprayers, and Applicators, Vegetation</t>
  </si>
  <si>
    <t>37-3019</t>
  </si>
  <si>
    <t>Grounds Maintenance Workers, All Other</t>
  </si>
  <si>
    <t>39-0000</t>
  </si>
  <si>
    <t>Personal Care and Service Occupations</t>
  </si>
  <si>
    <t>39-1013</t>
  </si>
  <si>
    <t>First-Line Supervisors of Gambling Services Workers</t>
  </si>
  <si>
    <t>39-1014</t>
  </si>
  <si>
    <t>First-Line Supervisors of Entertainment and Recreation Workers, Except Gambling Services</t>
  </si>
  <si>
    <t>39-1022</t>
  </si>
  <si>
    <t>First-Line Supervisors of Personal Service Workers</t>
  </si>
  <si>
    <t>39-2011</t>
  </si>
  <si>
    <t>Animal Trainers</t>
  </si>
  <si>
    <t>39-2021</t>
  </si>
  <si>
    <t>Animal Caretakers</t>
  </si>
  <si>
    <t>39-3031</t>
  </si>
  <si>
    <t>Ushers, Lobby Attendants, and Ticket Takers</t>
  </si>
  <si>
    <t>39-3091</t>
  </si>
  <si>
    <t>Amusement and Recreation Attendants</t>
  </si>
  <si>
    <t>39-3092</t>
  </si>
  <si>
    <t>Costume Attendants</t>
  </si>
  <si>
    <t>39-3093</t>
  </si>
  <si>
    <t>Locker Room, Coatroom, and Dressing Room Attendants</t>
  </si>
  <si>
    <t>39-4021</t>
  </si>
  <si>
    <t>Funeral Attendants</t>
  </si>
  <si>
    <t>39-4031</t>
  </si>
  <si>
    <t>Morticians, Undertakers, and Funeral Arrangers</t>
  </si>
  <si>
    <t>39-5012</t>
  </si>
  <si>
    <t>Hairdressers, Hairstylists, and Cosmetologists</t>
  </si>
  <si>
    <t>39-5092</t>
  </si>
  <si>
    <t>Manicurists and Pedicurists</t>
  </si>
  <si>
    <t>39-5094</t>
  </si>
  <si>
    <t>Skincare Specialists</t>
  </si>
  <si>
    <t>39-6011</t>
  </si>
  <si>
    <t>Baggage Porters and Bellhops</t>
  </si>
  <si>
    <t>39-6012</t>
  </si>
  <si>
    <t>Concierges</t>
  </si>
  <si>
    <t>39-7010</t>
  </si>
  <si>
    <t>Tour and Travel Guides</t>
  </si>
  <si>
    <t>39-9011</t>
  </si>
  <si>
    <t>Childcare Workers</t>
  </si>
  <si>
    <t>39-9031</t>
  </si>
  <si>
    <t>Exercise Trainers and Group Fitness Instructors</t>
  </si>
  <si>
    <t>39-9032</t>
  </si>
  <si>
    <t>Recreation Workers</t>
  </si>
  <si>
    <t>39-9041</t>
  </si>
  <si>
    <t>Residential Advisors</t>
  </si>
  <si>
    <t>39-9099</t>
  </si>
  <si>
    <t>Personal Care and Service Workers, All Other</t>
  </si>
  <si>
    <t>41-0000</t>
  </si>
  <si>
    <t>Sales and Related Occupations</t>
  </si>
  <si>
    <t>41-1011</t>
  </si>
  <si>
    <t>First-Line Supervisors of Retail Sales Workers</t>
  </si>
  <si>
    <t>41-1012</t>
  </si>
  <si>
    <t>First-Line Supervisors of Non-Retail Sales Workers</t>
  </si>
  <si>
    <t>41-2011</t>
  </si>
  <si>
    <t>Cashiers</t>
  </si>
  <si>
    <t>41-2012</t>
  </si>
  <si>
    <t>Gambling Change Persons and Booth Cashiers</t>
  </si>
  <si>
    <t>41-2021</t>
  </si>
  <si>
    <t>Counter and Rental Clerks</t>
  </si>
  <si>
    <t>41-2022</t>
  </si>
  <si>
    <t>Parts Salespersons</t>
  </si>
  <si>
    <t>41-2031</t>
  </si>
  <si>
    <t>Retail Salespersons</t>
  </si>
  <si>
    <t>41-3011</t>
  </si>
  <si>
    <t>Advertising Sales Agents</t>
  </si>
  <si>
    <t>41-3021</t>
  </si>
  <si>
    <t>Insurance Sales Agents</t>
  </si>
  <si>
    <t>41-3031</t>
  </si>
  <si>
    <t>Securities, Commodities, and Financial Services Sales Agents</t>
  </si>
  <si>
    <t>41-3041</t>
  </si>
  <si>
    <t>Travel Agents</t>
  </si>
  <si>
    <t>41-3091</t>
  </si>
  <si>
    <t>Sales Representatives of Services, Except Advertising, Insurance, Financial Services, and Travel</t>
  </si>
  <si>
    <t>41-4011</t>
  </si>
  <si>
    <t>Sales Representatives, Wholesale and Manufacturing, Technical and Scientific Products</t>
  </si>
  <si>
    <t>41-4012</t>
  </si>
  <si>
    <t>Sales Representatives, Wholesale and Manufacturing, Except Technical and Scientific Products</t>
  </si>
  <si>
    <t>41-9011</t>
  </si>
  <si>
    <t>Demonstrators and Product Promoters</t>
  </si>
  <si>
    <t>41-9021</t>
  </si>
  <si>
    <t>Real Estate Brokers</t>
  </si>
  <si>
    <t>41-9031</t>
  </si>
  <si>
    <t>Sales Engineers</t>
  </si>
  <si>
    <t>41-9041</t>
  </si>
  <si>
    <t>Telemarketers</t>
  </si>
  <si>
    <t>41-9099</t>
  </si>
  <si>
    <t>Sales and Related Workers, All Other</t>
  </si>
  <si>
    <t>43-0000</t>
  </si>
  <si>
    <t>Office and Administrative Support Occupations</t>
  </si>
  <si>
    <t>43-1011</t>
  </si>
  <si>
    <t>First-Line Supervisors of Office and Administrative Support Workers</t>
  </si>
  <si>
    <t>43-2011</t>
  </si>
  <si>
    <t>Switchboard Operators, Including Answering Service</t>
  </si>
  <si>
    <t>43-2021</t>
  </si>
  <si>
    <t>Telephone Operators</t>
  </si>
  <si>
    <t>43-2099</t>
  </si>
  <si>
    <t>Communications Equipment Operators, All Other</t>
  </si>
  <si>
    <t>43-3011</t>
  </si>
  <si>
    <t>Bill and Account Collectors</t>
  </si>
  <si>
    <t>43-3021</t>
  </si>
  <si>
    <t>Billing and Posting Clerks</t>
  </si>
  <si>
    <t>43-3031</t>
  </si>
  <si>
    <t>Bookkeeping, Accounting, and Auditing Clerks</t>
  </si>
  <si>
    <t>43-3051</t>
  </si>
  <si>
    <t>Payroll and Timekeeping Clerks</t>
  </si>
  <si>
    <t>43-3061</t>
  </si>
  <si>
    <t>Procurement Clerks</t>
  </si>
  <si>
    <t>43-3071</t>
  </si>
  <si>
    <t>Tellers</t>
  </si>
  <si>
    <t>43-3099</t>
  </si>
  <si>
    <t>Financial Clerks, All Other</t>
  </si>
  <si>
    <t>43-4011</t>
  </si>
  <si>
    <t>Brokerage Clerks</t>
  </si>
  <si>
    <t>43-4031</t>
  </si>
  <si>
    <t>Court, Municipal, and License Clerks</t>
  </si>
  <si>
    <t>43-4041</t>
  </si>
  <si>
    <t>Credit Authorizers, Checkers, and Clerks</t>
  </si>
  <si>
    <t>43-4051</t>
  </si>
  <si>
    <t>Customer Service Representatives</t>
  </si>
  <si>
    <t>43-4061</t>
  </si>
  <si>
    <t>Eligibility Interviewers, Government Programs</t>
  </si>
  <si>
    <t>43-4071</t>
  </si>
  <si>
    <t>File Clerks</t>
  </si>
  <si>
    <t>43-4081</t>
  </si>
  <si>
    <t>Hotel, Motel, and Resort Desk Clerks</t>
  </si>
  <si>
    <t>43-4111</t>
  </si>
  <si>
    <t>Interviewers, Except Eligibility and Loan</t>
  </si>
  <si>
    <t>43-4121</t>
  </si>
  <si>
    <t>Library Assistants, Clerical</t>
  </si>
  <si>
    <t>43-4131</t>
  </si>
  <si>
    <t>Loan Interviewers and Clerks</t>
  </si>
  <si>
    <t>43-4141</t>
  </si>
  <si>
    <t>New Accounts Clerks</t>
  </si>
  <si>
    <t>43-4151</t>
  </si>
  <si>
    <t>Order Clerks</t>
  </si>
  <si>
    <t>43-4161</t>
  </si>
  <si>
    <t>Human Resources Assistants, Except Payroll and Timekeeping</t>
  </si>
  <si>
    <t>43-4171</t>
  </si>
  <si>
    <t>Receptionists and Information Clerks</t>
  </si>
  <si>
    <t>43-4181</t>
  </si>
  <si>
    <t>Reservation and Transportation Ticket Agents and Travel Clerks</t>
  </si>
  <si>
    <t>43-4199</t>
  </si>
  <si>
    <t>Information and Record Clerks, All Other</t>
  </si>
  <si>
    <t>43-5011</t>
  </si>
  <si>
    <t>Cargo and Freight Agents</t>
  </si>
  <si>
    <t>43-5021</t>
  </si>
  <si>
    <t>Couriers and Messengers</t>
  </si>
  <si>
    <t>43-5031</t>
  </si>
  <si>
    <t>Public Safety Telecommunicators</t>
  </si>
  <si>
    <t>43-5032</t>
  </si>
  <si>
    <t>Dispatchers, Except Police, Fire, and Ambulance</t>
  </si>
  <si>
    <t>43-5041</t>
  </si>
  <si>
    <t>Meter Readers, Utilities</t>
  </si>
  <si>
    <t>43-5051</t>
  </si>
  <si>
    <t>Postal Service Clerks</t>
  </si>
  <si>
    <t>43-5052</t>
  </si>
  <si>
    <t>Postal Service Mail Carriers</t>
  </si>
  <si>
    <t>43-5053</t>
  </si>
  <si>
    <t>Postal Service Mail Sorters, Processors, and Processing Machine Operators</t>
  </si>
  <si>
    <t>43-5061</t>
  </si>
  <si>
    <t>Production, Planning, and Expediting Clerks</t>
  </si>
  <si>
    <t>43-5071</t>
  </si>
  <si>
    <t>Shipping, Receiving, and Inventory Clerks</t>
  </si>
  <si>
    <t>43-5111</t>
  </si>
  <si>
    <t>Weighers, Measurers, Checkers, and Samplers, Recordkeeping</t>
  </si>
  <si>
    <t>43-6011</t>
  </si>
  <si>
    <t>Executive Secretaries and Executive Administrative Assistants</t>
  </si>
  <si>
    <t>43-6012</t>
  </si>
  <si>
    <t>Legal Secretaries and Administrative Assistants</t>
  </si>
  <si>
    <t>43-6013</t>
  </si>
  <si>
    <t>Medical Secretaries and Administrative Assistants</t>
  </si>
  <si>
    <t>43-6014</t>
  </si>
  <si>
    <t>Secretaries and Administrative Assistants, Except Legal, Medical, and Executive</t>
  </si>
  <si>
    <t>43-9021</t>
  </si>
  <si>
    <t>Data Entry Keyers</t>
  </si>
  <si>
    <t>43-9022</t>
  </si>
  <si>
    <t>Word Processors and Typists</t>
  </si>
  <si>
    <t>43-9031</t>
  </si>
  <si>
    <t>Desktop Publishers</t>
  </si>
  <si>
    <t>43-9041</t>
  </si>
  <si>
    <t>Insurance Claims and Policy Processing Clerks</t>
  </si>
  <si>
    <t>43-9051</t>
  </si>
  <si>
    <t>Mail Clerks and Mail Machine Operators, Except Postal Service</t>
  </si>
  <si>
    <t>43-9061</t>
  </si>
  <si>
    <t>Office Clerks, General</t>
  </si>
  <si>
    <t>43-9071</t>
  </si>
  <si>
    <t>Office Machine Operators, Except Computer</t>
  </si>
  <si>
    <t>43-9081</t>
  </si>
  <si>
    <t>Proofreaders and Copy Markers</t>
  </si>
  <si>
    <t>43-9111</t>
  </si>
  <si>
    <t>Statistical Assistants</t>
  </si>
  <si>
    <t>43-9199</t>
  </si>
  <si>
    <t>Office and Administrative Support Workers, All Other</t>
  </si>
  <si>
    <t>45-0000</t>
  </si>
  <si>
    <t>Farming, Fishing, and Forestry Occupations</t>
  </si>
  <si>
    <t>45-1011</t>
  </si>
  <si>
    <t>First-Line Supervisors of Farming, Fishing, and Forestry Workers</t>
  </si>
  <si>
    <t>45-2092</t>
  </si>
  <si>
    <t>Farmworkers and Laborers, Crop, Nursery, and Greenhouse</t>
  </si>
  <si>
    <t>45-2093</t>
  </si>
  <si>
    <t>Farmworkers, Farm, Ranch, and Aquacultural Animals</t>
  </si>
  <si>
    <t>45-4011</t>
  </si>
  <si>
    <t>Forest and Conservation Workers</t>
  </si>
  <si>
    <t>45-4022</t>
  </si>
  <si>
    <t>Logging Equipment Operators</t>
  </si>
  <si>
    <t>47-0000</t>
  </si>
  <si>
    <t>Construction and Extraction Occupations</t>
  </si>
  <si>
    <t>47-1011</t>
  </si>
  <si>
    <t>First-Line Supervisors of Construction Trades and Extraction Workers</t>
  </si>
  <si>
    <t>47-2021</t>
  </si>
  <si>
    <t>Brickmasons and Blockmasons</t>
  </si>
  <si>
    <t>47-2022</t>
  </si>
  <si>
    <t>Stonemasons</t>
  </si>
  <si>
    <t>47-2031</t>
  </si>
  <si>
    <t>Carpenters</t>
  </si>
  <si>
    <t>47-2041</t>
  </si>
  <si>
    <t>Carpet Installers</t>
  </si>
  <si>
    <t>47-2042</t>
  </si>
  <si>
    <t>Floor Layers, Except Carpet, Wood, and Hard Tiles</t>
  </si>
  <si>
    <t>47-2044</t>
  </si>
  <si>
    <t>Tile and Stone Setters</t>
  </si>
  <si>
    <t>47-2051</t>
  </si>
  <si>
    <t>Cement Masons and Concrete Finishers</t>
  </si>
  <si>
    <t>47-2061</t>
  </si>
  <si>
    <t>Construction Laborers</t>
  </si>
  <si>
    <t>47-2071</t>
  </si>
  <si>
    <t>Paving, Surfacing, and Tamping Equipment Operators</t>
  </si>
  <si>
    <t>47-2072</t>
  </si>
  <si>
    <t>Pile Driver Operators</t>
  </si>
  <si>
    <t>47-2073</t>
  </si>
  <si>
    <t>Operating Engineers and Other Construction Equipment Operators</t>
  </si>
  <si>
    <t>47-2081</t>
  </si>
  <si>
    <t>Drywall and Ceiling Tile Installers</t>
  </si>
  <si>
    <t>47-2082</t>
  </si>
  <si>
    <t>Tapers</t>
  </si>
  <si>
    <t>47-2111</t>
  </si>
  <si>
    <t>Electricians</t>
  </si>
  <si>
    <t>47-2121</t>
  </si>
  <si>
    <t>Glaziers</t>
  </si>
  <si>
    <t>47-2131</t>
  </si>
  <si>
    <t>Insulation Workers, Floor, Ceiling, and Wall</t>
  </si>
  <si>
    <t>47-2132</t>
  </si>
  <si>
    <t>Insulation Workers, Mechanical</t>
  </si>
  <si>
    <t>47-2141</t>
  </si>
  <si>
    <t>Painters, Construction and Maintenance</t>
  </si>
  <si>
    <t>47-2151</t>
  </si>
  <si>
    <t>Pipelayers</t>
  </si>
  <si>
    <t>47-2152</t>
  </si>
  <si>
    <t>Plumbers, Pipefitters, and Steamfitters</t>
  </si>
  <si>
    <t>47-2161</t>
  </si>
  <si>
    <t>Plasterers and Stucco Masons</t>
  </si>
  <si>
    <t>47-2181</t>
  </si>
  <si>
    <t>Roofers</t>
  </si>
  <si>
    <t>47-2211</t>
  </si>
  <si>
    <t>Sheet Metal Workers</t>
  </si>
  <si>
    <t>47-2221</t>
  </si>
  <si>
    <t>Structural Iron and Steel Workers</t>
  </si>
  <si>
    <t>47-2231</t>
  </si>
  <si>
    <t>Solar Photovoltaic Installers</t>
  </si>
  <si>
    <t>47-3011</t>
  </si>
  <si>
    <t>Helpers--Brickmasons, Blockmasons, Stonemasons, and Tile and Marble Setters</t>
  </si>
  <si>
    <t>47-3012</t>
  </si>
  <si>
    <t>Helpers--Carpenters</t>
  </si>
  <si>
    <t>47-3013</t>
  </si>
  <si>
    <t>Helpers--Electricians</t>
  </si>
  <si>
    <t>47-3015</t>
  </si>
  <si>
    <t>Helpers--Pipelayers, Plumbers, Pipefitters, and Steamfitters</t>
  </si>
  <si>
    <t>47-3019</t>
  </si>
  <si>
    <t>Helpers, Construction Trades, All Other</t>
  </si>
  <si>
    <t>47-4011</t>
  </si>
  <si>
    <t>Construction and Building Inspectors</t>
  </si>
  <si>
    <t>47-4021</t>
  </si>
  <si>
    <t>Elevator and Escalator Installers and Repairers</t>
  </si>
  <si>
    <t>47-4031</t>
  </si>
  <si>
    <t>Fence Erectors</t>
  </si>
  <si>
    <t>47-4041</t>
  </si>
  <si>
    <t>Hazardous Materials Removal Workers</t>
  </si>
  <si>
    <t>47-4051</t>
  </si>
  <si>
    <t>Highway Maintenance Workers</t>
  </si>
  <si>
    <t>47-4061</t>
  </si>
  <si>
    <t>Rail-Track Laying and Maintenance Equipment Operators</t>
  </si>
  <si>
    <t>47-4071</t>
  </si>
  <si>
    <t>Septic Tank Servicers and Sewer Pipe Cleaners</t>
  </si>
  <si>
    <t>47-4090</t>
  </si>
  <si>
    <t>Miscellaneous Construction and Related Workers</t>
  </si>
  <si>
    <t>47-5022</t>
  </si>
  <si>
    <t>Excavating and Loading Machine and Dragline Operators, Surface Mining</t>
  </si>
  <si>
    <t>47-5023</t>
  </si>
  <si>
    <t>Earth Drillers, Except Oil and Gas</t>
  </si>
  <si>
    <t>47-5032</t>
  </si>
  <si>
    <t>Explosives Workers, Ordnance Handling Experts, and Blasters</t>
  </si>
  <si>
    <t>47-5051</t>
  </si>
  <si>
    <t>Rock Splitters, Quarry</t>
  </si>
  <si>
    <t>49-0000</t>
  </si>
  <si>
    <t>Installation, Maintenance, and Repair Occupations</t>
  </si>
  <si>
    <t>49-1011</t>
  </si>
  <si>
    <t>First-Line Supervisors of Mechanics, Installers, and Repairers</t>
  </si>
  <si>
    <t>49-2011</t>
  </si>
  <si>
    <t>Computer, Automated Teller, and Office Machine Repairers</t>
  </si>
  <si>
    <t>49-2021</t>
  </si>
  <si>
    <t>Radio, Cellular, and Tower Equipment Installers and Repairers</t>
  </si>
  <si>
    <t>49-2022</t>
  </si>
  <si>
    <t>Telecommunications Equipment Installers and Repairers, Except Line Installers</t>
  </si>
  <si>
    <t>49-2091</t>
  </si>
  <si>
    <t>Avionics Technicians</t>
  </si>
  <si>
    <t>49-2092</t>
  </si>
  <si>
    <t>Electric Motor, Power Tool, and Related Repairers</t>
  </si>
  <si>
    <t>49-2093</t>
  </si>
  <si>
    <t>Electrical and Electronics Installers and Repairers, Transportation Equipment</t>
  </si>
  <si>
    <t>49-2094</t>
  </si>
  <si>
    <t>Electrical and Electronics Repairers, Commercial and Industrial Equipment</t>
  </si>
  <si>
    <t>49-2095</t>
  </si>
  <si>
    <t>Electrical and Electronics Repairers, Powerhouse, Substation, and Relay</t>
  </si>
  <si>
    <t>49-2096</t>
  </si>
  <si>
    <t>Electronic Equipment Installers and Repairers, Motor Vehicles</t>
  </si>
  <si>
    <t>49-2097</t>
  </si>
  <si>
    <t>Audiovisual Equipment Installers and Repairers</t>
  </si>
  <si>
    <t>49-2098</t>
  </si>
  <si>
    <t>Security and Fire Alarm Systems Installers</t>
  </si>
  <si>
    <t>49-3011</t>
  </si>
  <si>
    <t>Aircraft Mechanics and Service Technicians</t>
  </si>
  <si>
    <t>49-3021</t>
  </si>
  <si>
    <t>Automotive Body and Related Repairers</t>
  </si>
  <si>
    <t>49-3022</t>
  </si>
  <si>
    <t>Automotive Glass Installers and Repairers</t>
  </si>
  <si>
    <t>49-3023</t>
  </si>
  <si>
    <t>Automotive Service Technicians and Mechanics</t>
  </si>
  <si>
    <t>49-3031</t>
  </si>
  <si>
    <t>Bus and Truck Mechanics and Diesel Engine Specialists</t>
  </si>
  <si>
    <t>49-3041</t>
  </si>
  <si>
    <t>Farm Equipment Mechanics and Service Technicians</t>
  </si>
  <si>
    <t>49-3042</t>
  </si>
  <si>
    <t>Mobile Heavy Equipment Mechanics, Except Engines</t>
  </si>
  <si>
    <t>49-3043</t>
  </si>
  <si>
    <t>Rail Car Repairers</t>
  </si>
  <si>
    <t>49-3051</t>
  </si>
  <si>
    <t>Motorboat Mechanics and Service Technicians</t>
  </si>
  <si>
    <t>49-3052</t>
  </si>
  <si>
    <t>Motorcycle Mechanics</t>
  </si>
  <si>
    <t>49-3053</t>
  </si>
  <si>
    <t>Outdoor Power Equipment and Other Small Engine Mechanics</t>
  </si>
  <si>
    <t>49-3091</t>
  </si>
  <si>
    <t>Bicycle Repairers</t>
  </si>
  <si>
    <t>49-3092</t>
  </si>
  <si>
    <t>Recreational Vehicle Service Technicians</t>
  </si>
  <si>
    <t>49-3093</t>
  </si>
  <si>
    <t>Tire Repairers and Changers</t>
  </si>
  <si>
    <t>49-9011</t>
  </si>
  <si>
    <t>Mechanical Door Repairers</t>
  </si>
  <si>
    <t>49-9012</t>
  </si>
  <si>
    <t>Control and Valve Installers and Repairers, Except Mechanical Door</t>
  </si>
  <si>
    <t>49-9021</t>
  </si>
  <si>
    <t>Heating, Air Conditioning, and Refrigeration Mechanics and Installers</t>
  </si>
  <si>
    <t>49-9031</t>
  </si>
  <si>
    <t>Home Appliance Repairers</t>
  </si>
  <si>
    <t>49-9041</t>
  </si>
  <si>
    <t>Industrial Machinery Mechanics</t>
  </si>
  <si>
    <t>49-9043</t>
  </si>
  <si>
    <t>Maintenance Workers, Machinery</t>
  </si>
  <si>
    <t>49-9044</t>
  </si>
  <si>
    <t>Millwrights</t>
  </si>
  <si>
    <t>49-9051</t>
  </si>
  <si>
    <t>Electrical Power-Line Installers and Repairers</t>
  </si>
  <si>
    <t>49-9052</t>
  </si>
  <si>
    <t>Telecommunications Line Installers and Repairers</t>
  </si>
  <si>
    <t>49-9062</t>
  </si>
  <si>
    <t>Medical Equipment Repairers</t>
  </si>
  <si>
    <t>49-9063</t>
  </si>
  <si>
    <t>Musical Instrument Repairers and Tuners</t>
  </si>
  <si>
    <t>49-9069</t>
  </si>
  <si>
    <t>Precision Instrument and Equipment Repairers, All Other</t>
  </si>
  <si>
    <t>49-9071</t>
  </si>
  <si>
    <t>Maintenance and Repair Workers, General</t>
  </si>
  <si>
    <t>49-9091</t>
  </si>
  <si>
    <t>Coin, Vending, and Amusement Machine Servicers and Repairers</t>
  </si>
  <si>
    <t>49-9094</t>
  </si>
  <si>
    <t>Locksmiths and Safe Repairers</t>
  </si>
  <si>
    <t>49-9096</t>
  </si>
  <si>
    <t>Riggers</t>
  </si>
  <si>
    <t>49-9097</t>
  </si>
  <si>
    <t>Signal and Track Switch Repairers</t>
  </si>
  <si>
    <t>49-9098</t>
  </si>
  <si>
    <t>Helpers--Installation, Maintenance, and Repair Workers</t>
  </si>
  <si>
    <t>49-9099</t>
  </si>
  <si>
    <t>Installation, Maintenance, and Repair Workers, All Other</t>
  </si>
  <si>
    <t>51-0000</t>
  </si>
  <si>
    <t>Production Occupations</t>
  </si>
  <si>
    <t>51-1011</t>
  </si>
  <si>
    <t>First-Line Supervisors of Production and Operating Workers</t>
  </si>
  <si>
    <t>51-2021</t>
  </si>
  <si>
    <t>Coil Winders, Tapers, and Finishers</t>
  </si>
  <si>
    <t>51-2028</t>
  </si>
  <si>
    <t>Electrical, Electronic, and Electromechanical Assemblers, Except Coil Winders, Tapers, and Finishers</t>
  </si>
  <si>
    <t>51-2031</t>
  </si>
  <si>
    <t>Engine and Other Machine Assemblers</t>
  </si>
  <si>
    <t>51-2041</t>
  </si>
  <si>
    <t>Structural Metal Fabricators and Fitters</t>
  </si>
  <si>
    <t>51-2051</t>
  </si>
  <si>
    <t>Fiberglass Laminators and Fabricators</t>
  </si>
  <si>
    <t>51-2090</t>
  </si>
  <si>
    <t>Miscellaneous Assemblers and Fabricators</t>
  </si>
  <si>
    <t>51-3011</t>
  </si>
  <si>
    <t>Bakers</t>
  </si>
  <si>
    <t>51-3021</t>
  </si>
  <si>
    <t>Butchers and Meat Cutters</t>
  </si>
  <si>
    <t>51-3022</t>
  </si>
  <si>
    <t>Meat, Poultry, and Fish Cutters and Trimmers</t>
  </si>
  <si>
    <t>51-3023</t>
  </si>
  <si>
    <t>Slaughterers and Meat Packers</t>
  </si>
  <si>
    <t>51-3091</t>
  </si>
  <si>
    <t>Food and Tobacco Roasting, Baking, and Drying Machine Operators and Tenders</t>
  </si>
  <si>
    <t>51-3092</t>
  </si>
  <si>
    <t>Food Batchmakers</t>
  </si>
  <si>
    <t>51-3093</t>
  </si>
  <si>
    <t>Food Cooking Machine Operators and Tenders</t>
  </si>
  <si>
    <t>51-3099</t>
  </si>
  <si>
    <t>Food Processing Workers, All Other</t>
  </si>
  <si>
    <t>51-4021</t>
  </si>
  <si>
    <t>Extruding and Drawing Machine Setters, Operators, and Tenders, Metal and Plastic</t>
  </si>
  <si>
    <t>51-4022</t>
  </si>
  <si>
    <t>Forging Machine Setters, Operators, and Tenders, Metal and Plastic</t>
  </si>
  <si>
    <t>51-4023</t>
  </si>
  <si>
    <t>Rolling Machine Setters, Operators, and Tenders, Metal and Plastic</t>
  </si>
  <si>
    <t>51-4031</t>
  </si>
  <si>
    <t>Cutting, Punching, and Press Machine Setters, Operators, and Tenders, Metal and Plastic</t>
  </si>
  <si>
    <t>51-4032</t>
  </si>
  <si>
    <t>Drilling and Boring Machine Tool Setters, Operators, and Tenders, Metal and Plastic</t>
  </si>
  <si>
    <t>51-4033</t>
  </si>
  <si>
    <t>Grinding, Lapping, Polishing, and Buffing Machine Tool Setters, Operators, and Tenders, Metal and Plastic</t>
  </si>
  <si>
    <t>51-4034</t>
  </si>
  <si>
    <t>Lathe and Turning Machine Tool Setters, Operators, and Tenders, Metal and Plastic</t>
  </si>
  <si>
    <t>51-4035</t>
  </si>
  <si>
    <t>Milling and Planing Machine Setters, Operators, and Tenders, Metal and Plastic</t>
  </si>
  <si>
    <t>51-4041</t>
  </si>
  <si>
    <t>Machinists</t>
  </si>
  <si>
    <t>51-4051</t>
  </si>
  <si>
    <t>Metal-Refining Furnace Operators and Tenders</t>
  </si>
  <si>
    <t>51-4052</t>
  </si>
  <si>
    <t>Pourers and Casters, Metal</t>
  </si>
  <si>
    <t>51-4061</t>
  </si>
  <si>
    <t>Model Makers, Metal and Plastic</t>
  </si>
  <si>
    <t>51-4062</t>
  </si>
  <si>
    <t>Patternmakers, Metal and Plastic</t>
  </si>
  <si>
    <t>51-4071</t>
  </si>
  <si>
    <t>Foundry Mold and Coremakers</t>
  </si>
  <si>
    <t>51-4072</t>
  </si>
  <si>
    <t>Molding, Coremaking, and Casting Machine Setters, Operators, and Tenders, Metal and Plastic</t>
  </si>
  <si>
    <t>51-4081</t>
  </si>
  <si>
    <t>Multiple Machine Tool Setters, Operators, and Tenders, Metal and Plastic</t>
  </si>
  <si>
    <t>51-4111</t>
  </si>
  <si>
    <t>Tool and Die Makers</t>
  </si>
  <si>
    <t>51-4121</t>
  </si>
  <si>
    <t>Welders, Cutters, Solderers, and Brazers</t>
  </si>
  <si>
    <t>51-4122</t>
  </si>
  <si>
    <t>Welding, Soldering, and Brazing Machine Setters, Operators, and Tenders</t>
  </si>
  <si>
    <t>51-4191</t>
  </si>
  <si>
    <t>Heat Treating Equipment Setters, Operators, and Tenders, Metal and Plastic</t>
  </si>
  <si>
    <t>51-4192</t>
  </si>
  <si>
    <t>Layout Workers, Metal and Plastic</t>
  </si>
  <si>
    <t>51-4193</t>
  </si>
  <si>
    <t>Plating Machine Setters, Operators, and Tenders, Metal and Plastic</t>
  </si>
  <si>
    <t>51-4194</t>
  </si>
  <si>
    <t>Tool Grinders, Filers, and Sharpeners</t>
  </si>
  <si>
    <t>51-4199</t>
  </si>
  <si>
    <t>Metal Workers and Plastic Workers, All Other</t>
  </si>
  <si>
    <t>51-5111</t>
  </si>
  <si>
    <t>Prepress Technicians and Workers</t>
  </si>
  <si>
    <t>51-5112</t>
  </si>
  <si>
    <t>Printing Press Operators</t>
  </si>
  <si>
    <t>51-5113</t>
  </si>
  <si>
    <t>Print Binding and Finishing Workers</t>
  </si>
  <si>
    <t>51-6011</t>
  </si>
  <si>
    <t>Laundry and Dry-Cleaning Workers</t>
  </si>
  <si>
    <t>51-6021</t>
  </si>
  <si>
    <t>Pressers, Textile, Garment, and Related Materials</t>
  </si>
  <si>
    <t>51-6031</t>
  </si>
  <si>
    <t>Sewing Machine Operators</t>
  </si>
  <si>
    <t>51-6041</t>
  </si>
  <si>
    <t>Shoe and Leather Workers and Repairers</t>
  </si>
  <si>
    <t>51-6051</t>
  </si>
  <si>
    <t>Sewers, Hand</t>
  </si>
  <si>
    <t>51-6052</t>
  </si>
  <si>
    <t>Tailors, Dressmakers, and Custom Sewers</t>
  </si>
  <si>
    <t>51-6061</t>
  </si>
  <si>
    <t>Textile Bleaching and Dyeing Machine Operators and Tenders</t>
  </si>
  <si>
    <t>51-6062</t>
  </si>
  <si>
    <t>Textile Cutting Machine Setters, Operators, and Tenders</t>
  </si>
  <si>
    <t>51-6063</t>
  </si>
  <si>
    <t>Textile Knitting and Weaving Machine Setters, Operators, and Tenders</t>
  </si>
  <si>
    <t>51-6064</t>
  </si>
  <si>
    <t>Textile Winding, Twisting, and Drawing Out Machine Setters, Operators, and Tenders</t>
  </si>
  <si>
    <t>51-6092</t>
  </si>
  <si>
    <t>Fabric and Apparel Patternmakers</t>
  </si>
  <si>
    <t>51-6093</t>
  </si>
  <si>
    <t>Upholsterers</t>
  </si>
  <si>
    <t>51-6099</t>
  </si>
  <si>
    <t>Textile, Apparel, and Furnishings Workers, All Other</t>
  </si>
  <si>
    <t>51-7011</t>
  </si>
  <si>
    <t>Cabinetmakers and Bench Carpenters</t>
  </si>
  <si>
    <t>51-7021</t>
  </si>
  <si>
    <t>Furniture Finishers</t>
  </si>
  <si>
    <t>51-7041</t>
  </si>
  <si>
    <t>Sawing Machine Setters, Operators, and Tenders, Wood</t>
  </si>
  <si>
    <t>51-7042</t>
  </si>
  <si>
    <t>Woodworking Machine Setters, Operators, and Tenders, Except Sawing</t>
  </si>
  <si>
    <t>51-8013</t>
  </si>
  <si>
    <t>Power Plant Operators</t>
  </si>
  <si>
    <t>51-8021</t>
  </si>
  <si>
    <t>Stationary Engineers and Boiler Operators</t>
  </si>
  <si>
    <t>51-8031</t>
  </si>
  <si>
    <t>Water and Wastewater Treatment Plant and System Operators</t>
  </si>
  <si>
    <t>51-8091</t>
  </si>
  <si>
    <t>Chemical Plant and System Operators</t>
  </si>
  <si>
    <t>51-9011</t>
  </si>
  <si>
    <t>Chemical Equipment Operators and Tenders</t>
  </si>
  <si>
    <t>51-9012</t>
  </si>
  <si>
    <t>Separating, Filtering, Clarifying, Precipitating, and Still Machine Setters, Operators, and Tenders</t>
  </si>
  <si>
    <t>51-9021</t>
  </si>
  <si>
    <t>Crushing, Grinding, and Polishing Machine Setters, Operators, and Tenders</t>
  </si>
  <si>
    <t>51-9022</t>
  </si>
  <si>
    <t>Grinding and Polishing Workers, Hand</t>
  </si>
  <si>
    <t>51-9023</t>
  </si>
  <si>
    <t>Mixing and Blending Machine Setters, Operators, and Tenders</t>
  </si>
  <si>
    <t>51-9031</t>
  </si>
  <si>
    <t>Cutters and Trimmers, Hand</t>
  </si>
  <si>
    <t>51-9032</t>
  </si>
  <si>
    <t>Cutting and Slicing Machine Setters, Operators, and Tenders</t>
  </si>
  <si>
    <t>51-9041</t>
  </si>
  <si>
    <t>Extruding, Forming, Pressing, and Compacting Machine Setters, Operators, and Tenders</t>
  </si>
  <si>
    <t>51-9051</t>
  </si>
  <si>
    <t>Furnace, Kiln, Oven, Drier, and Kettle Operators and Tenders</t>
  </si>
  <si>
    <t>51-9061</t>
  </si>
  <si>
    <t>Inspectors, Testers, Sorters, Samplers, and Weighers</t>
  </si>
  <si>
    <t>51-9071</t>
  </si>
  <si>
    <t>Jewelers and Precious Stone and Metal Workers</t>
  </si>
  <si>
    <t>51-9081</t>
  </si>
  <si>
    <t>Dental Laboratory Technicians</t>
  </si>
  <si>
    <t>51-9082</t>
  </si>
  <si>
    <t>Medical Appliance Technicians</t>
  </si>
  <si>
    <t>51-9083</t>
  </si>
  <si>
    <t>Ophthalmic Laboratory Technicians</t>
  </si>
  <si>
    <t>51-9111</t>
  </si>
  <si>
    <t>Packaging and Filling Machine Operators and Tenders</t>
  </si>
  <si>
    <t>51-9123</t>
  </si>
  <si>
    <t>Painting, Coating, and Decorating Workers</t>
  </si>
  <si>
    <t>51-9124</t>
  </si>
  <si>
    <t>Coating, Painting, and Spraying Machine Setters, Operators, and Tenders</t>
  </si>
  <si>
    <t>51-9141</t>
  </si>
  <si>
    <t>Semiconductor Processing Technicians</t>
  </si>
  <si>
    <t>51-9151</t>
  </si>
  <si>
    <t>Photographic Process Workers and Processing Machine Operators</t>
  </si>
  <si>
    <t>51-9161</t>
  </si>
  <si>
    <t>Computer Numerically Controlled Tool Operators</t>
  </si>
  <si>
    <t>51-9162</t>
  </si>
  <si>
    <t>Computer Numerically Controlled Tool Programmers</t>
  </si>
  <si>
    <t>51-9191</t>
  </si>
  <si>
    <t>Adhesive Bonding Machine Operators and Tenders</t>
  </si>
  <si>
    <t>51-9192</t>
  </si>
  <si>
    <t>Cleaning, Washing, and Metal Pickling Equipment Operators and Tenders</t>
  </si>
  <si>
    <t>51-9193</t>
  </si>
  <si>
    <t>Cooling and Freezing Equipment Operators and Tenders</t>
  </si>
  <si>
    <t>51-9194</t>
  </si>
  <si>
    <t>Etchers and Engravers</t>
  </si>
  <si>
    <t>51-9195</t>
  </si>
  <si>
    <t>Molders, Shapers, and Casters, Except Metal and Plastic</t>
  </si>
  <si>
    <t>51-9196</t>
  </si>
  <si>
    <t>Paper Goods Machine Setters, Operators, and Tenders</t>
  </si>
  <si>
    <t>51-9198</t>
  </si>
  <si>
    <t>Helpers--Production Workers</t>
  </si>
  <si>
    <t>51-9199</t>
  </si>
  <si>
    <t>Production Workers, All Other</t>
  </si>
  <si>
    <t>53-0000</t>
  </si>
  <si>
    <t>Transportation and Material Moving Occupations</t>
  </si>
  <si>
    <t>53-1041</t>
  </si>
  <si>
    <t>Aircraft Cargo Handling Supervisors</t>
  </si>
  <si>
    <t>53-1047</t>
  </si>
  <si>
    <t>First-Line Supervisors of Transportation and Material Moving Workers, Except Aircraft Cargo Handling Supervisors</t>
  </si>
  <si>
    <t>53-2012</t>
  </si>
  <si>
    <t>Commercial Pilots</t>
  </si>
  <si>
    <t>53-2021</t>
  </si>
  <si>
    <t>Air Traffic Controllers</t>
  </si>
  <si>
    <t>53-2031</t>
  </si>
  <si>
    <t>Flight Attendants</t>
  </si>
  <si>
    <t>53-3011</t>
  </si>
  <si>
    <t>Ambulance Drivers and Attendants, Except Emergency Medical Technicians</t>
  </si>
  <si>
    <t>53-3031</t>
  </si>
  <si>
    <t>Driver/Sales Workers</t>
  </si>
  <si>
    <t>53-3032</t>
  </si>
  <si>
    <t>Heavy and Tractor-Trailer Truck Drivers</t>
  </si>
  <si>
    <t>53-3033</t>
  </si>
  <si>
    <t>Light Truck Drivers</t>
  </si>
  <si>
    <t>53-3051</t>
  </si>
  <si>
    <t>Bus Drivers, School</t>
  </si>
  <si>
    <t>53-3052</t>
  </si>
  <si>
    <t>Bus Drivers, Transit and Intercity</t>
  </si>
  <si>
    <t>53-3053</t>
  </si>
  <si>
    <t>Shuttle Drivers and Chauffeurs</t>
  </si>
  <si>
    <t>53-3054</t>
  </si>
  <si>
    <t>Taxi Drivers</t>
  </si>
  <si>
    <t>53-3099</t>
  </si>
  <si>
    <t>Motor Vehicle Operators, All Other</t>
  </si>
  <si>
    <t>53-4022</t>
  </si>
  <si>
    <t>Railroad Brake, Signal, and Switch Operators and Locomotive Firers</t>
  </si>
  <si>
    <t>53-4031</t>
  </si>
  <si>
    <t>Railroad Conductors and Yardmasters</t>
  </si>
  <si>
    <t>53-4041</t>
  </si>
  <si>
    <t>Subway and Streetcar Operators</t>
  </si>
  <si>
    <t>53-5011</t>
  </si>
  <si>
    <t>Sailors and Marine Oilers</t>
  </si>
  <si>
    <t>53-5021</t>
  </si>
  <si>
    <t>Captains, Mates, and Pilots of Water Vessels</t>
  </si>
  <si>
    <t>53-5022</t>
  </si>
  <si>
    <t>Motorboat Operators</t>
  </si>
  <si>
    <t>53-5031</t>
  </si>
  <si>
    <t>Ship Engineers</t>
  </si>
  <si>
    <t>53-6011</t>
  </si>
  <si>
    <t>Bridge and Lock Tenders</t>
  </si>
  <si>
    <t>53-6021</t>
  </si>
  <si>
    <t>Parking Attendants</t>
  </si>
  <si>
    <t>53-6031</t>
  </si>
  <si>
    <t>Automotive and Watercraft Service Attendants</t>
  </si>
  <si>
    <t>53-6032</t>
  </si>
  <si>
    <t>Aircraft Service Attendants</t>
  </si>
  <si>
    <t>53-6041</t>
  </si>
  <si>
    <t>Traffic Technicians</t>
  </si>
  <si>
    <t>53-6051</t>
  </si>
  <si>
    <t>Transportation Inspectors</t>
  </si>
  <si>
    <t>53-6061</t>
  </si>
  <si>
    <t>Passenger Attendants</t>
  </si>
  <si>
    <t>53-7011</t>
  </si>
  <si>
    <t>Conveyor Operators and Tenders</t>
  </si>
  <si>
    <t>53-7021</t>
  </si>
  <si>
    <t>Crane and Tower Operators</t>
  </si>
  <si>
    <t>53-7051</t>
  </si>
  <si>
    <t>Industrial Truck and Tractor Operators</t>
  </si>
  <si>
    <t>53-7061</t>
  </si>
  <si>
    <t>Cleaners of Vehicles and Equipment</t>
  </si>
  <si>
    <t>53-7062</t>
  </si>
  <si>
    <t>Laborers and Freight, Stock, and Material Movers, Hand</t>
  </si>
  <si>
    <t>53-7063</t>
  </si>
  <si>
    <t>Machine Feeders and Offbearers</t>
  </si>
  <si>
    <t>53-7064</t>
  </si>
  <si>
    <t>Packers and Packagers, Hand</t>
  </si>
  <si>
    <t>53-7065</t>
  </si>
  <si>
    <t>Stockers and Order Fillers</t>
  </si>
  <si>
    <t>53-7081</t>
  </si>
  <si>
    <t>Refuse and Recyclable Material Collectors</t>
  </si>
  <si>
    <t>53-7121</t>
  </si>
  <si>
    <t>Tank Car, Truck, and Ship Loaders</t>
  </si>
  <si>
    <t>53-7199</t>
  </si>
  <si>
    <t>Material Moving Workers, All Other</t>
  </si>
  <si>
    <t>M2023 BLS  Occ Code 37-0000</t>
  </si>
  <si>
    <t>M2023 BLS  Occ Code 49-9099</t>
  </si>
  <si>
    <t>M2023 BLS  Occ Code 49-0000 and 49-9071 (average)</t>
  </si>
  <si>
    <t>Figures with a single asterisk utilize the May 2022 BLS / OEWS information at 53rd percentile because the exact same information for May 2023 indicates a decrease at the 53rd percentile</t>
  </si>
  <si>
    <t>2026 Rate Review changes:</t>
  </si>
  <si>
    <t>BLS M2023 Benchmark @ 53rd Percentile</t>
  </si>
  <si>
    <t>50/50 APRN /Psychiatrist BLS M2023</t>
  </si>
  <si>
    <t>Bench to Youth Residential (DYS) FY24</t>
  </si>
  <si>
    <t>average pre-exclusions</t>
  </si>
  <si>
    <t>floor</t>
  </si>
  <si>
    <r>
      <t xml:space="preserve">Outliers, average, and weighted average are calculated from </t>
    </r>
    <r>
      <rPr>
        <i/>
        <sz val="10"/>
        <color rgb="FFFF0000"/>
        <rFont val="Calibri"/>
        <family val="2"/>
        <scheme val="minor"/>
      </rPr>
      <t>only those reporting expense in this category</t>
    </r>
    <r>
      <rPr>
        <sz val="10"/>
        <color rgb="FFFF0000"/>
        <rFont val="Calibri"/>
        <family val="2"/>
        <scheme val="minor"/>
      </rPr>
      <t xml:space="preserve">. No zero values are incorporated in these calculations. </t>
    </r>
  </si>
  <si>
    <t>ceiling</t>
  </si>
  <si>
    <t>average</t>
  </si>
  <si>
    <t>weighted average</t>
  </si>
  <si>
    <t>average incl. zeroes</t>
  </si>
  <si>
    <t>17E</t>
  </si>
  <si>
    <t>18E</t>
  </si>
  <si>
    <t>19E</t>
  </si>
  <si>
    <t>20E</t>
  </si>
  <si>
    <t>21E</t>
  </si>
  <si>
    <t>22E</t>
  </si>
  <si>
    <t>23E</t>
  </si>
  <si>
    <t>24E</t>
  </si>
  <si>
    <t>25E</t>
  </si>
  <si>
    <t>26E</t>
  </si>
  <si>
    <t>27E</t>
  </si>
  <si>
    <t>28E</t>
  </si>
  <si>
    <t>29E</t>
  </si>
  <si>
    <t>30E</t>
  </si>
  <si>
    <t>31E</t>
  </si>
  <si>
    <t>32E</t>
  </si>
  <si>
    <t>33E</t>
  </si>
  <si>
    <t>34E</t>
  </si>
  <si>
    <t>35E</t>
  </si>
  <si>
    <t>36E</t>
  </si>
  <si>
    <t>Total Occupancy</t>
  </si>
  <si>
    <t>Direct Care Consultant 201</t>
  </si>
  <si>
    <t>Temporary Help 202</t>
  </si>
  <si>
    <t>Clients and Caregivers Reimb./Stipends 203</t>
  </si>
  <si>
    <t>Subcontracted Direct Care 206</t>
  </si>
  <si>
    <t>Staff Training 204</t>
  </si>
  <si>
    <t>Staff Mileage / Travel 205</t>
  </si>
  <si>
    <t>Meals 207</t>
  </si>
  <si>
    <t>Client Transportation 208</t>
  </si>
  <si>
    <t>Vehicle Expenses 208</t>
  </si>
  <si>
    <t>Vehicle Depreciation 208</t>
  </si>
  <si>
    <t>Incidental Medical /Medicine/Pharmacy 209</t>
  </si>
  <si>
    <t>Client Personal Allowances 211</t>
  </si>
  <si>
    <t>Provision Material Goods/Svs./Benefits 212</t>
  </si>
  <si>
    <t>Direct Client Wages 214</t>
  </si>
  <si>
    <t>Other Commercial Prod. &amp; Svs. 214</t>
  </si>
  <si>
    <t>Program Supplies &amp; Materials 215</t>
  </si>
  <si>
    <t>Non Charitable Expenses</t>
  </si>
  <si>
    <t>Other Expense</t>
  </si>
  <si>
    <t>Total Other Program Expense</t>
  </si>
  <si>
    <t>OrganizationName</t>
  </si>
  <si>
    <t>Sum of FTE</t>
  </si>
  <si>
    <t>Sum of Actual</t>
  </si>
  <si>
    <t>Center for Human Development</t>
  </si>
  <si>
    <t>Communities For People, Inc.</t>
  </si>
  <si>
    <t>Eliot Community Human Services, Inc.</t>
  </si>
  <si>
    <t>Justice Resource Institute, Inc.</t>
  </si>
  <si>
    <t>Old Colony Y</t>
  </si>
  <si>
    <t>The Home for Little Wanderers</t>
  </si>
  <si>
    <t>total FTE</t>
  </si>
  <si>
    <t>total occupancy per FTE</t>
  </si>
  <si>
    <t>total units</t>
  </si>
  <si>
    <t>total bed days</t>
  </si>
  <si>
    <t>UNITS</t>
  </si>
  <si>
    <t>Indep Living A</t>
  </si>
  <si>
    <t>Avg Staff * Occ per Staff</t>
  </si>
  <si>
    <t>Prov Leased</t>
  </si>
  <si>
    <t>Provider Owned</t>
  </si>
  <si>
    <t>State Owned</t>
  </si>
  <si>
    <t>CHD</t>
  </si>
  <si>
    <t>The home for little wanderers</t>
  </si>
  <si>
    <t>TOTAL UNITS</t>
  </si>
  <si>
    <t>Proposed Rate Review 7.1.25</t>
  </si>
  <si>
    <t>Updated T&amp;F to FY25 24.97%</t>
  </si>
  <si>
    <t>BLS M2023 Salary report @ 53%</t>
  </si>
  <si>
    <t>MASTER DATA</t>
  </si>
  <si>
    <t xml:space="preserve">BLS M2023 Benchmark </t>
  </si>
  <si>
    <t>Updated Tax &amp; Fringe to 24.97 % which includes PFMLA</t>
  </si>
  <si>
    <t>Updated CAF to 3.25%  BASELINE Standard Ch. 257</t>
  </si>
  <si>
    <t>BASELINE CAF CH 257 FY 26 &amp;FY27</t>
  </si>
  <si>
    <t>`</t>
  </si>
  <si>
    <t>60/40 OT /OT Assistant BLS M2023</t>
  </si>
  <si>
    <t>BLS M2023 LPN Benchmark @ 53rd Percentile</t>
  </si>
  <si>
    <t>Forensic  Phychiatrist (PhD Lvl)</t>
  </si>
  <si>
    <t>Alternatives Unlimited</t>
  </si>
  <si>
    <t>Bay State Community Services, Inc.</t>
  </si>
  <si>
    <t>BEHAVIORAL HEALTH NETWORK</t>
  </si>
  <si>
    <t>The Brien Center for Mental Health and S</t>
  </si>
  <si>
    <t>The Edinburg Center, Inc.</t>
  </si>
  <si>
    <t>FTEs</t>
  </si>
  <si>
    <t>PY + CAF (UFR FY23 lower)</t>
  </si>
  <si>
    <t xml:space="preserve">other exp &amp; Add'l travel </t>
  </si>
  <si>
    <t>Commonwealth FY25 Rate</t>
  </si>
  <si>
    <t>Code</t>
  </si>
  <si>
    <t>Current Rate (FY24)</t>
  </si>
  <si>
    <t>New Rate (FY26)</t>
  </si>
  <si>
    <t>% Change</t>
  </si>
  <si>
    <t>Current Rates(FY24)</t>
  </si>
  <si>
    <t>New Rates(FY26)</t>
  </si>
  <si>
    <t>*Proposed Regulation shows $152,984, and will be corrected post public comment to $152,894</t>
  </si>
  <si>
    <t>BLS /OES Massachusetts M2023</t>
  </si>
  <si>
    <t>BLS /OES Massachusetts M2023 (25/75 blend)</t>
  </si>
  <si>
    <t>BASELINE CAF  (FY26 &amp; FY27)</t>
  </si>
  <si>
    <r>
      <t>Benchmark Salaries</t>
    </r>
    <r>
      <rPr>
        <b/>
        <sz val="9"/>
        <rFont val="Calibri"/>
        <family val="2"/>
        <scheme val="minor"/>
      </rPr>
      <t xml:space="preserve"> </t>
    </r>
  </si>
  <si>
    <r>
      <t xml:space="preserve">    </t>
    </r>
    <r>
      <rPr>
        <sz val="9"/>
        <rFont val="Calibri"/>
        <family val="2"/>
        <scheme val="minor"/>
      </rPr>
      <t xml:space="preserve">Program Management </t>
    </r>
  </si>
  <si>
    <t>BLS OES May 2023</t>
  </si>
  <si>
    <r>
      <t>Benchmark Salaries</t>
    </r>
    <r>
      <rPr>
        <b/>
        <sz val="11"/>
        <rFont val="Calibri"/>
        <family val="2"/>
        <scheme val="minor"/>
      </rPr>
      <t xml:space="preserve"> *</t>
    </r>
  </si>
  <si>
    <r>
      <t xml:space="preserve">Benchmark Expenses </t>
    </r>
    <r>
      <rPr>
        <u/>
        <sz val="11"/>
        <rFont val="Calibri"/>
        <family val="2"/>
        <scheme val="minor"/>
      </rPr>
      <t>*</t>
    </r>
  </si>
  <si>
    <r>
      <rPr>
        <sz val="9"/>
        <rFont val="Calibri"/>
        <family val="2"/>
        <scheme val="minor"/>
      </rPr>
      <t xml:space="preserve">    Assistant</t>
    </r>
    <r>
      <rPr>
        <b/>
        <sz val="9"/>
        <rFont val="Calibri"/>
        <family val="2"/>
        <scheme val="minor"/>
      </rPr>
      <t xml:space="preserve"> </t>
    </r>
    <r>
      <rPr>
        <sz val="9"/>
        <rFont val="Calibri"/>
        <family val="2"/>
        <scheme val="minor"/>
      </rPr>
      <t>Program Manager</t>
    </r>
  </si>
  <si>
    <t xml:space="preserve">CIRT Model Budget 
</t>
  </si>
  <si>
    <t>Monthly Accomm. rate</t>
  </si>
  <si>
    <t>Current</t>
  </si>
  <si>
    <t>Apples to Apples</t>
  </si>
  <si>
    <t>12 months</t>
  </si>
  <si>
    <t>Salaries</t>
  </si>
  <si>
    <t xml:space="preserve">    Physician &amp; Psychiatrist</t>
  </si>
  <si>
    <t xml:space="preserve">    Nursing  + relief</t>
  </si>
  <si>
    <t xml:space="preserve">    Social Worker - L.I.C.S.W.</t>
  </si>
  <si>
    <t xml:space="preserve">    Social Worker - L.C.S.W.</t>
  </si>
  <si>
    <t xml:space="preserve">    Special Ed Teacher</t>
  </si>
  <si>
    <t xml:space="preserve">    Family Partner/Peer Mentor</t>
  </si>
  <si>
    <t xml:space="preserve">    Recreation Therapist</t>
  </si>
  <si>
    <t xml:space="preserve">    Direct Care III Staff</t>
  </si>
  <si>
    <t xml:space="preserve">    Relief</t>
  </si>
  <si>
    <t xml:space="preserve">    Prog Secretarial / Clerical</t>
  </si>
  <si>
    <t xml:space="preserve">   Maintenance/ Groundskeeping</t>
  </si>
  <si>
    <t xml:space="preserve">   Direct Car /Driver Staff</t>
  </si>
  <si>
    <t>Nursing</t>
  </si>
  <si>
    <t>Mo</t>
  </si>
  <si>
    <t>Tu</t>
  </si>
  <si>
    <t>We</t>
  </si>
  <si>
    <t>Th</t>
  </si>
  <si>
    <t>Fr</t>
  </si>
  <si>
    <t>Sa</t>
  </si>
  <si>
    <t>Su</t>
  </si>
  <si>
    <t>Wellness Expenses</t>
  </si>
  <si>
    <t>2 FTEs each shift</t>
  </si>
  <si>
    <t>On Call expenses</t>
  </si>
  <si>
    <t>46.81 FTES</t>
  </si>
  <si>
    <t>1 FTE per shift</t>
  </si>
  <si>
    <t>hours/week</t>
  </si>
  <si>
    <t>relief hours</t>
  </si>
  <si>
    <t>nursing FTE</t>
  </si>
  <si>
    <t>Monthly Rate</t>
  </si>
  <si>
    <t>Mgmt FTE</t>
  </si>
  <si>
    <t>5 FTEs each shift</t>
  </si>
  <si>
    <t>DC III FTE</t>
  </si>
  <si>
    <t>Grounds, cook Transport</t>
  </si>
  <si>
    <t>Staff FTE</t>
  </si>
  <si>
    <t xml:space="preserve">IRTP Model Budget 
</t>
  </si>
  <si>
    <t xml:space="preserve">    Psychologist - doctorate</t>
  </si>
  <si>
    <t xml:space="preserve">    Case Mgr / Special Ed Teacher</t>
  </si>
  <si>
    <t xml:space="preserve">    Groundskeeping, Cook, Transport</t>
  </si>
  <si>
    <t xml:space="preserve">Benchmark Salaries </t>
  </si>
  <si>
    <t xml:space="preserve">Youth Residential Model Budget 
</t>
  </si>
  <si>
    <t>BLS 2023 Median 53%</t>
  </si>
  <si>
    <t>Asst. Program Director</t>
  </si>
  <si>
    <t>Mental Health Professional (LMSW)</t>
  </si>
  <si>
    <t>Recreational Therapist</t>
  </si>
  <si>
    <t xml:space="preserve">Registered Nurse </t>
  </si>
  <si>
    <t>Tutor</t>
  </si>
  <si>
    <t>Prior Salary W/ CAF applied BSAS recommendation</t>
  </si>
  <si>
    <t>Educational Coordinator</t>
  </si>
  <si>
    <t>Residential Supervisor</t>
  </si>
  <si>
    <t>Residential Staff</t>
  </si>
  <si>
    <t>Administrative Assistant</t>
  </si>
  <si>
    <t>Medication Specialist</t>
  </si>
  <si>
    <t>Support Staff</t>
  </si>
  <si>
    <t>Residential Staff relief</t>
  </si>
  <si>
    <t>RN Relief</t>
  </si>
  <si>
    <t>Purchaser reccomendation</t>
  </si>
  <si>
    <t>Mental Health Professional</t>
  </si>
  <si>
    <t>Residenital Staff</t>
  </si>
  <si>
    <t>$404.74 @ 90% Utilization</t>
  </si>
  <si>
    <t>RATE:</t>
  </si>
  <si>
    <t>Staff Training (per FTE)</t>
  </si>
  <si>
    <t>FY21 Weighted Ave. UFR+ CAF</t>
  </si>
  <si>
    <t>Rate with Utilization Rate:</t>
  </si>
  <si>
    <t>Transportation (per bed day)</t>
  </si>
  <si>
    <t>Inc Med/Med/Pharmacy (per bed day)</t>
  </si>
  <si>
    <t>Program Supplies/Materials (per bed day)</t>
  </si>
  <si>
    <t>FY23 Weighted Ave. UFR</t>
  </si>
  <si>
    <t>Current Rate:</t>
  </si>
  <si>
    <t>Other Program Expenses (per bed day)</t>
  </si>
  <si>
    <t>FY21 Weighted Ave. UFR</t>
  </si>
  <si>
    <t xml:space="preserve"> Prospective FY26 &amp; FY27</t>
  </si>
  <si>
    <t>UFR 2023</t>
  </si>
  <si>
    <t>bed day/FTE</t>
  </si>
  <si>
    <t>2019 UFR</t>
  </si>
  <si>
    <t>Master Data Look-Up Table</t>
  </si>
  <si>
    <t>TAYYA</t>
  </si>
  <si>
    <t>Capacity</t>
  </si>
  <si>
    <t>Clinician (MA Lvl)</t>
  </si>
  <si>
    <t>Family Engagement Spec. (DCIII)</t>
  </si>
  <si>
    <t>Caseworker</t>
  </si>
  <si>
    <t>Family Engagement Spec.</t>
  </si>
  <si>
    <t>Recovery Specialist Supervisor</t>
  </si>
  <si>
    <t xml:space="preserve">Recovery Specialist  </t>
  </si>
  <si>
    <t>Vocational/Educational Coord.</t>
  </si>
  <si>
    <t>DC Relief Staff</t>
  </si>
  <si>
    <t>Total Reimb Exp. Excl. M&amp;G</t>
  </si>
  <si>
    <t xml:space="preserve">Per Bed Day rate </t>
  </si>
  <si>
    <t>Per Bed Day rate (95% utilization)</t>
  </si>
  <si>
    <t>C. 257 Benchmark</t>
  </si>
  <si>
    <t>Per Bed Day rate (90% utilization)</t>
  </si>
  <si>
    <t>Program Expenses (per bed day)</t>
  </si>
  <si>
    <t>Per Bed Day rate (85% utilization)</t>
  </si>
  <si>
    <t>Per Bed Day rate (80% utilization)</t>
  </si>
  <si>
    <t>ERTP RATE</t>
  </si>
  <si>
    <t>NON-ERTP RATE</t>
  </si>
  <si>
    <t>Community Treatment Residence</t>
  </si>
  <si>
    <t>Program Manager</t>
  </si>
  <si>
    <t xml:space="preserve">Nursing RN Non Masters </t>
  </si>
  <si>
    <t>Clinician W/ Indep. Licensure</t>
  </si>
  <si>
    <t xml:space="preserve">Clinician w/o  Independent Licensure </t>
  </si>
  <si>
    <t>Occupation Therapist</t>
  </si>
  <si>
    <t>Case Worker (Case Management)</t>
  </si>
  <si>
    <t>CQI specialist</t>
  </si>
  <si>
    <t xml:space="preserve">Direct Care (DC III) Milieu Manager </t>
  </si>
  <si>
    <t>Life Coach/DCIII</t>
  </si>
  <si>
    <t xml:space="preserve">Direct Care </t>
  </si>
  <si>
    <t>Direct Care Support Staff</t>
  </si>
  <si>
    <t>Transportation Staff</t>
  </si>
  <si>
    <t>Maintenance staff</t>
  </si>
  <si>
    <t>Relief</t>
  </si>
  <si>
    <t>Programmatic expenses</t>
  </si>
  <si>
    <t>Additional Training expenses</t>
  </si>
  <si>
    <t xml:space="preserve">FY26 &amp; FY27 CAF </t>
  </si>
  <si>
    <t>ERTP Per Bed Day rate (80% utilization)</t>
  </si>
  <si>
    <t>Non-ERTP Per Bed Day rate (80% utilization)</t>
  </si>
  <si>
    <t>ERTP Per Bed Day rate (90% utilization)</t>
  </si>
  <si>
    <t>Non-ERTP Per Bed Day rate (90% utilization)</t>
  </si>
  <si>
    <t>*Non-ERTP Rates use 0.5 FTE CQI Specialist; ERTP Rates have 1.0</t>
  </si>
  <si>
    <t>current rate</t>
  </si>
  <si>
    <t>Updated CAF Fall 2024 Report 3.25%</t>
  </si>
  <si>
    <t>Non-ERTP RATE</t>
  </si>
  <si>
    <t xml:space="preserve">Specialty Treatment Residence </t>
  </si>
  <si>
    <t>Program Manager (LICSW)</t>
  </si>
  <si>
    <t>Nursing LPN</t>
  </si>
  <si>
    <t>Clinician w Independent Licensure</t>
  </si>
  <si>
    <t>Clinician W/O Indep. Licensure</t>
  </si>
  <si>
    <t>CQI Specialists</t>
  </si>
  <si>
    <t>Clincial Care Manager (case mgmt)</t>
  </si>
  <si>
    <t>Case Worker (Ed Liaison)</t>
  </si>
  <si>
    <t>Transportation Staff (DC)</t>
  </si>
  <si>
    <t>Maintenance Staff (DC)</t>
  </si>
  <si>
    <t>BTL expenses to FY23 UFR data</t>
  </si>
  <si>
    <t>Specialty Treatment Residence-CSEC (Commercially Sexually Exploited Children)</t>
  </si>
  <si>
    <t>Clinician w/o Indep. Licensure</t>
  </si>
  <si>
    <t>Additional Consultation Expenses</t>
  </si>
  <si>
    <t>Additional Training Expense</t>
  </si>
  <si>
    <t>DCF changes to FTE's after 3/5/25 meeting</t>
  </si>
  <si>
    <t>FTE with</t>
  </si>
  <si>
    <t>FTE original</t>
  </si>
  <si>
    <t xml:space="preserve"> DCF changes</t>
  </si>
  <si>
    <t>FTE Changes</t>
  </si>
  <si>
    <t>Clinician w/Independent Licensure</t>
  </si>
  <si>
    <t>Life Coach /DCIII</t>
  </si>
  <si>
    <t>Totals</t>
  </si>
  <si>
    <t>* Original model is hidden</t>
  </si>
  <si>
    <t>ERTP Rate</t>
  </si>
  <si>
    <t>Non-ERTP Rate</t>
  </si>
  <si>
    <t>Intensive Treatment Residence</t>
  </si>
  <si>
    <t xml:space="preserve">Clinician w/o Indep. Licensure </t>
  </si>
  <si>
    <t>BCBA</t>
  </si>
  <si>
    <t>Life Coach / DC III</t>
  </si>
  <si>
    <t>Direct Care Staff</t>
  </si>
  <si>
    <t>Milieu Manager (DCIII)</t>
  </si>
  <si>
    <t>Case worker (case management)</t>
  </si>
  <si>
    <t>Case Worker (ED Liaison)</t>
  </si>
  <si>
    <t xml:space="preserve"> Rate </t>
  </si>
  <si>
    <t>Direct Care (DC I)</t>
  </si>
  <si>
    <t xml:space="preserve">Rate </t>
  </si>
  <si>
    <t xml:space="preserve">Intensive Treatment Residential Emergency Intake Add On
</t>
  </si>
  <si>
    <t xml:space="preserve">Medically Complex Residence
</t>
  </si>
  <si>
    <t>Medical Director (Physician/Psychiatrist)</t>
  </si>
  <si>
    <t>CQI Specialist</t>
  </si>
  <si>
    <t>ERTP</t>
  </si>
  <si>
    <t>DCF changes after 3.5.25 mtg</t>
  </si>
  <si>
    <t xml:space="preserve">Proposed </t>
  </si>
  <si>
    <t xml:space="preserve">DCF changes </t>
  </si>
  <si>
    <t xml:space="preserve">Changes to </t>
  </si>
  <si>
    <t>original FTE's</t>
  </si>
  <si>
    <t>FTE's</t>
  </si>
  <si>
    <t>FTES</t>
  </si>
  <si>
    <t>Total</t>
  </si>
  <si>
    <t>Non- ERTP</t>
  </si>
  <si>
    <t>*Original models hidden</t>
  </si>
  <si>
    <t>ERTP Rate:</t>
  </si>
  <si>
    <t>Non-ERTP Rate:</t>
  </si>
  <si>
    <t xml:space="preserve"> Medically Complex and Behavioral Residence
</t>
  </si>
  <si>
    <t>DCF Changes to FTS's in models after 3.5.25 mtg</t>
  </si>
  <si>
    <t>Non-ERTP</t>
  </si>
  <si>
    <t xml:space="preserve">Youth and Young Adult Group Residence
</t>
  </si>
  <si>
    <t>Life Coach/DC III</t>
  </si>
  <si>
    <t xml:space="preserve">Youth and Young Adult Supported Living Community
</t>
  </si>
  <si>
    <t>House Parent</t>
  </si>
  <si>
    <t>Life Coach</t>
  </si>
  <si>
    <t xml:space="preserve">Young Adult Supported Living
</t>
  </si>
  <si>
    <t xml:space="preserve">Young Parent Living Program
</t>
  </si>
  <si>
    <t xml:space="preserve">Young Parent Assessment 
</t>
  </si>
  <si>
    <t>Avg Annual Assessments</t>
  </si>
  <si>
    <t>Total Assessment Hours</t>
  </si>
  <si>
    <t>Hours per Assessment</t>
  </si>
  <si>
    <t>Program Manager LICSW</t>
  </si>
  <si>
    <t>Management Oversight</t>
  </si>
  <si>
    <t>Psychaitrist</t>
  </si>
  <si>
    <t>Maintenance Staff</t>
  </si>
  <si>
    <t>Program Supplies and Materials (per Assessment)</t>
  </si>
  <si>
    <t>Training</t>
  </si>
  <si>
    <t>Sq Ft</t>
  </si>
  <si>
    <t xml:space="preserve">Monthly Bed Rate </t>
  </si>
  <si>
    <t>Rate per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</si>
</sst>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
    <numFmt numFmtId="165" formatCode="_(&quot;$&quot;* #,##0_);_(&quot;$&quot;* \(#,##0\);_(&quot;$&quot;* &quot;-&quot;??_);_(@_)"/>
    <numFmt numFmtId="166" formatCode="0.0"/>
    <numFmt numFmtId="167" formatCode="0.0%"/>
    <numFmt numFmtId="168" formatCode="\$#,##0.00"/>
    <numFmt numFmtId="169" formatCode="0.000"/>
    <numFmt numFmtId="170" formatCode="&quot;$&quot;#,##0"/>
    <numFmt numFmtId="171" formatCode="&quot;$&quot;#,##0.00"/>
    <numFmt numFmtId="172" formatCode="_(&quot;$&quot;* #,##0.000_);_(&quot;$&quot;* \(#,##0.000\);_(&quot;$&quot;* &quot;-&quot;??_);_(@_)"/>
    <numFmt numFmtId="173" formatCode="0.0000"/>
    <numFmt numFmtId="174" formatCode="[$-409]mmmm\ d\,\ yyyy;@"/>
    <numFmt numFmtId="175" formatCode="_(&quot;$&quot;* #,##0.00_);_(&quot;$&quot;* \(#,##0.00\);_(&quot;$&quot;* &quot;-&quot;_);_(@_)"/>
    <numFmt numFmtId="176" formatCode="#,##0.000"/>
    <numFmt numFmtId="177" formatCode="_(&quot;$&quot;* #,##0.0000_);_(&quot;$&quot;* \(#,##0.0000\);_(&quot;$&quot;* &quot;-&quot;??_);_(@_)"/>
    <numFmt numFmtId="178" formatCode="_(* #,##0.000_);_(* \(#,##0.000\);_(* &quot;-&quot;??_);_(@_)"/>
    <numFmt numFmtId="179" formatCode="_(* #,##0_);_(* \(#,##0\);_(* &quot;-&quot;??_);_(@_)"/>
    <numFmt numFmtId="180" formatCode="\$#,##0.0000"/>
    <numFmt numFmtId="181" formatCode="0.00000"/>
    <numFmt numFmtId="182" formatCode="_(&quot;$&quot;* #,##0.00000_);_(&quot;$&quot;* \(#,##0.00000\);_(&quot;$&quot;* &quot;-&quot;??_);_(@_)"/>
  </numFmts>
  <fonts count="158" x14ac:knownFonts="1">
    <font>
      <sz val="11"/>
      <color theme="1"/>
      <name val="Calibri"/>
      <family val="2"/>
      <scheme val="minor"/>
    </font>
    <font>
      <sz val="10"/>
      <name val="Arial"/>
      <family val="2"/>
    </font>
    <font>
      <b/>
      <sz val="10"/>
      <name val="Arial"/>
      <family val="2"/>
    </font>
    <font>
      <sz val="11"/>
      <color indexed="8"/>
      <name val="Calibri"/>
      <family val="2"/>
    </font>
    <font>
      <b/>
      <u/>
      <sz val="10"/>
      <name val="Arial"/>
      <family val="2"/>
    </font>
    <font>
      <sz val="9"/>
      <name val="Arial"/>
      <family val="2"/>
    </font>
    <font>
      <b/>
      <sz val="9"/>
      <color indexed="81"/>
      <name val="Tahoma"/>
      <family val="2"/>
    </font>
    <font>
      <sz val="9"/>
      <color indexed="81"/>
      <name val="Tahoma"/>
      <family val="2"/>
    </font>
    <font>
      <sz val="11"/>
      <color indexed="9"/>
      <name val="Calibri"/>
      <family val="2"/>
    </font>
    <font>
      <sz val="11"/>
      <color indexed="20"/>
      <name val="Calibri"/>
      <family val="2"/>
    </font>
    <font>
      <sz val="9"/>
      <color indexed="8"/>
      <name val="Calibri"/>
      <family val="2"/>
    </font>
    <font>
      <b/>
      <sz val="11"/>
      <color indexed="52"/>
      <name val="Calibri"/>
      <family val="2"/>
    </font>
    <font>
      <b/>
      <sz val="11"/>
      <color indexed="9"/>
      <name val="Calibri"/>
      <family val="2"/>
    </font>
    <font>
      <sz val="11"/>
      <name val="Arial"/>
      <family val="2"/>
    </font>
    <font>
      <i/>
      <sz val="11"/>
      <color indexed="23"/>
      <name val="Calibri"/>
      <family val="2"/>
    </font>
    <font>
      <sz val="11"/>
      <color indexed="17"/>
      <name val="Calibri"/>
      <family val="2"/>
    </font>
    <font>
      <b/>
      <sz val="9"/>
      <color indexed="8"/>
      <name val="Calibri"/>
      <family val="2"/>
    </font>
    <font>
      <b/>
      <sz val="15"/>
      <color indexed="56"/>
      <name val="Calibri"/>
      <family val="2"/>
    </font>
    <font>
      <b/>
      <sz val="13"/>
      <color indexed="56"/>
      <name val="Calibri"/>
      <family val="2"/>
    </font>
    <font>
      <b/>
      <sz val="11"/>
      <color indexed="56"/>
      <name val="Calibri"/>
      <family val="2"/>
    </font>
    <font>
      <u/>
      <sz val="11"/>
      <color indexed="12"/>
      <name val="Calibri"/>
      <family val="2"/>
      <charset val="1"/>
    </font>
    <font>
      <sz val="11"/>
      <color indexed="62"/>
      <name val="Calibri"/>
      <family val="2"/>
    </font>
    <font>
      <sz val="11"/>
      <color indexed="52"/>
      <name val="Calibri"/>
      <family val="2"/>
    </font>
    <font>
      <sz val="11"/>
      <color indexed="60"/>
      <name val="Calibri"/>
      <family val="2"/>
    </font>
    <font>
      <sz val="10"/>
      <color indexed="8"/>
      <name val="Arial"/>
      <family val="2"/>
    </font>
    <font>
      <sz val="10"/>
      <name val="Arial"/>
      <family val="2"/>
    </font>
    <font>
      <b/>
      <sz val="11"/>
      <color indexed="63"/>
      <name val="Calibri"/>
      <family val="2"/>
    </font>
    <font>
      <b/>
      <sz val="12"/>
      <color indexed="30"/>
      <name val="Calibri"/>
      <family val="2"/>
    </font>
    <font>
      <b/>
      <sz val="18"/>
      <color indexed="56"/>
      <name val="Cambria"/>
      <family val="2"/>
    </font>
    <font>
      <b/>
      <sz val="11"/>
      <color indexed="8"/>
      <name val="Calibri"/>
      <family val="2"/>
    </font>
    <font>
      <sz val="11"/>
      <color indexed="10"/>
      <name val="Calibri"/>
      <family val="2"/>
    </font>
    <font>
      <b/>
      <sz val="14"/>
      <name val="Arial"/>
      <family val="2"/>
    </font>
    <font>
      <b/>
      <sz val="12"/>
      <name val="Arial"/>
      <family val="2"/>
    </font>
    <font>
      <b/>
      <sz val="12"/>
      <color indexed="10"/>
      <name val="Arial"/>
      <family val="2"/>
    </font>
    <font>
      <b/>
      <sz val="11"/>
      <name val="Arial"/>
      <family val="2"/>
    </font>
    <font>
      <b/>
      <sz val="8"/>
      <name val="Arial"/>
      <family val="2"/>
    </font>
    <font>
      <sz val="8"/>
      <name val="Arial"/>
      <family val="2"/>
    </font>
    <font>
      <b/>
      <sz val="9"/>
      <name val="Arial"/>
      <family val="2"/>
    </font>
    <font>
      <b/>
      <u/>
      <sz val="9"/>
      <name val="Arial"/>
      <family val="2"/>
    </font>
    <font>
      <sz val="12"/>
      <name val="Arial"/>
      <family val="2"/>
    </font>
    <font>
      <sz val="14"/>
      <name val="Arial"/>
      <family val="2"/>
    </font>
    <font>
      <b/>
      <sz val="12"/>
      <name val="Times New Roman"/>
      <family val="1"/>
    </font>
    <font>
      <sz val="14"/>
      <color indexed="8"/>
      <name val="Times New Roman"/>
      <family val="1"/>
    </font>
    <font>
      <b/>
      <sz val="10"/>
      <color indexed="8"/>
      <name val="Arial"/>
      <family val="2"/>
    </font>
    <font>
      <sz val="12"/>
      <name val="Times New Roman"/>
      <family val="1"/>
    </font>
    <font>
      <b/>
      <sz val="14"/>
      <name val="Times New Roman"/>
      <family val="1"/>
    </font>
    <font>
      <sz val="14"/>
      <name val="Times New Roman"/>
      <family val="1"/>
    </font>
    <font>
      <sz val="14"/>
      <color indexed="8"/>
      <name val="Arial"/>
      <family val="2"/>
    </font>
    <font>
      <sz val="14"/>
      <color indexed="9"/>
      <name val="Arial"/>
      <family val="2"/>
    </font>
    <font>
      <sz val="10"/>
      <color indexed="17"/>
      <name val="Arial"/>
      <family val="2"/>
    </font>
    <font>
      <sz val="10"/>
      <color indexed="30"/>
      <name val="Arial"/>
      <family val="2"/>
    </font>
    <font>
      <b/>
      <u/>
      <sz val="10"/>
      <color indexed="8"/>
      <name val="Arial"/>
      <family val="2"/>
    </font>
    <font>
      <b/>
      <sz val="16"/>
      <color indexed="10"/>
      <name val="Calibri"/>
      <family val="2"/>
    </font>
    <font>
      <sz val="11"/>
      <color theme="1"/>
      <name val="Calibri"/>
      <family val="2"/>
      <scheme val="minor"/>
    </font>
    <font>
      <sz val="11"/>
      <color rgb="FF9C0006"/>
      <name val="Calibri"/>
      <family val="2"/>
    </font>
    <font>
      <sz val="11"/>
      <color theme="1"/>
      <name val="Calibri"/>
      <family val="2"/>
    </font>
    <font>
      <i/>
      <sz val="11"/>
      <color rgb="FF7F7F7F"/>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indexed="8"/>
      <name val="Calibri"/>
      <family val="2"/>
      <scheme val="minor"/>
    </font>
    <font>
      <sz val="10"/>
      <color theme="1"/>
      <name val="Tahoma"/>
      <family val="2"/>
    </font>
    <font>
      <b/>
      <sz val="18"/>
      <color theme="3"/>
      <name val="Cambria"/>
      <family val="2"/>
      <scheme val="major"/>
    </font>
    <font>
      <b/>
      <sz val="11"/>
      <color theme="1"/>
      <name val="Calibri"/>
      <family val="2"/>
      <scheme val="minor"/>
    </font>
    <font>
      <sz val="11"/>
      <color rgb="FFFF0000"/>
      <name val="Calibri"/>
      <family val="2"/>
      <scheme val="minor"/>
    </font>
    <font>
      <sz val="10"/>
      <color rgb="FFFF0000"/>
      <name val="Arial"/>
      <family val="2"/>
    </font>
    <font>
      <sz val="11"/>
      <name val="Calibri"/>
      <family val="2"/>
      <scheme val="minor"/>
    </font>
    <font>
      <b/>
      <sz val="11"/>
      <name val="Calibri"/>
      <family val="2"/>
      <scheme val="minor"/>
    </font>
    <font>
      <i/>
      <sz val="11"/>
      <color theme="1"/>
      <name val="Calibri"/>
      <family val="2"/>
      <scheme val="minor"/>
    </font>
    <font>
      <b/>
      <sz val="9"/>
      <name val="Calibri"/>
      <family val="2"/>
      <scheme val="minor"/>
    </font>
    <font>
      <sz val="9"/>
      <name val="Calibri"/>
      <family val="2"/>
      <scheme val="minor"/>
    </font>
    <font>
      <sz val="9"/>
      <color theme="1"/>
      <name val="Calibri"/>
      <family val="2"/>
      <scheme val="minor"/>
    </font>
    <font>
      <sz val="8"/>
      <name val="Calibri"/>
      <family val="2"/>
      <scheme val="minor"/>
    </font>
    <font>
      <b/>
      <sz val="10"/>
      <color rgb="FFFF0000"/>
      <name val="Arial"/>
      <family val="2"/>
    </font>
    <font>
      <sz val="12"/>
      <color theme="1"/>
      <name val="Calibri"/>
      <family val="2"/>
      <scheme val="minor"/>
    </font>
    <font>
      <i/>
      <sz val="9"/>
      <color theme="1"/>
      <name val="Calibri"/>
      <family val="2"/>
      <scheme val="minor"/>
    </font>
    <font>
      <sz val="8"/>
      <color theme="1"/>
      <name val="Calibri"/>
      <family val="2"/>
      <scheme val="minor"/>
    </font>
    <font>
      <b/>
      <u/>
      <sz val="10"/>
      <name val="Calibri"/>
      <family val="2"/>
      <scheme val="minor"/>
    </font>
    <font>
      <b/>
      <sz val="14"/>
      <name val="Calibri"/>
      <family val="2"/>
      <scheme val="minor"/>
    </font>
    <font>
      <sz val="12"/>
      <name val="Calibri"/>
      <family val="2"/>
      <scheme val="minor"/>
    </font>
    <font>
      <b/>
      <sz val="12"/>
      <name val="Calibri"/>
      <family val="2"/>
      <scheme val="minor"/>
    </font>
    <font>
      <sz val="14"/>
      <color theme="1"/>
      <name val="Calibri"/>
      <family val="2"/>
      <scheme val="minor"/>
    </font>
    <font>
      <sz val="14"/>
      <color theme="1"/>
      <name val="Times New Roman"/>
      <family val="1"/>
    </font>
    <font>
      <b/>
      <sz val="14"/>
      <color indexed="8"/>
      <name val="Calibri"/>
      <family val="2"/>
      <scheme val="minor"/>
    </font>
    <font>
      <sz val="12"/>
      <color theme="1"/>
      <name val="Times New Roman"/>
      <family val="1"/>
    </font>
    <font>
      <sz val="12"/>
      <color indexed="8"/>
      <name val="Calibri"/>
      <family val="2"/>
      <scheme val="minor"/>
    </font>
    <font>
      <b/>
      <sz val="14"/>
      <color theme="1"/>
      <name val="Calibri"/>
      <family val="2"/>
      <scheme val="minor"/>
    </font>
    <font>
      <sz val="14"/>
      <color indexed="8"/>
      <name val="Calibri"/>
      <family val="2"/>
      <scheme val="minor"/>
    </font>
    <font>
      <b/>
      <u/>
      <sz val="12"/>
      <color indexed="8"/>
      <name val="Calibri"/>
      <family val="2"/>
      <scheme val="minor"/>
    </font>
    <font>
      <b/>
      <sz val="12"/>
      <color theme="1"/>
      <name val="Times New Roman"/>
      <family val="1"/>
    </font>
    <font>
      <b/>
      <sz val="14"/>
      <color theme="1"/>
      <name val="Times New Roman"/>
      <family val="1"/>
    </font>
    <font>
      <sz val="12"/>
      <color indexed="62"/>
      <name val="Calibri"/>
      <family val="2"/>
      <scheme val="minor"/>
    </font>
    <font>
      <sz val="14"/>
      <name val="Calibri"/>
      <family val="2"/>
      <scheme val="minor"/>
    </font>
    <font>
      <b/>
      <sz val="14"/>
      <color theme="1"/>
      <name val="Arial"/>
      <family val="2"/>
    </font>
    <font>
      <sz val="11"/>
      <color theme="1"/>
      <name val="Arial"/>
      <family val="2"/>
    </font>
    <font>
      <sz val="14"/>
      <color indexed="9"/>
      <name val="Calibri"/>
      <family val="2"/>
      <scheme val="minor"/>
    </font>
    <font>
      <sz val="12"/>
      <color indexed="17"/>
      <name val="Calibri"/>
      <family val="2"/>
      <scheme val="minor"/>
    </font>
    <font>
      <sz val="11"/>
      <color indexed="10"/>
      <name val="Calibri"/>
      <family val="2"/>
      <scheme val="minor"/>
    </font>
    <font>
      <u/>
      <sz val="12"/>
      <color indexed="8"/>
      <name val="Calibri"/>
      <family val="2"/>
      <scheme val="minor"/>
    </font>
    <font>
      <b/>
      <sz val="12"/>
      <color indexed="8"/>
      <name val="Calibri"/>
      <family val="2"/>
      <scheme val="minor"/>
    </font>
    <font>
      <i/>
      <sz val="9"/>
      <name val="Calibri"/>
      <family val="2"/>
      <scheme val="minor"/>
    </font>
    <font>
      <sz val="10"/>
      <name val="Calibri"/>
      <family val="2"/>
      <scheme val="minor"/>
    </font>
    <font>
      <b/>
      <sz val="16"/>
      <name val="Calibri"/>
      <family val="2"/>
      <scheme val="minor"/>
    </font>
    <font>
      <b/>
      <sz val="16"/>
      <color rgb="FFFF0000"/>
      <name val="Calibri"/>
      <family val="2"/>
      <scheme val="minor"/>
    </font>
    <font>
      <b/>
      <sz val="16"/>
      <color theme="1"/>
      <name val="Calibri"/>
      <family val="2"/>
      <scheme val="minor"/>
    </font>
    <font>
      <sz val="16"/>
      <color theme="1"/>
      <name val="Calibri"/>
      <family val="2"/>
      <scheme val="minor"/>
    </font>
    <font>
      <sz val="10"/>
      <color theme="1"/>
      <name val="Verdana"/>
      <family val="2"/>
    </font>
    <font>
      <sz val="10"/>
      <name val="Arial"/>
      <family val="2"/>
    </font>
    <font>
      <sz val="10"/>
      <color indexed="8"/>
      <name val="Calibri"/>
      <family val="2"/>
      <scheme val="minor"/>
    </font>
    <font>
      <sz val="10"/>
      <color theme="0"/>
      <name val="Arial"/>
      <family val="2"/>
    </font>
    <font>
      <sz val="10"/>
      <color theme="1"/>
      <name val="Arial"/>
      <family val="2"/>
    </font>
    <font>
      <sz val="20"/>
      <color theme="1"/>
      <name val="Calibri"/>
      <family val="2"/>
      <scheme val="minor"/>
    </font>
    <font>
      <b/>
      <sz val="20"/>
      <name val="Calibri"/>
      <family val="2"/>
      <scheme val="minor"/>
    </font>
    <font>
      <b/>
      <sz val="20"/>
      <color rgb="FFFF0000"/>
      <name val="Calibri"/>
      <family val="2"/>
      <scheme val="minor"/>
    </font>
    <font>
      <b/>
      <sz val="20"/>
      <color theme="1"/>
      <name val="Calibri"/>
      <family val="2"/>
      <scheme val="minor"/>
    </font>
    <font>
      <b/>
      <sz val="20"/>
      <color indexed="10"/>
      <name val="Calibri"/>
      <family val="2"/>
    </font>
    <font>
      <sz val="20"/>
      <color rgb="FFFF0000"/>
      <name val="Calibri"/>
      <family val="2"/>
      <scheme val="minor"/>
    </font>
    <font>
      <sz val="12"/>
      <color theme="1"/>
      <name val="Courier New"/>
      <family val="3"/>
    </font>
    <font>
      <b/>
      <sz val="11"/>
      <color rgb="FF000000"/>
      <name val="Times New Roman"/>
      <family val="1"/>
    </font>
    <font>
      <sz val="11"/>
      <color rgb="FF000000"/>
      <name val="Times New Roman"/>
      <family val="1"/>
    </font>
    <font>
      <i/>
      <sz val="11"/>
      <color rgb="FF000000"/>
      <name val="Times New Roman"/>
      <family val="1"/>
    </font>
    <font>
      <b/>
      <sz val="11"/>
      <color theme="1"/>
      <name val="Times New Roman"/>
      <family val="1"/>
    </font>
    <font>
      <sz val="11"/>
      <color theme="1"/>
      <name val="Times New Roman"/>
      <family val="1"/>
    </font>
    <font>
      <i/>
      <sz val="11"/>
      <color theme="1"/>
      <name val="Times New Roman"/>
      <family val="1"/>
    </font>
    <font>
      <b/>
      <sz val="10"/>
      <name val="Calibri"/>
      <family val="2"/>
      <scheme val="minor"/>
    </font>
    <font>
      <sz val="10"/>
      <color theme="1"/>
      <name val="Calibri"/>
      <family val="2"/>
      <scheme val="minor"/>
    </font>
    <font>
      <u/>
      <sz val="10"/>
      <name val="Calibri"/>
      <family val="2"/>
      <scheme val="minor"/>
    </font>
    <font>
      <b/>
      <u/>
      <sz val="9"/>
      <name val="Calibri"/>
      <family val="2"/>
      <scheme val="minor"/>
    </font>
    <font>
      <sz val="11"/>
      <color rgb="FF000000"/>
      <name val="Calibri"/>
      <family val="2"/>
      <scheme val="minor"/>
    </font>
    <font>
      <b/>
      <sz val="10"/>
      <color theme="1"/>
      <name val="Arial"/>
      <family val="2"/>
    </font>
    <font>
      <b/>
      <i/>
      <sz val="11"/>
      <color theme="1"/>
      <name val="Calibri"/>
      <family val="2"/>
      <scheme val="minor"/>
    </font>
    <font>
      <sz val="9"/>
      <color rgb="FFFF0000"/>
      <name val="Calibri"/>
      <family val="2"/>
      <scheme val="minor"/>
    </font>
    <font>
      <sz val="10"/>
      <color rgb="FFFF0000"/>
      <name val="Calibri"/>
      <family val="2"/>
      <scheme val="minor"/>
    </font>
    <font>
      <b/>
      <sz val="11"/>
      <color rgb="FFFF0000"/>
      <name val="Calibri"/>
      <family val="2"/>
      <scheme val="minor"/>
    </font>
    <font>
      <b/>
      <sz val="12"/>
      <color indexed="81"/>
      <name val="Tahoma"/>
      <family val="2"/>
    </font>
    <font>
      <sz val="10"/>
      <color indexed="81"/>
      <name val="Tahoma"/>
      <family val="2"/>
    </font>
    <font>
      <sz val="11"/>
      <name val="Arial"/>
      <family val="2"/>
    </font>
    <font>
      <b/>
      <sz val="10"/>
      <color theme="1"/>
      <name val="Calibri"/>
      <family val="2"/>
      <scheme val="minor"/>
    </font>
    <font>
      <i/>
      <sz val="10"/>
      <color rgb="FFFF0000"/>
      <name val="Calibri"/>
      <family val="2"/>
      <scheme val="minor"/>
    </font>
    <font>
      <sz val="16"/>
      <name val="Arial"/>
      <family val="2"/>
    </font>
    <font>
      <sz val="9"/>
      <color indexed="8"/>
      <name val="Calibri"/>
      <family val="2"/>
      <scheme val="minor"/>
    </font>
    <font>
      <b/>
      <u/>
      <sz val="11"/>
      <name val="Calibri"/>
      <family val="2"/>
      <scheme val="minor"/>
    </font>
    <font>
      <u/>
      <sz val="11"/>
      <name val="Calibri"/>
      <family val="2"/>
      <scheme val="minor"/>
    </font>
    <font>
      <sz val="9"/>
      <color rgb="FF000000"/>
      <name val="Calibri"/>
      <family val="2"/>
      <scheme val="minor"/>
    </font>
    <font>
      <b/>
      <sz val="9"/>
      <color rgb="FFFF0000"/>
      <name val="Calibri"/>
      <family val="2"/>
      <scheme val="minor"/>
    </font>
    <font>
      <b/>
      <u/>
      <sz val="9"/>
      <color rgb="FFFF0000"/>
      <name val="Calibri"/>
      <family val="2"/>
      <scheme val="minor"/>
    </font>
    <font>
      <sz val="10"/>
      <color theme="0"/>
      <name val="Calibri"/>
      <family val="2"/>
      <scheme val="minor"/>
    </font>
    <font>
      <sz val="10"/>
      <color theme="7" tint="-0.499984740745262"/>
      <name val="Calibri"/>
      <family val="2"/>
      <scheme val="minor"/>
    </font>
    <font>
      <b/>
      <sz val="10"/>
      <color rgb="FF7030A0"/>
      <name val="Calibri"/>
      <family val="2"/>
      <scheme val="minor"/>
    </font>
    <font>
      <i/>
      <sz val="10"/>
      <name val="Calibri"/>
      <family val="2"/>
      <scheme val="minor"/>
    </font>
    <font>
      <i/>
      <sz val="10"/>
      <color theme="1"/>
      <name val="Calibri"/>
      <family val="2"/>
      <scheme val="minor"/>
    </font>
    <font>
      <sz val="10"/>
      <color theme="3" tint="0.39997558519241921"/>
      <name val="Calibri"/>
      <family val="2"/>
      <scheme val="minor"/>
    </font>
    <font>
      <i/>
      <sz val="10"/>
      <name val="Arial"/>
      <family val="2"/>
    </font>
    <font>
      <b/>
      <sz val="10"/>
      <color theme="0"/>
      <name val="Calibri"/>
      <family val="2"/>
      <scheme val="minor"/>
    </font>
    <font>
      <b/>
      <sz val="10"/>
      <color rgb="FFFF0000"/>
      <name val="Calibri"/>
      <family val="2"/>
      <scheme val="minor"/>
    </font>
    <font>
      <sz val="10"/>
      <color rgb="FF000000"/>
      <name val="Calibri"/>
      <family val="2"/>
      <scheme val="minor"/>
    </font>
  </fonts>
  <fills count="6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rgb="FFFFC7CE"/>
      </patternFill>
    </fill>
    <fill>
      <patternFill patternType="solid">
        <fgColor rgb="FFFFCC99"/>
      </patternFill>
    </fill>
    <fill>
      <patternFill patternType="solid">
        <fgColor rgb="FFFFFFCC"/>
      </patternFill>
    </fill>
    <fill>
      <patternFill patternType="solid">
        <fgColor rgb="FFFFFF00"/>
        <bgColor indexed="64"/>
      </patternFill>
    </fill>
    <fill>
      <patternFill patternType="solid">
        <fgColor theme="3" tint="0.59999389629810485"/>
        <bgColor indexed="64"/>
      </patternFill>
    </fill>
    <fill>
      <patternFill patternType="solid">
        <fgColor theme="2" tint="-0.249977111117893"/>
        <bgColor indexed="64"/>
      </patternFill>
    </fill>
    <fill>
      <patternFill patternType="solid">
        <fgColor theme="5" tint="0.79998168889431442"/>
        <bgColor indexed="64"/>
      </patternFill>
    </fill>
    <fill>
      <patternFill patternType="solid">
        <fgColor rgb="FFFFFFCC"/>
        <bgColor indexed="64"/>
      </patternFill>
    </fill>
    <fill>
      <patternFill patternType="solid">
        <fgColor theme="6" tint="0.39997558519241921"/>
        <bgColor indexed="64"/>
      </patternFill>
    </fill>
    <fill>
      <patternFill patternType="solid">
        <fgColor theme="9" tint="-0.249977111117893"/>
        <bgColor indexed="64"/>
      </patternFill>
    </fill>
    <fill>
      <patternFill patternType="solid">
        <fgColor rgb="FFFFFF66"/>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6" tint="-0.499984740745262"/>
        <bgColor indexed="64"/>
      </patternFill>
    </fill>
    <fill>
      <patternFill patternType="solid">
        <fgColor rgb="FF92D050"/>
        <bgColor indexed="64"/>
      </patternFill>
    </fill>
    <fill>
      <patternFill patternType="solid">
        <fgColor theme="1" tint="0.34998626667073579"/>
        <bgColor indexed="64"/>
      </patternFill>
    </fill>
    <fill>
      <patternFill patternType="solid">
        <fgColor theme="3" tint="0.39997558519241921"/>
        <bgColor indexed="64"/>
      </patternFill>
    </fill>
    <fill>
      <patternFill patternType="solid">
        <fgColor theme="2" tint="-0.499984740745262"/>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rgb="FFFF6600"/>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CC99FF"/>
        <bgColor indexed="64"/>
      </patternFill>
    </fill>
    <fill>
      <patternFill patternType="solid">
        <fgColor theme="7" tint="0.79998168889431442"/>
        <bgColor indexed="64"/>
      </patternFill>
    </fill>
    <fill>
      <patternFill patternType="solid">
        <fgColor theme="8" tint="0.79995117038483843"/>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3"/>
        <bgColor indexed="64"/>
      </patternFill>
    </fill>
    <fill>
      <patternFill patternType="solid">
        <fgColor rgb="FF7030A0"/>
        <bgColor indexed="64"/>
      </patternFill>
    </fill>
    <fill>
      <patternFill patternType="solid">
        <fgColor theme="0" tint="-4.9989318521683403E-2"/>
        <bgColor indexed="64"/>
      </patternFill>
    </fill>
    <fill>
      <patternFill patternType="solid">
        <fgColor rgb="FF00B0F0"/>
        <bgColor indexed="64"/>
      </patternFill>
    </fill>
  </fills>
  <borders count="10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right/>
      <top/>
      <bottom style="dashed">
        <color rgb="FFBFBFBF"/>
      </bottom>
      <diagonal/>
    </border>
    <border>
      <left style="thin">
        <color rgb="FF7F7F7F"/>
      </left>
      <right style="thin">
        <color rgb="FF7F7F7F"/>
      </right>
      <top style="thin">
        <color rgb="FF7F7F7F"/>
      </top>
      <bottom style="thin">
        <color rgb="FF7F7F7F"/>
      </bottom>
      <diagonal/>
    </border>
    <border>
      <left/>
      <right/>
      <top style="medium">
        <color rgb="FF0096D7"/>
      </top>
      <bottom/>
      <diagonal/>
    </border>
    <border>
      <left/>
      <right/>
      <top/>
      <bottom style="thick">
        <color rgb="FF0096D7"/>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thin">
        <color rgb="FFBFBFBF"/>
      </bottom>
      <diagonal/>
    </border>
    <border>
      <left/>
      <right/>
      <top style="thin">
        <color theme="4"/>
      </top>
      <bottom style="double">
        <color theme="4"/>
      </bottom>
      <diagonal/>
    </border>
    <border>
      <left/>
      <right/>
      <top/>
      <bottom style="thin">
        <color rgb="FF00B050"/>
      </bottom>
      <diagonal/>
    </border>
    <border>
      <left style="thin">
        <color rgb="FFFF0000"/>
      </left>
      <right/>
      <top style="thin">
        <color rgb="FFFF0000"/>
      </top>
      <bottom style="thin">
        <color rgb="FFFF0000"/>
      </bottom>
      <diagonal/>
    </border>
    <border>
      <left style="thin">
        <color rgb="FF00B050"/>
      </left>
      <right/>
      <top style="thin">
        <color rgb="FF00B050"/>
      </top>
      <bottom style="thin">
        <color rgb="FF00B050"/>
      </bottom>
      <diagonal/>
    </border>
    <border>
      <left/>
      <right/>
      <top style="thin">
        <color rgb="FF00B050"/>
      </top>
      <bottom style="thin">
        <color rgb="FF00B050"/>
      </bottom>
      <diagonal/>
    </border>
    <border>
      <left/>
      <right style="thin">
        <color rgb="FF00B050"/>
      </right>
      <top style="thin">
        <color rgb="FF00B050"/>
      </top>
      <bottom style="thin">
        <color rgb="FF00B050"/>
      </bottom>
      <diagonal/>
    </border>
    <border>
      <left style="thin">
        <color theme="0"/>
      </left>
      <right/>
      <top style="thin">
        <color rgb="FFFF0000"/>
      </top>
      <bottom style="thin">
        <color theme="0"/>
      </bottom>
      <diagonal/>
    </border>
    <border>
      <left style="thin">
        <color theme="0"/>
      </left>
      <right/>
      <top style="thin">
        <color rgb="FF00B050"/>
      </top>
      <bottom/>
      <diagonal/>
    </border>
    <border>
      <left/>
      <right/>
      <top style="thin">
        <color theme="0"/>
      </top>
      <bottom/>
      <diagonal/>
    </border>
    <border>
      <left style="thin">
        <color rgb="FFFF0000"/>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rgb="FFABABAB"/>
      </left>
      <right/>
      <top style="thin">
        <color rgb="FFABABAB"/>
      </top>
      <bottom/>
      <diagonal/>
    </border>
    <border>
      <left style="thin">
        <color rgb="FFABABAB"/>
      </left>
      <right/>
      <top/>
      <bottom/>
      <diagonal/>
    </border>
    <border>
      <left/>
      <right/>
      <top style="thin">
        <color rgb="FFABABAB"/>
      </top>
      <bottom/>
      <diagonal/>
    </border>
    <border>
      <left style="thin">
        <color rgb="FFABABAB"/>
      </left>
      <right/>
      <top style="thin">
        <color indexed="65"/>
      </top>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style="thin">
        <color indexed="64"/>
      </top>
      <bottom/>
      <diagonal/>
    </border>
    <border>
      <left style="medium">
        <color indexed="64"/>
      </left>
      <right/>
      <top/>
      <bottom style="thin">
        <color indexed="58"/>
      </bottom>
      <diagonal/>
    </border>
    <border>
      <left/>
      <right/>
      <top/>
      <bottom style="thin">
        <color indexed="58"/>
      </bottom>
      <diagonal/>
    </border>
    <border>
      <left/>
      <right style="medium">
        <color indexed="64"/>
      </right>
      <top/>
      <bottom style="thin">
        <color indexed="58"/>
      </bottom>
      <diagonal/>
    </border>
    <border>
      <left/>
      <right/>
      <top style="thin">
        <color indexed="58"/>
      </top>
      <bottom style="double">
        <color indexed="64"/>
      </bottom>
      <diagonal/>
    </border>
    <border>
      <left/>
      <right style="medium">
        <color indexed="64"/>
      </right>
      <top style="thin">
        <color indexed="58"/>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s>
  <cellStyleXfs count="322">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9" fillId="3" borderId="0" applyNumberFormat="0" applyBorder="0" applyAlignment="0" applyProtection="0"/>
    <xf numFmtId="0" fontId="54" fillId="25" borderId="0" applyNumberFormat="0" applyBorder="0" applyAlignment="0" applyProtection="0"/>
    <xf numFmtId="0" fontId="10" fillId="0" borderId="67" applyNumberFormat="0" applyFont="0" applyProtection="0">
      <alignment wrapText="1"/>
    </xf>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2" fillId="21" borderId="2" applyNumberFormat="0" applyAlignment="0" applyProtection="0"/>
    <xf numFmtId="43" fontId="53" fillId="0" borderId="0" applyFont="0" applyFill="0" applyBorder="0" applyAlignment="0" applyProtection="0"/>
    <xf numFmtId="41" fontId="1"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3" fillId="0" borderId="0" applyFont="0" applyFill="0" applyBorder="0" applyAlignment="0" applyProtection="0"/>
    <xf numFmtId="43" fontId="5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4" fontId="3" fillId="0" borderId="0" applyFont="0" applyFill="0" applyBorder="0" applyAlignment="0" applyProtection="0"/>
    <xf numFmtId="42" fontId="1"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3" fillId="0" borderId="0" applyFont="0" applyFill="0" applyBorder="0" applyAlignment="0" applyProtection="0"/>
    <xf numFmtId="44" fontId="55" fillId="0" borderId="0" applyFont="0" applyFill="0" applyBorder="0" applyAlignment="0" applyProtection="0"/>
    <xf numFmtId="44" fontId="53" fillId="0" borderId="0" applyFont="0" applyFill="0" applyBorder="0" applyAlignment="0" applyProtection="0"/>
    <xf numFmtId="44" fontId="55" fillId="0" borderId="0" applyFont="0" applyFill="0" applyBorder="0" applyAlignment="0" applyProtection="0"/>
    <xf numFmtId="44" fontId="53" fillId="0" borderId="0" applyFont="0" applyFill="0" applyBorder="0" applyAlignment="0" applyProtection="0"/>
    <xf numFmtId="44" fontId="1" fillId="0" borderId="0" applyFont="0" applyFill="0" applyBorder="0" applyAlignment="0" applyProtection="0"/>
    <xf numFmtId="44" fontId="5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5" fillId="0" borderId="0" applyFont="0" applyFill="0" applyBorder="0" applyAlignment="0" applyProtection="0"/>
    <xf numFmtId="44" fontId="13"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3" fillId="0" borderId="0" applyFont="0" applyFill="0" applyBorder="0" applyAlignment="0" applyProtection="0"/>
    <xf numFmtId="44" fontId="3" fillId="0" borderId="0" applyFont="0" applyFill="0" applyBorder="0" applyAlignment="0" applyProtection="0"/>
    <xf numFmtId="44" fontId="53" fillId="0" borderId="0" applyFont="0" applyFill="0" applyBorder="0" applyAlignment="0" applyProtection="0"/>
    <xf numFmtId="44" fontId="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3"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5" fillId="0" borderId="0" applyFont="0" applyFill="0" applyBorder="0" applyAlignment="0" applyProtection="0"/>
    <xf numFmtId="44" fontId="5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3" fillId="0" borderId="0" applyFont="0" applyFill="0" applyBorder="0" applyAlignment="0" applyProtection="0"/>
    <xf numFmtId="44" fontId="53" fillId="0" borderId="0" applyFont="0" applyFill="0" applyBorder="0" applyAlignment="0" applyProtection="0"/>
    <xf numFmtId="44" fontId="3" fillId="0" borderId="0" applyFont="0" applyFill="0" applyBorder="0" applyAlignment="0" applyProtection="0"/>
    <xf numFmtId="44" fontId="53" fillId="0" borderId="0" applyFont="0" applyFill="0" applyBorder="0" applyAlignment="0" applyProtection="0"/>
    <xf numFmtId="44" fontId="5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5" fillId="0" borderId="0" applyFont="0" applyFill="0" applyBorder="0" applyAlignment="0" applyProtection="0"/>
    <xf numFmtId="44" fontId="3" fillId="0" borderId="0" applyFont="0" applyFill="0" applyBorder="0" applyAlignment="0" applyProtection="0"/>
    <xf numFmtId="0" fontId="14" fillId="0" borderId="0" applyNumberFormat="0" applyFill="0" applyBorder="0" applyAlignment="0" applyProtection="0"/>
    <xf numFmtId="0" fontId="56" fillId="0" borderId="0" applyNumberFormat="0" applyFill="0" applyBorder="0" applyAlignment="0" applyProtection="0"/>
    <xf numFmtId="0" fontId="14" fillId="0" borderId="0" applyNumberFormat="0" applyFill="0" applyBorder="0" applyAlignment="0" applyProtection="0"/>
    <xf numFmtId="0" fontId="10" fillId="0" borderId="0" applyNumberFormat="0" applyFill="0" applyBorder="0" applyAlignment="0" applyProtection="0"/>
    <xf numFmtId="0" fontId="10" fillId="0" borderId="69" applyNumberFormat="0" applyProtection="0">
      <alignment wrapText="1"/>
    </xf>
    <xf numFmtId="0" fontId="15" fillId="4" borderId="0" applyNumberFormat="0" applyBorder="0" applyAlignment="0" applyProtection="0"/>
    <xf numFmtId="0" fontId="16" fillId="0" borderId="70" applyNumberFormat="0" applyProtection="0">
      <alignment wrapText="1"/>
    </xf>
    <xf numFmtId="0" fontId="17" fillId="0" borderId="3" applyNumberFormat="0" applyFill="0" applyAlignment="0" applyProtection="0"/>
    <xf numFmtId="0" fontId="57" fillId="0" borderId="71" applyNumberFormat="0" applyFill="0" applyAlignment="0" applyProtection="0"/>
    <xf numFmtId="0" fontId="17" fillId="0" borderId="3" applyNumberFormat="0" applyFill="0" applyAlignment="0" applyProtection="0"/>
    <xf numFmtId="0" fontId="18" fillId="0" borderId="4" applyNumberFormat="0" applyFill="0" applyAlignment="0" applyProtection="0"/>
    <xf numFmtId="0" fontId="58" fillId="0" borderId="72"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59" fillId="0" borderId="73"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59"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60" fillId="26" borderId="68"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2" fillId="0" borderId="6" applyNumberFormat="0" applyFill="0" applyAlignment="0" applyProtection="0"/>
    <xf numFmtId="0" fontId="61" fillId="0" borderId="74" applyNumberFormat="0" applyFill="0" applyAlignment="0" applyProtection="0"/>
    <xf numFmtId="0" fontId="22" fillId="0" borderId="6" applyNumberFormat="0" applyFill="0" applyAlignment="0" applyProtection="0"/>
    <xf numFmtId="0" fontId="23" fillId="22" borderId="0" applyNumberFormat="0" applyBorder="0" applyAlignment="0" applyProtection="0"/>
    <xf numFmtId="0" fontId="1" fillId="0" borderId="0"/>
    <xf numFmtId="0" fontId="53" fillId="0" borderId="0"/>
    <xf numFmtId="0" fontId="53" fillId="0" borderId="0"/>
    <xf numFmtId="0" fontId="53" fillId="0" borderId="0"/>
    <xf numFmtId="0" fontId="24" fillId="0" borderId="0"/>
    <xf numFmtId="0" fontId="53" fillId="0" borderId="0"/>
    <xf numFmtId="0" fontId="53" fillId="0" borderId="0"/>
    <xf numFmtId="0" fontId="1" fillId="0" borderId="0"/>
    <xf numFmtId="0" fontId="1" fillId="0" borderId="0"/>
    <xf numFmtId="0" fontId="1" fillId="0" borderId="0"/>
    <xf numFmtId="0" fontId="53" fillId="0" borderId="0"/>
    <xf numFmtId="0" fontId="1" fillId="0" borderId="0"/>
    <xf numFmtId="0" fontId="53" fillId="0" borderId="0"/>
    <xf numFmtId="0" fontId="53" fillId="0" borderId="0"/>
    <xf numFmtId="0" fontId="13" fillId="0" borderId="0"/>
    <xf numFmtId="0" fontId="13" fillId="0" borderId="0"/>
    <xf numFmtId="0" fontId="53" fillId="0" borderId="0"/>
    <xf numFmtId="0" fontId="53" fillId="0" borderId="0"/>
    <xf numFmtId="0" fontId="1" fillId="0" borderId="0"/>
    <xf numFmtId="0" fontId="1" fillId="0" borderId="0"/>
    <xf numFmtId="0" fontId="1" fillId="0" borderId="0"/>
    <xf numFmtId="0" fontId="55" fillId="0" borderId="0"/>
    <xf numFmtId="0" fontId="1" fillId="0" borderId="0"/>
    <xf numFmtId="0" fontId="3" fillId="0" borderId="0"/>
    <xf numFmtId="0" fontId="55" fillId="0" borderId="0"/>
    <xf numFmtId="0" fontId="1" fillId="0" borderId="0"/>
    <xf numFmtId="0" fontId="55" fillId="0" borderId="0"/>
    <xf numFmtId="0" fontId="3" fillId="0" borderId="0"/>
    <xf numFmtId="0" fontId="3" fillId="0" borderId="0"/>
    <xf numFmtId="0" fontId="53" fillId="0" borderId="0"/>
    <xf numFmtId="0" fontId="53" fillId="0" borderId="0"/>
    <xf numFmtId="0" fontId="62" fillId="0" borderId="0"/>
    <xf numFmtId="0" fontId="25" fillId="0" borderId="0"/>
    <xf numFmtId="0" fontId="1" fillId="0" borderId="0"/>
    <xf numFmtId="0" fontId="1" fillId="0" borderId="0"/>
    <xf numFmtId="0" fontId="53" fillId="0" borderId="0"/>
    <xf numFmtId="0" fontId="63" fillId="0" borderId="0"/>
    <xf numFmtId="0" fontId="63" fillId="0" borderId="0"/>
    <xf numFmtId="0" fontId="53" fillId="0" borderId="0"/>
    <xf numFmtId="0" fontId="1" fillId="0" borderId="0"/>
    <xf numFmtId="0" fontId="53" fillId="0" borderId="0"/>
    <xf numFmtId="0" fontId="1" fillId="0" borderId="0"/>
    <xf numFmtId="0" fontId="24" fillId="0" borderId="0">
      <alignment vertical="top"/>
    </xf>
    <xf numFmtId="0" fontId="63" fillId="0" borderId="0"/>
    <xf numFmtId="0" fontId="53" fillId="0" borderId="0"/>
    <xf numFmtId="0" fontId="1" fillId="0" borderId="0"/>
    <xf numFmtId="0" fontId="1" fillId="0" borderId="0"/>
    <xf numFmtId="0" fontId="53" fillId="0" borderId="0"/>
    <xf numFmtId="0" fontId="55" fillId="0" borderId="0"/>
    <xf numFmtId="0" fontId="1" fillId="0" borderId="0"/>
    <xf numFmtId="0" fontId="55" fillId="0" borderId="0"/>
    <xf numFmtId="0" fontId="53" fillId="0" borderId="0"/>
    <xf numFmtId="0" fontId="1" fillId="0" borderId="0"/>
    <xf numFmtId="0" fontId="55" fillId="0" borderId="0"/>
    <xf numFmtId="0" fontId="53" fillId="0" borderId="0"/>
    <xf numFmtId="0" fontId="53" fillId="0" borderId="0"/>
    <xf numFmtId="0" fontId="1" fillId="0" borderId="0"/>
    <xf numFmtId="0" fontId="55" fillId="0" borderId="0"/>
    <xf numFmtId="0" fontId="53" fillId="0" borderId="0"/>
    <xf numFmtId="0" fontId="55" fillId="0" borderId="0"/>
    <xf numFmtId="0" fontId="53" fillId="0" borderId="0"/>
    <xf numFmtId="0" fontId="53" fillId="0" borderId="0"/>
    <xf numFmtId="0" fontId="1" fillId="0" borderId="0"/>
    <xf numFmtId="0" fontId="1" fillId="0" borderId="0"/>
    <xf numFmtId="0" fontId="53" fillId="0" borderId="0"/>
    <xf numFmtId="0" fontId="53" fillId="0" borderId="0"/>
    <xf numFmtId="0" fontId="1" fillId="0" borderId="0"/>
    <xf numFmtId="0" fontId="24" fillId="0" borderId="0"/>
    <xf numFmtId="0" fontId="1" fillId="0" borderId="0"/>
    <xf numFmtId="0" fontId="53" fillId="0" borderId="0"/>
    <xf numFmtId="0" fontId="1" fillId="0" borderId="0"/>
    <xf numFmtId="0" fontId="53" fillId="0" borderId="0"/>
    <xf numFmtId="0" fontId="1" fillId="0" borderId="0"/>
    <xf numFmtId="0" fontId="53" fillId="0" borderId="0"/>
    <xf numFmtId="0" fontId="53" fillId="0" borderId="0"/>
    <xf numFmtId="0" fontId="53" fillId="0" borderId="0"/>
    <xf numFmtId="0" fontId="53" fillId="0" borderId="0"/>
    <xf numFmtId="0" fontId="53" fillId="0" borderId="0"/>
    <xf numFmtId="0" fontId="53" fillId="0" borderId="0"/>
    <xf numFmtId="0" fontId="1" fillId="0" borderId="0"/>
    <xf numFmtId="0" fontId="53" fillId="27" borderId="75" applyNumberFormat="0" applyFont="0" applyAlignment="0" applyProtection="0"/>
    <xf numFmtId="0" fontId="1" fillId="23" borderId="7" applyNumberFormat="0" applyFont="0" applyAlignment="0" applyProtection="0"/>
    <xf numFmtId="0" fontId="1" fillId="23" borderId="7" applyNumberFormat="0" applyFont="0" applyAlignment="0" applyProtection="0"/>
    <xf numFmtId="0" fontId="26" fillId="20" borderId="8" applyNumberFormat="0" applyAlignment="0" applyProtection="0"/>
    <xf numFmtId="0" fontId="26" fillId="20" borderId="8" applyNumberFormat="0" applyAlignment="0" applyProtection="0"/>
    <xf numFmtId="0" fontId="26" fillId="20" borderId="8" applyNumberFormat="0" applyAlignment="0" applyProtection="0"/>
    <xf numFmtId="0" fontId="16" fillId="0" borderId="76" applyNumberFormat="0" applyProtection="0">
      <alignment wrapText="1"/>
    </xf>
    <xf numFmtId="9" fontId="3" fillId="0" borderId="0" applyFont="0" applyFill="0" applyBorder="0" applyAlignment="0" applyProtection="0"/>
    <xf numFmtId="9" fontId="3" fillId="0" borderId="0" applyFont="0" applyFill="0" applyBorder="0" applyAlignment="0" applyProtection="0"/>
    <xf numFmtId="9" fontId="53" fillId="0" borderId="0" applyFont="0" applyFill="0" applyBorder="0" applyAlignment="0" applyProtection="0"/>
    <xf numFmtId="9" fontId="55" fillId="0" borderId="0" applyFont="0" applyFill="0" applyBorder="0" applyAlignment="0" applyProtection="0"/>
    <xf numFmtId="9" fontId="5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3" fillId="0" borderId="0" applyFont="0" applyFill="0" applyBorder="0" applyAlignment="0" applyProtection="0"/>
    <xf numFmtId="9" fontId="53" fillId="0" borderId="0" applyFont="0" applyFill="0" applyBorder="0" applyAlignment="0" applyProtection="0"/>
    <xf numFmtId="9" fontId="13" fillId="0" borderId="0" applyFont="0" applyFill="0" applyBorder="0" applyAlignment="0" applyProtection="0"/>
    <xf numFmtId="9" fontId="53" fillId="0" borderId="0" applyFont="0" applyFill="0" applyBorder="0" applyAlignment="0" applyProtection="0"/>
    <xf numFmtId="9" fontId="1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3" fillId="0" borderId="0" applyFont="0" applyFill="0" applyBorder="0" applyAlignment="0" applyProtection="0"/>
    <xf numFmtId="9" fontId="1" fillId="0" borderId="0" applyFont="0" applyFill="0" applyBorder="0" applyAlignment="0" applyProtection="0"/>
    <xf numFmtId="9" fontId="5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5" fillId="0" borderId="0" applyFont="0" applyFill="0" applyBorder="0" applyAlignment="0" applyProtection="0"/>
    <xf numFmtId="9" fontId="3" fillId="0" borderId="0" applyFont="0" applyFill="0" applyBorder="0" applyAlignment="0" applyProtection="0"/>
    <xf numFmtId="9" fontId="53" fillId="0" borderId="0" applyFont="0" applyFill="0" applyBorder="0" applyAlignment="0" applyProtection="0"/>
    <xf numFmtId="9" fontId="3" fillId="0" borderId="0" applyFont="0" applyFill="0" applyBorder="0" applyAlignment="0" applyProtection="0"/>
    <xf numFmtId="9" fontId="55" fillId="0" borderId="0" applyFont="0" applyFill="0" applyBorder="0" applyAlignment="0" applyProtection="0"/>
    <xf numFmtId="9" fontId="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5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7" fillId="0" borderId="0" applyNumberFormat="0" applyProtection="0">
      <alignment horizontal="left"/>
    </xf>
    <xf numFmtId="0" fontId="64"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9" applyNumberFormat="0" applyFill="0" applyAlignment="0" applyProtection="0"/>
    <xf numFmtId="0" fontId="65" fillId="0" borderId="77" applyNumberFormat="0" applyFill="0" applyAlignment="0" applyProtection="0"/>
    <xf numFmtId="0" fontId="29" fillId="0" borderId="9" applyNumberFormat="0" applyFill="0" applyAlignment="0" applyProtection="0"/>
    <xf numFmtId="0" fontId="30" fillId="0" borderId="0" applyNumberFormat="0" applyFill="0" applyBorder="0" applyAlignment="0" applyProtection="0"/>
    <xf numFmtId="0" fontId="66" fillId="0" borderId="0" applyNumberFormat="0" applyFill="0" applyBorder="0" applyAlignment="0" applyProtection="0"/>
    <xf numFmtId="0" fontId="30" fillId="0" borderId="0" applyNumberFormat="0" applyFill="0" applyBorder="0" applyAlignment="0" applyProtection="0"/>
    <xf numFmtId="44" fontId="13" fillId="0" borderId="0" applyFont="0" applyFill="0" applyBorder="0" applyAlignment="0" applyProtection="0"/>
    <xf numFmtId="43" fontId="55" fillId="0" borderId="0" applyFont="0" applyFill="0" applyBorder="0" applyAlignment="0" applyProtection="0"/>
    <xf numFmtId="43" fontId="108" fillId="0" borderId="0" applyFont="0" applyFill="0" applyBorder="0" applyAlignment="0" applyProtection="0"/>
    <xf numFmtId="0" fontId="1" fillId="0" borderId="0"/>
    <xf numFmtId="0" fontId="3" fillId="0" borderId="0"/>
    <xf numFmtId="0" fontId="1" fillId="0" borderId="0"/>
    <xf numFmtId="0" fontId="109" fillId="0" borderId="0"/>
    <xf numFmtId="0" fontId="53" fillId="0" borderId="0"/>
    <xf numFmtId="0" fontId="1" fillId="0" borderId="0"/>
    <xf numFmtId="0" fontId="55" fillId="0" borderId="0"/>
    <xf numFmtId="0" fontId="109" fillId="0" borderId="0"/>
    <xf numFmtId="0" fontId="112" fillId="0" borderId="0">
      <alignment horizontal="left" vertical="center" wrapText="1"/>
    </xf>
    <xf numFmtId="0" fontId="1" fillId="0" borderId="0"/>
    <xf numFmtId="0" fontId="112" fillId="0" borderId="0">
      <alignment horizontal="left" vertical="center" wrapText="1"/>
    </xf>
    <xf numFmtId="3" fontId="1" fillId="0" borderId="0">
      <alignment horizontal="left" vertical="top" wrapText="1"/>
    </xf>
    <xf numFmtId="9" fontId="112" fillId="0" borderId="0" applyFont="0" applyFill="0" applyBorder="0" applyAlignment="0" applyProtection="0"/>
    <xf numFmtId="0" fontId="53" fillId="0" borderId="0"/>
    <xf numFmtId="0" fontId="138" fillId="0" borderId="0"/>
  </cellStyleXfs>
  <cellXfs count="2156">
    <xf numFmtId="0" fontId="0" fillId="0" borderId="0" xfId="0"/>
    <xf numFmtId="0" fontId="1" fillId="0" borderId="0" xfId="0" applyFont="1"/>
    <xf numFmtId="0" fontId="1" fillId="0" borderId="11" xfId="0" applyFont="1" applyBorder="1"/>
    <xf numFmtId="0" fontId="2" fillId="0" borderId="0" xfId="0" applyFont="1" applyAlignment="1">
      <alignment horizontal="center"/>
    </xf>
    <xf numFmtId="0" fontId="2" fillId="0" borderId="0" xfId="0" applyFont="1" applyAlignment="1">
      <alignment horizontal="center" wrapText="1"/>
    </xf>
    <xf numFmtId="42" fontId="1" fillId="0" borderId="0" xfId="0" applyNumberFormat="1" applyFont="1"/>
    <xf numFmtId="0" fontId="2" fillId="0" borderId="32" xfId="0" applyFont="1" applyBorder="1"/>
    <xf numFmtId="0" fontId="2" fillId="0" borderId="33" xfId="0" applyFont="1" applyBorder="1" applyAlignment="1">
      <alignment horizontal="center"/>
    </xf>
    <xf numFmtId="0" fontId="2" fillId="0" borderId="10" xfId="0" applyFont="1" applyBorder="1"/>
    <xf numFmtId="3" fontId="2" fillId="0" borderId="11" xfId="0" applyNumberFormat="1" applyFont="1" applyBorder="1"/>
    <xf numFmtId="0" fontId="1" fillId="0" borderId="10" xfId="0" applyFont="1" applyBorder="1"/>
    <xf numFmtId="42" fontId="1" fillId="0" borderId="11" xfId="0" applyNumberFormat="1" applyFont="1" applyBorder="1"/>
    <xf numFmtId="0" fontId="1" fillId="0" borderId="19" xfId="0" applyFont="1" applyBorder="1"/>
    <xf numFmtId="0" fontId="1" fillId="0" borderId="13" xfId="0" applyFont="1" applyBorder="1"/>
    <xf numFmtId="0" fontId="2" fillId="0" borderId="22" xfId="0" applyFont="1" applyBorder="1"/>
    <xf numFmtId="0" fontId="2" fillId="0" borderId="23" xfId="0" applyFont="1" applyBorder="1"/>
    <xf numFmtId="42" fontId="2" fillId="0" borderId="24" xfId="0" applyNumberFormat="1" applyFont="1" applyBorder="1"/>
    <xf numFmtId="44" fontId="2" fillId="0" borderId="23" xfId="0" applyNumberFormat="1" applyFont="1" applyBorder="1"/>
    <xf numFmtId="165" fontId="1" fillId="0" borderId="11" xfId="0" applyNumberFormat="1" applyFont="1" applyBorder="1"/>
    <xf numFmtId="0" fontId="2" fillId="0" borderId="25" xfId="0" applyFont="1" applyBorder="1"/>
    <xf numFmtId="0" fontId="1" fillId="0" borderId="26" xfId="0" applyFont="1" applyBorder="1"/>
    <xf numFmtId="42" fontId="2" fillId="0" borderId="27" xfId="0" applyNumberFormat="1" applyFont="1" applyBorder="1"/>
    <xf numFmtId="44" fontId="2" fillId="28" borderId="34" xfId="69" applyFont="1" applyFill="1" applyBorder="1" applyAlignment="1"/>
    <xf numFmtId="0" fontId="1" fillId="0" borderId="20" xfId="0" applyFont="1" applyBorder="1"/>
    <xf numFmtId="0" fontId="0" fillId="0" borderId="0" xfId="0" applyAlignment="1">
      <alignment horizontal="center"/>
    </xf>
    <xf numFmtId="0" fontId="68" fillId="0" borderId="0" xfId="0" applyFont="1"/>
    <xf numFmtId="10" fontId="0" fillId="0" borderId="0" xfId="0" applyNumberFormat="1" applyAlignment="1">
      <alignment horizontal="center"/>
    </xf>
    <xf numFmtId="0" fontId="68" fillId="0" borderId="11" xfId="0" applyFont="1" applyBorder="1"/>
    <xf numFmtId="10" fontId="68" fillId="0" borderId="20" xfId="0" applyNumberFormat="1" applyFont="1" applyBorder="1"/>
    <xf numFmtId="10" fontId="68" fillId="0" borderId="0" xfId="0" applyNumberFormat="1" applyFont="1"/>
    <xf numFmtId="0" fontId="31" fillId="24" borderId="13" xfId="197" applyFont="1" applyFill="1" applyBorder="1"/>
    <xf numFmtId="0" fontId="32" fillId="24" borderId="14" xfId="197" applyFont="1" applyFill="1" applyBorder="1"/>
    <xf numFmtId="0" fontId="25" fillId="0" borderId="0" xfId="197"/>
    <xf numFmtId="0" fontId="32" fillId="24" borderId="0" xfId="197" applyFont="1" applyFill="1"/>
    <xf numFmtId="0" fontId="2" fillId="24" borderId="11" xfId="197" applyFont="1" applyFill="1" applyBorder="1"/>
    <xf numFmtId="0" fontId="34" fillId="24" borderId="20" xfId="197" applyFont="1" applyFill="1" applyBorder="1"/>
    <xf numFmtId="0" fontId="2" fillId="24" borderId="21" xfId="197" applyFont="1" applyFill="1" applyBorder="1"/>
    <xf numFmtId="0" fontId="2" fillId="0" borderId="0" xfId="197" applyFont="1"/>
    <xf numFmtId="17" fontId="1" fillId="0" borderId="0" xfId="197" applyNumberFormat="1" applyFont="1"/>
    <xf numFmtId="17" fontId="25" fillId="0" borderId="0" xfId="197" applyNumberFormat="1"/>
    <xf numFmtId="0" fontId="25" fillId="28" borderId="0" xfId="197" applyFill="1"/>
    <xf numFmtId="0" fontId="25" fillId="29" borderId="0" xfId="197" applyFill="1"/>
    <xf numFmtId="0" fontId="25" fillId="33" borderId="0" xfId="197" applyFill="1"/>
    <xf numFmtId="0" fontId="25" fillId="34" borderId="0" xfId="197" applyFill="1"/>
    <xf numFmtId="14" fontId="2" fillId="0" borderId="0" xfId="197" applyNumberFormat="1" applyFont="1"/>
    <xf numFmtId="0" fontId="2" fillId="35" borderId="0" xfId="197" applyFont="1" applyFill="1"/>
    <xf numFmtId="0" fontId="2" fillId="36" borderId="0" xfId="197" applyFont="1" applyFill="1"/>
    <xf numFmtId="0" fontId="2" fillId="37" borderId="0" xfId="197" applyFont="1" applyFill="1"/>
    <xf numFmtId="0" fontId="2" fillId="38" borderId="0" xfId="197" applyFont="1" applyFill="1"/>
    <xf numFmtId="169" fontId="25" fillId="0" borderId="0" xfId="197" applyNumberFormat="1"/>
    <xf numFmtId="0" fontId="2" fillId="0" borderId="0" xfId="214" applyFont="1"/>
    <xf numFmtId="0" fontId="1" fillId="0" borderId="0" xfId="214"/>
    <xf numFmtId="0" fontId="75" fillId="0" borderId="0" xfId="214" applyFont="1"/>
    <xf numFmtId="0" fontId="67" fillId="0" borderId="0" xfId="214" applyFont="1"/>
    <xf numFmtId="0" fontId="1" fillId="0" borderId="37" xfId="214" applyBorder="1"/>
    <xf numFmtId="0" fontId="1" fillId="0" borderId="28" xfId="214" applyBorder="1"/>
    <xf numFmtId="0" fontId="1" fillId="0" borderId="38" xfId="214" applyBorder="1"/>
    <xf numFmtId="0" fontId="1" fillId="0" borderId="39" xfId="214" applyBorder="1"/>
    <xf numFmtId="0" fontId="1" fillId="0" borderId="0" xfId="214" applyAlignment="1">
      <alignment horizontal="right"/>
    </xf>
    <xf numFmtId="169" fontId="1" fillId="0" borderId="0" xfId="214" applyNumberFormat="1" applyAlignment="1">
      <alignment horizontal="center"/>
    </xf>
    <xf numFmtId="0" fontId="1" fillId="0" borderId="40" xfId="214" applyBorder="1"/>
    <xf numFmtId="14" fontId="2" fillId="0" borderId="0" xfId="165" applyNumberFormat="1" applyFont="1" applyAlignment="1">
      <alignment horizontal="center"/>
    </xf>
    <xf numFmtId="0" fontId="4" fillId="0" borderId="40" xfId="214" applyFont="1" applyBorder="1" applyAlignment="1">
      <alignment horizontal="center"/>
    </xf>
    <xf numFmtId="169" fontId="1" fillId="0" borderId="41" xfId="165" applyNumberFormat="1" applyBorder="1" applyAlignment="1">
      <alignment horizontal="center"/>
    </xf>
    <xf numFmtId="169" fontId="1" fillId="0" borderId="40" xfId="214" applyNumberFormat="1" applyBorder="1" applyAlignment="1">
      <alignment horizontal="center"/>
    </xf>
    <xf numFmtId="0" fontId="1" fillId="0" borderId="40" xfId="214" applyBorder="1" applyAlignment="1">
      <alignment horizontal="center"/>
    </xf>
    <xf numFmtId="0" fontId="2" fillId="0" borderId="0" xfId="165" applyFont="1" applyAlignment="1">
      <alignment horizontal="center"/>
    </xf>
    <xf numFmtId="0" fontId="2" fillId="28" borderId="0" xfId="214" applyFont="1" applyFill="1" applyAlignment="1">
      <alignment horizontal="right"/>
    </xf>
    <xf numFmtId="10" fontId="2" fillId="28" borderId="40" xfId="274" applyNumberFormat="1" applyFont="1" applyFill="1" applyBorder="1" applyAlignment="1">
      <alignment horizontal="center"/>
    </xf>
    <xf numFmtId="0" fontId="1" fillId="0" borderId="36" xfId="214" applyBorder="1"/>
    <xf numFmtId="0" fontId="1" fillId="0" borderId="16" xfId="214" applyBorder="1"/>
    <xf numFmtId="0" fontId="1" fillId="0" borderId="35" xfId="214" applyBorder="1"/>
    <xf numFmtId="174" fontId="65" fillId="0" borderId="0" xfId="0" applyNumberFormat="1" applyFont="1" applyAlignment="1">
      <alignment horizontal="left" vertical="top"/>
    </xf>
    <xf numFmtId="0" fontId="65" fillId="0" borderId="0" xfId="0" applyFont="1" applyAlignment="1">
      <alignment horizontal="center"/>
    </xf>
    <xf numFmtId="0" fontId="0" fillId="0" borderId="0" xfId="0" applyAlignment="1">
      <alignment wrapText="1"/>
    </xf>
    <xf numFmtId="0" fontId="65" fillId="0" borderId="0" xfId="0" applyFont="1"/>
    <xf numFmtId="9" fontId="65" fillId="0" borderId="0" xfId="0" applyNumberFormat="1" applyFont="1" applyAlignment="1">
      <alignment horizontal="center"/>
    </xf>
    <xf numFmtId="0" fontId="65" fillId="0" borderId="0" xfId="0" applyFont="1" applyAlignment="1">
      <alignment horizontal="left" wrapText="1"/>
    </xf>
    <xf numFmtId="0" fontId="76" fillId="0" borderId="12" xfId="0" applyFont="1" applyBorder="1"/>
    <xf numFmtId="171" fontId="76" fillId="0" borderId="42" xfId="0" applyNumberFormat="1" applyFont="1" applyBorder="1" applyAlignment="1">
      <alignment horizontal="center"/>
    </xf>
    <xf numFmtId="0" fontId="76" fillId="0" borderId="13" xfId="0" applyFont="1" applyBorder="1"/>
    <xf numFmtId="171" fontId="0" fillId="0" borderId="43" xfId="0" applyNumberFormat="1" applyBorder="1"/>
    <xf numFmtId="171" fontId="0" fillId="0" borderId="0" xfId="0" applyNumberFormat="1"/>
    <xf numFmtId="0" fontId="76" fillId="0" borderId="10" xfId="0" applyFont="1" applyBorder="1"/>
    <xf numFmtId="170" fontId="76" fillId="0" borderId="0" xfId="0" applyNumberFormat="1" applyFont="1" applyAlignment="1">
      <alignment horizontal="center"/>
    </xf>
    <xf numFmtId="0" fontId="76" fillId="0" borderId="0" xfId="0" applyFont="1"/>
    <xf numFmtId="170" fontId="0" fillId="0" borderId="44" xfId="0" applyNumberFormat="1" applyBorder="1"/>
    <xf numFmtId="0" fontId="76" fillId="0" borderId="19" xfId="0" applyFont="1" applyBorder="1"/>
    <xf numFmtId="170" fontId="76" fillId="0" borderId="20" xfId="0" applyNumberFormat="1" applyFont="1" applyBorder="1" applyAlignment="1">
      <alignment horizontal="center"/>
    </xf>
    <xf numFmtId="0" fontId="76" fillId="0" borderId="20" xfId="0" applyFont="1" applyBorder="1"/>
    <xf numFmtId="171" fontId="66" fillId="0" borderId="0" xfId="0" applyNumberFormat="1" applyFont="1"/>
    <xf numFmtId="0" fontId="76" fillId="0" borderId="10" xfId="0" applyFont="1" applyBorder="1" applyAlignment="1">
      <alignment wrapText="1"/>
    </xf>
    <xf numFmtId="171" fontId="76" fillId="0" borderId="16" xfId="0" applyNumberFormat="1" applyFont="1" applyBorder="1" applyAlignment="1">
      <alignment horizontal="center"/>
    </xf>
    <xf numFmtId="171" fontId="0" fillId="0" borderId="45" xfId="0" applyNumberFormat="1" applyBorder="1"/>
    <xf numFmtId="0" fontId="76" fillId="0" borderId="0" xfId="0" applyFont="1" applyAlignment="1">
      <alignment horizontal="right"/>
    </xf>
    <xf numFmtId="10" fontId="76" fillId="0" borderId="0" xfId="0" applyNumberFormat="1" applyFont="1" applyAlignment="1">
      <alignment horizontal="center"/>
    </xf>
    <xf numFmtId="0" fontId="77" fillId="0" borderId="0" xfId="0" applyFont="1"/>
    <xf numFmtId="0" fontId="78" fillId="0" borderId="0" xfId="0" applyFont="1"/>
    <xf numFmtId="0" fontId="73" fillId="0" borderId="0" xfId="0" applyFont="1" applyAlignment="1">
      <alignment wrapText="1"/>
    </xf>
    <xf numFmtId="0" fontId="1" fillId="37" borderId="12" xfId="0" applyFont="1" applyFill="1" applyBorder="1"/>
    <xf numFmtId="0" fontId="1" fillId="37" borderId="13" xfId="0" applyFont="1" applyFill="1" applyBorder="1"/>
    <xf numFmtId="0" fontId="1" fillId="37" borderId="14" xfId="0" applyFont="1" applyFill="1" applyBorder="1"/>
    <xf numFmtId="0" fontId="2" fillId="0" borderId="0" xfId="0" applyFont="1" applyAlignment="1">
      <alignment horizontal="left"/>
    </xf>
    <xf numFmtId="0" fontId="2" fillId="0" borderId="0" xfId="0" applyFont="1"/>
    <xf numFmtId="0" fontId="72" fillId="0" borderId="0" xfId="0" applyFont="1" applyAlignment="1">
      <alignment wrapText="1"/>
    </xf>
    <xf numFmtId="0" fontId="2" fillId="0" borderId="11" xfId="0" applyFont="1" applyBorder="1" applyAlignment="1">
      <alignment horizontal="center"/>
    </xf>
    <xf numFmtId="4" fontId="1" fillId="0" borderId="13" xfId="0" applyNumberFormat="1" applyFont="1" applyBorder="1"/>
    <xf numFmtId="42" fontId="1" fillId="0" borderId="14" xfId="0" applyNumberFormat="1" applyFont="1" applyBorder="1"/>
    <xf numFmtId="4" fontId="1" fillId="0" borderId="0" xfId="0" applyNumberFormat="1" applyFont="1"/>
    <xf numFmtId="10" fontId="1" fillId="0" borderId="0" xfId="0" applyNumberFormat="1" applyFont="1"/>
    <xf numFmtId="9" fontId="1" fillId="0" borderId="0" xfId="254" applyFont="1" applyBorder="1"/>
    <xf numFmtId="44" fontId="1" fillId="0" borderId="0" xfId="0" applyNumberFormat="1" applyFont="1"/>
    <xf numFmtId="0" fontId="5" fillId="0" borderId="10" xfId="0" applyFont="1" applyBorder="1"/>
    <xf numFmtId="44" fontId="1" fillId="0" borderId="0" xfId="69" applyFont="1" applyBorder="1"/>
    <xf numFmtId="165" fontId="1" fillId="0" borderId="0" xfId="0" applyNumberFormat="1" applyFont="1"/>
    <xf numFmtId="44" fontId="2" fillId="0" borderId="0" xfId="0" applyNumberFormat="1" applyFont="1"/>
    <xf numFmtId="44" fontId="2" fillId="0" borderId="33" xfId="69" applyFont="1" applyFill="1" applyBorder="1" applyAlignment="1"/>
    <xf numFmtId="44" fontId="35" fillId="0" borderId="0" xfId="69" applyFont="1" applyFill="1" applyBorder="1" applyAlignment="1"/>
    <xf numFmtId="44" fontId="35" fillId="0" borderId="0" xfId="0" applyNumberFormat="1" applyFont="1"/>
    <xf numFmtId="10" fontId="53" fillId="0" borderId="0" xfId="254" applyNumberFormat="1" applyFont="1" applyBorder="1"/>
    <xf numFmtId="44" fontId="53" fillId="0" borderId="0" xfId="69" applyFont="1" applyBorder="1"/>
    <xf numFmtId="170" fontId="0" fillId="0" borderId="0" xfId="0" applyNumberFormat="1"/>
    <xf numFmtId="167" fontId="53" fillId="0" borderId="0" xfId="254" applyNumberFormat="1" applyFont="1"/>
    <xf numFmtId="0" fontId="37" fillId="0" borderId="10" xfId="0" applyFont="1" applyBorder="1"/>
    <xf numFmtId="0" fontId="37" fillId="0" borderId="0" xfId="0" applyFont="1" applyAlignment="1">
      <alignment horizontal="center"/>
    </xf>
    <xf numFmtId="164" fontId="37" fillId="0" borderId="11" xfId="0" applyNumberFormat="1" applyFont="1" applyBorder="1" applyAlignment="1">
      <alignment horizontal="center"/>
    </xf>
    <xf numFmtId="0" fontId="37" fillId="0" borderId="46" xfId="0" applyFont="1" applyBorder="1"/>
    <xf numFmtId="0" fontId="37" fillId="0" borderId="42" xfId="0" applyFont="1" applyBorder="1" applyAlignment="1">
      <alignment horizontal="left"/>
    </xf>
    <xf numFmtId="0" fontId="37" fillId="0" borderId="42" xfId="0" applyFont="1" applyBorder="1"/>
    <xf numFmtId="3" fontId="37" fillId="0" borderId="47" xfId="0" applyNumberFormat="1" applyFont="1" applyBorder="1"/>
    <xf numFmtId="0" fontId="5" fillId="0" borderId="0" xfId="0" applyFont="1" applyAlignment="1">
      <alignment horizontal="center"/>
    </xf>
    <xf numFmtId="0" fontId="5" fillId="0" borderId="11" xfId="0" applyFont="1" applyBorder="1" applyAlignment="1">
      <alignment horizontal="center"/>
    </xf>
    <xf numFmtId="0" fontId="5" fillId="0" borderId="0" xfId="0" applyFont="1"/>
    <xf numFmtId="0" fontId="5" fillId="0" borderId="11" xfId="0" applyFont="1" applyBorder="1"/>
    <xf numFmtId="0" fontId="37" fillId="0" borderId="0" xfId="0" applyFont="1"/>
    <xf numFmtId="0" fontId="37" fillId="0" borderId="16" xfId="0" applyFont="1" applyBorder="1" applyAlignment="1">
      <alignment horizontal="center"/>
    </xf>
    <xf numFmtId="0" fontId="37" fillId="0" borderId="17" xfId="0" applyFont="1" applyBorder="1" applyAlignment="1">
      <alignment horizontal="center"/>
    </xf>
    <xf numFmtId="0" fontId="5" fillId="0" borderId="15" xfId="0" applyFont="1" applyBorder="1"/>
    <xf numFmtId="0" fontId="5" fillId="0" borderId="16" xfId="0" applyFont="1" applyBorder="1" applyAlignment="1">
      <alignment horizontal="center"/>
    </xf>
    <xf numFmtId="0" fontId="5" fillId="0" borderId="17" xfId="0" applyFont="1" applyBorder="1" applyAlignment="1">
      <alignment horizontal="center"/>
    </xf>
    <xf numFmtId="42" fontId="5" fillId="0" borderId="0" xfId="0" applyNumberFormat="1" applyFont="1"/>
    <xf numFmtId="4" fontId="5" fillId="0" borderId="0" xfId="0" applyNumberFormat="1" applyFont="1"/>
    <xf numFmtId="42" fontId="5" fillId="0" borderId="11" xfId="0" applyNumberFormat="1" applyFont="1" applyBorder="1"/>
    <xf numFmtId="0" fontId="5" fillId="0" borderId="0" xfId="0" applyFont="1" applyAlignment="1">
      <alignment horizontal="right"/>
    </xf>
    <xf numFmtId="0" fontId="5" fillId="0" borderId="19" xfId="0" applyFont="1" applyBorder="1"/>
    <xf numFmtId="0" fontId="5" fillId="0" borderId="20" xfId="0" applyFont="1" applyBorder="1" applyAlignment="1">
      <alignment horizontal="right"/>
    </xf>
    <xf numFmtId="167" fontId="5" fillId="0" borderId="21" xfId="254" applyNumberFormat="1" applyFont="1" applyFill="1" applyBorder="1" applyAlignment="1">
      <alignment horizontal="center"/>
    </xf>
    <xf numFmtId="0" fontId="79" fillId="0" borderId="0" xfId="0" applyFont="1" applyAlignment="1">
      <alignment horizontal="center"/>
    </xf>
    <xf numFmtId="0" fontId="37" fillId="0" borderId="22" xfId="0" applyFont="1" applyBorder="1"/>
    <xf numFmtId="0" fontId="37" fillId="0" borderId="23" xfId="0" applyFont="1" applyBorder="1"/>
    <xf numFmtId="4" fontId="37" fillId="0" borderId="23" xfId="0" applyNumberFormat="1" applyFont="1" applyBorder="1"/>
    <xf numFmtId="42" fontId="37" fillId="0" borderId="24" xfId="0" applyNumberFormat="1" applyFont="1" applyBorder="1"/>
    <xf numFmtId="10" fontId="5" fillId="0" borderId="0" xfId="0" applyNumberFormat="1" applyFont="1"/>
    <xf numFmtId="42" fontId="37" fillId="0" borderId="11" xfId="0" applyNumberFormat="1" applyFont="1" applyBorder="1"/>
    <xf numFmtId="44" fontId="5" fillId="0" borderId="0" xfId="0" applyNumberFormat="1" applyFont="1"/>
    <xf numFmtId="165" fontId="5" fillId="0" borderId="11" xfId="0" applyNumberFormat="1" applyFont="1" applyBorder="1"/>
    <xf numFmtId="2" fontId="5" fillId="0" borderId="0" xfId="0" applyNumberFormat="1" applyFont="1" applyAlignment="1">
      <alignment horizontal="center" wrapText="1"/>
    </xf>
    <xf numFmtId="10" fontId="5" fillId="0" borderId="11" xfId="254" applyNumberFormat="1" applyFont="1" applyFill="1" applyBorder="1"/>
    <xf numFmtId="10" fontId="5" fillId="0" borderId="11" xfId="0" applyNumberFormat="1" applyFont="1" applyBorder="1"/>
    <xf numFmtId="10" fontId="5" fillId="0" borderId="11" xfId="254" applyNumberFormat="1" applyFont="1" applyBorder="1" applyAlignment="1">
      <alignment horizontal="right"/>
    </xf>
    <xf numFmtId="168" fontId="37" fillId="0" borderId="0" xfId="0" applyNumberFormat="1" applyFont="1"/>
    <xf numFmtId="9" fontId="37" fillId="0" borderId="0" xfId="0" applyNumberFormat="1" applyFont="1"/>
    <xf numFmtId="9" fontId="37" fillId="0" borderId="0" xfId="254" applyFont="1" applyFill="1" applyBorder="1" applyAlignment="1"/>
    <xf numFmtId="44" fontId="37" fillId="0" borderId="0" xfId="69" applyFont="1" applyFill="1" applyBorder="1" applyAlignment="1"/>
    <xf numFmtId="44" fontId="37" fillId="0" borderId="0" xfId="69" applyFont="1" applyFill="1" applyBorder="1"/>
    <xf numFmtId="0" fontId="39" fillId="0" borderId="0" xfId="185" applyFont="1"/>
    <xf numFmtId="0" fontId="80" fillId="0" borderId="0" xfId="157" applyFont="1" applyFill="1" applyBorder="1" applyAlignment="1">
      <alignment horizontal="center"/>
    </xf>
    <xf numFmtId="0" fontId="1" fillId="0" borderId="0" xfId="185"/>
    <xf numFmtId="0" fontId="81" fillId="0" borderId="0" xfId="185" applyFont="1"/>
    <xf numFmtId="0" fontId="40" fillId="0" borderId="0" xfId="185" applyFont="1"/>
    <xf numFmtId="0" fontId="24" fillId="0" borderId="0" xfId="185" applyFont="1"/>
    <xf numFmtId="0" fontId="41" fillId="0" borderId="48" xfId="234" applyFont="1" applyBorder="1" applyAlignment="1">
      <alignment horizontal="center" vertical="center"/>
    </xf>
    <xf numFmtId="0" fontId="82" fillId="0" borderId="0" xfId="185" applyFont="1"/>
    <xf numFmtId="0" fontId="83" fillId="0" borderId="0" xfId="0" applyFont="1" applyAlignment="1">
      <alignment horizontal="center" wrapText="1"/>
    </xf>
    <xf numFmtId="0" fontId="84" fillId="0" borderId="10" xfId="0" applyFont="1" applyBorder="1" applyAlignment="1">
      <alignment horizontal="center"/>
    </xf>
    <xf numFmtId="0" fontId="84" fillId="0" borderId="0" xfId="0" applyFont="1" applyAlignment="1">
      <alignment horizontal="center"/>
    </xf>
    <xf numFmtId="0" fontId="42" fillId="0" borderId="0" xfId="185" applyFont="1" applyAlignment="1">
      <alignment horizontal="center" wrapText="1"/>
    </xf>
    <xf numFmtId="38" fontId="84" fillId="0" borderId="11" xfId="0" applyNumberFormat="1" applyFont="1" applyBorder="1" applyAlignment="1">
      <alignment horizontal="center"/>
    </xf>
    <xf numFmtId="3" fontId="85" fillId="0" borderId="0" xfId="185" applyNumberFormat="1" applyFont="1" applyAlignment="1">
      <alignment wrapText="1"/>
    </xf>
    <xf numFmtId="0" fontId="43" fillId="0" borderId="0" xfId="185" applyFont="1" applyAlignment="1">
      <alignment horizontal="center"/>
    </xf>
    <xf numFmtId="0" fontId="86" fillId="0" borderId="22" xfId="0" applyFont="1" applyBorder="1"/>
    <xf numFmtId="0" fontId="86" fillId="0" borderId="49" xfId="0" applyFont="1" applyBorder="1" applyAlignment="1">
      <alignment horizontal="left" wrapText="1"/>
    </xf>
    <xf numFmtId="0" fontId="87" fillId="0" borderId="0" xfId="185" applyFont="1"/>
    <xf numFmtId="38" fontId="88" fillId="0" borderId="0" xfId="0" applyNumberFormat="1" applyFont="1" applyAlignment="1">
      <alignment horizontal="center"/>
    </xf>
    <xf numFmtId="0" fontId="45" fillId="0" borderId="22" xfId="234" applyFont="1" applyBorder="1" applyAlignment="1">
      <alignment horizontal="center"/>
    </xf>
    <xf numFmtId="0" fontId="45" fillId="0" borderId="23" xfId="234" applyFont="1" applyBorder="1" applyAlignment="1">
      <alignment horizontal="center" wrapText="1"/>
    </xf>
    <xf numFmtId="0" fontId="45" fillId="0" borderId="24" xfId="234" applyFont="1" applyBorder="1" applyAlignment="1">
      <alignment horizontal="center" wrapText="1"/>
    </xf>
    <xf numFmtId="0" fontId="89" fillId="0" borderId="0" xfId="185" applyFont="1" applyAlignment="1">
      <alignment wrapText="1"/>
    </xf>
    <xf numFmtId="42" fontId="24" fillId="0" borderId="0" xfId="185" applyNumberFormat="1" applyFont="1"/>
    <xf numFmtId="164" fontId="90" fillId="0" borderId="0" xfId="185" applyNumberFormat="1" applyFont="1" applyAlignment="1">
      <alignment horizontal="center"/>
    </xf>
    <xf numFmtId="0" fontId="80" fillId="0" borderId="0" xfId="234" applyFont="1" applyAlignment="1">
      <alignment horizontal="center" wrapText="1"/>
    </xf>
    <xf numFmtId="164" fontId="84" fillId="0" borderId="10" xfId="0" applyNumberFormat="1" applyFont="1" applyBorder="1"/>
    <xf numFmtId="165" fontId="84" fillId="0" borderId="0" xfId="74" applyNumberFormat="1" applyFont="1" applyFill="1" applyBorder="1" applyAlignment="1">
      <alignment horizontal="center"/>
    </xf>
    <xf numFmtId="39" fontId="84" fillId="0" borderId="0" xfId="104" applyNumberFormat="1" applyFont="1" applyFill="1" applyBorder="1" applyAlignment="1">
      <alignment horizontal="center"/>
    </xf>
    <xf numFmtId="165" fontId="84" fillId="0" borderId="11" xfId="104" applyNumberFormat="1" applyFont="1" applyBorder="1" applyAlignment="1">
      <alignment horizontal="right"/>
    </xf>
    <xf numFmtId="0" fontId="85" fillId="0" borderId="0" xfId="185" applyFont="1" applyAlignment="1">
      <alignment horizontal="center" wrapText="1"/>
    </xf>
    <xf numFmtId="0" fontId="44" fillId="0" borderId="22" xfId="234" applyFont="1" applyBorder="1"/>
    <xf numFmtId="165" fontId="84" fillId="0" borderId="0" xfId="104" applyNumberFormat="1" applyFont="1" applyBorder="1" applyAlignment="1">
      <alignment horizontal="right"/>
    </xf>
    <xf numFmtId="42" fontId="89" fillId="0" borderId="0" xfId="185" applyNumberFormat="1" applyFont="1"/>
    <xf numFmtId="44" fontId="24" fillId="0" borderId="0" xfId="185" applyNumberFormat="1" applyFont="1"/>
    <xf numFmtId="166" fontId="84" fillId="0" borderId="10" xfId="0" applyNumberFormat="1" applyFont="1" applyBorder="1" applyAlignment="1">
      <alignment wrapText="1"/>
    </xf>
    <xf numFmtId="2" fontId="84" fillId="0" borderId="0" xfId="104" applyNumberFormat="1" applyFont="1" applyFill="1" applyBorder="1" applyAlignment="1">
      <alignment horizontal="center"/>
    </xf>
    <xf numFmtId="0" fontId="86" fillId="0" borderId="10" xfId="0" applyFont="1" applyBorder="1"/>
    <xf numFmtId="0" fontId="44" fillId="0" borderId="48" xfId="185" applyFont="1" applyBorder="1" applyAlignment="1">
      <alignment horizontal="left" wrapText="1"/>
    </xf>
    <xf numFmtId="2" fontId="84" fillId="0" borderId="0" xfId="104" applyNumberFormat="1" applyFont="1" applyBorder="1" applyAlignment="1">
      <alignment horizontal="center"/>
    </xf>
    <xf numFmtId="1" fontId="90" fillId="0" borderId="0" xfId="185" applyNumberFormat="1" applyFont="1" applyAlignment="1">
      <alignment horizontal="center"/>
    </xf>
    <xf numFmtId="165" fontId="84" fillId="0" borderId="0" xfId="74" applyNumberFormat="1" applyFont="1" applyBorder="1" applyAlignment="1">
      <alignment horizontal="center"/>
    </xf>
    <xf numFmtId="0" fontId="91" fillId="0" borderId="10" xfId="0" applyFont="1" applyBorder="1" applyAlignment="1">
      <alignment horizontal="right"/>
    </xf>
    <xf numFmtId="0" fontId="91" fillId="0" borderId="0" xfId="0" applyFont="1" applyAlignment="1">
      <alignment horizontal="center"/>
    </xf>
    <xf numFmtId="0" fontId="91" fillId="0" borderId="40" xfId="0" applyFont="1" applyBorder="1" applyAlignment="1">
      <alignment horizontal="center"/>
    </xf>
    <xf numFmtId="165" fontId="86" fillId="0" borderId="11" xfId="104" applyNumberFormat="1" applyFont="1" applyFill="1" applyBorder="1" applyAlignment="1">
      <alignment horizontal="center"/>
    </xf>
    <xf numFmtId="2" fontId="82" fillId="0" borderId="0" xfId="185" applyNumberFormat="1" applyFont="1" applyAlignment="1">
      <alignment horizontal="center"/>
    </xf>
    <xf numFmtId="0" fontId="92" fillId="0" borderId="32" xfId="0" applyFont="1" applyBorder="1"/>
    <xf numFmtId="5" fontId="84" fillId="0" borderId="33" xfId="74" applyNumberFormat="1" applyFont="1" applyBorder="1" applyAlignment="1">
      <alignment horizontal="center"/>
    </xf>
    <xf numFmtId="2" fontId="92" fillId="0" borderId="33" xfId="0" applyNumberFormat="1" applyFont="1" applyBorder="1" applyAlignment="1">
      <alignment horizontal="center"/>
    </xf>
    <xf numFmtId="165" fontId="92" fillId="0" borderId="34" xfId="104" applyNumberFormat="1" applyFont="1" applyBorder="1"/>
    <xf numFmtId="2" fontId="86" fillId="0" borderId="23" xfId="0" applyNumberFormat="1" applyFont="1" applyBorder="1" applyAlignment="1">
      <alignment horizontal="center"/>
    </xf>
    <xf numFmtId="2" fontId="44" fillId="0" borderId="50" xfId="185" applyNumberFormat="1" applyFont="1" applyBorder="1" applyAlignment="1">
      <alignment horizontal="center"/>
    </xf>
    <xf numFmtId="165" fontId="86" fillId="0" borderId="49" xfId="104" applyNumberFormat="1" applyFont="1" applyFill="1" applyBorder="1" applyAlignment="1">
      <alignment horizontal="left" wrapText="1"/>
    </xf>
    <xf numFmtId="0" fontId="93" fillId="0" borderId="0" xfId="185" applyFont="1" applyAlignment="1">
      <alignment horizontal="center"/>
    </xf>
    <xf numFmtId="165" fontId="92" fillId="0" borderId="0" xfId="104" applyNumberFormat="1" applyFont="1" applyBorder="1"/>
    <xf numFmtId="0" fontId="84" fillId="0" borderId="10" xfId="0" applyFont="1" applyBorder="1"/>
    <xf numFmtId="165" fontId="84" fillId="0" borderId="0" xfId="104" applyNumberFormat="1" applyFont="1" applyBorder="1" applyAlignment="1">
      <alignment horizontal="center"/>
    </xf>
    <xf numFmtId="2" fontId="84" fillId="0" borderId="0" xfId="0" applyNumberFormat="1" applyFont="1" applyAlignment="1">
      <alignment horizontal="center"/>
    </xf>
    <xf numFmtId="165" fontId="84" fillId="0" borderId="11" xfId="104" applyNumberFormat="1" applyFont="1" applyBorder="1"/>
    <xf numFmtId="42" fontId="85" fillId="0" borderId="0" xfId="185" applyNumberFormat="1" applyFont="1"/>
    <xf numFmtId="0" fontId="44" fillId="0" borderId="50" xfId="185" applyFont="1" applyBorder="1" applyAlignment="1">
      <alignment horizontal="center"/>
    </xf>
    <xf numFmtId="176" fontId="93" fillId="0" borderId="0" xfId="185" quotePrefix="1" applyNumberFormat="1" applyFont="1" applyAlignment="1">
      <alignment horizontal="center"/>
    </xf>
    <xf numFmtId="0" fontId="84" fillId="0" borderId="15" xfId="0" applyFont="1" applyBorder="1"/>
    <xf numFmtId="0" fontId="84" fillId="0" borderId="16" xfId="0" applyFont="1" applyBorder="1" applyAlignment="1">
      <alignment horizontal="center"/>
    </xf>
    <xf numFmtId="10" fontId="84" fillId="0" borderId="16" xfId="282" applyNumberFormat="1" applyFont="1" applyFill="1" applyBorder="1" applyAlignment="1">
      <alignment horizontal="center"/>
    </xf>
    <xf numFmtId="165" fontId="84" fillId="0" borderId="17" xfId="104" applyNumberFormat="1" applyFont="1" applyBorder="1"/>
    <xf numFmtId="0" fontId="89" fillId="0" borderId="0" xfId="185" applyFont="1"/>
    <xf numFmtId="2" fontId="93" fillId="0" borderId="0" xfId="185" applyNumberFormat="1" applyFont="1" applyAlignment="1">
      <alignment horizontal="center"/>
    </xf>
    <xf numFmtId="165" fontId="84" fillId="0" borderId="0" xfId="104" applyNumberFormat="1" applyFont="1" applyBorder="1"/>
    <xf numFmtId="0" fontId="92" fillId="0" borderId="25" xfId="0" applyFont="1" applyBorder="1"/>
    <xf numFmtId="0" fontId="84" fillId="0" borderId="26" xfId="0" applyFont="1" applyBorder="1" applyAlignment="1">
      <alignment horizontal="center"/>
    </xf>
    <xf numFmtId="165" fontId="92" fillId="0" borderId="27" xfId="104" applyNumberFormat="1" applyFont="1" applyBorder="1"/>
    <xf numFmtId="10" fontId="84" fillId="0" borderId="0" xfId="0" applyNumberFormat="1" applyFont="1" applyAlignment="1">
      <alignment horizontal="center"/>
    </xf>
    <xf numFmtId="0" fontId="86" fillId="0" borderId="18" xfId="0" applyFont="1" applyBorder="1"/>
    <xf numFmtId="2" fontId="86" fillId="0" borderId="28" xfId="0" applyNumberFormat="1" applyFont="1" applyBorder="1" applyAlignment="1">
      <alignment horizontal="center"/>
    </xf>
    <xf numFmtId="2" fontId="44" fillId="0" borderId="38" xfId="185" applyNumberFormat="1" applyFont="1" applyBorder="1" applyAlignment="1">
      <alignment horizontal="center"/>
    </xf>
    <xf numFmtId="165" fontId="86" fillId="0" borderId="51" xfId="104" applyNumberFormat="1" applyFont="1" applyFill="1" applyBorder="1" applyAlignment="1">
      <alignment horizontal="left" wrapText="1"/>
    </xf>
    <xf numFmtId="2" fontId="82" fillId="0" borderId="0" xfId="185" applyNumberFormat="1" applyFont="1"/>
    <xf numFmtId="165" fontId="84" fillId="0" borderId="0" xfId="0" applyNumberFormat="1" applyFont="1"/>
    <xf numFmtId="0" fontId="84" fillId="0" borderId="0" xfId="0" applyFont="1"/>
    <xf numFmtId="7" fontId="84" fillId="0" borderId="0" xfId="0" applyNumberFormat="1" applyFont="1" applyAlignment="1">
      <alignment horizontal="center"/>
    </xf>
    <xf numFmtId="165" fontId="84" fillId="0" borderId="11" xfId="0" applyNumberFormat="1" applyFont="1" applyBorder="1"/>
    <xf numFmtId="165" fontId="89" fillId="0" borderId="0" xfId="185" applyNumberFormat="1" applyFont="1"/>
    <xf numFmtId="0" fontId="86" fillId="0" borderId="15" xfId="0" applyFont="1" applyBorder="1"/>
    <xf numFmtId="10" fontId="86" fillId="0" borderId="16" xfId="282" applyNumberFormat="1" applyFont="1" applyFill="1" applyBorder="1" applyAlignment="1">
      <alignment horizontal="center"/>
    </xf>
    <xf numFmtId="165" fontId="86" fillId="0" borderId="17" xfId="104" applyNumberFormat="1" applyFont="1" applyFill="1" applyBorder="1" applyAlignment="1">
      <alignment horizontal="left" vertical="top" wrapText="1"/>
    </xf>
    <xf numFmtId="7" fontId="86" fillId="0" borderId="23" xfId="104" applyNumberFormat="1" applyFont="1" applyBorder="1" applyAlignment="1">
      <alignment horizontal="center"/>
    </xf>
    <xf numFmtId="171" fontId="86" fillId="0" borderId="23" xfId="104" applyNumberFormat="1" applyFont="1" applyBorder="1" applyAlignment="1">
      <alignment horizontal="center"/>
    </xf>
    <xf numFmtId="0" fontId="92" fillId="0" borderId="52" xfId="0" applyFont="1" applyBorder="1"/>
    <xf numFmtId="0" fontId="84" fillId="0" borderId="53" xfId="0" applyFont="1" applyBorder="1" applyAlignment="1">
      <alignment horizontal="center"/>
    </xf>
    <xf numFmtId="165" fontId="92" fillId="0" borderId="54" xfId="104" applyNumberFormat="1" applyFont="1" applyBorder="1"/>
    <xf numFmtId="165" fontId="89" fillId="0" borderId="0" xfId="72" applyNumberFormat="1" applyFont="1" applyFill="1" applyBorder="1"/>
    <xf numFmtId="170" fontId="86" fillId="0" borderId="24" xfId="104" applyNumberFormat="1" applyFont="1" applyBorder="1" applyAlignment="1">
      <alignment horizontal="center"/>
    </xf>
    <xf numFmtId="44" fontId="92" fillId="0" borderId="0" xfId="104" applyFont="1" applyFill="1" applyBorder="1"/>
    <xf numFmtId="165" fontId="89" fillId="0" borderId="0" xfId="72" applyNumberFormat="1" applyFont="1" applyBorder="1"/>
    <xf numFmtId="0" fontId="86" fillId="0" borderId="15" xfId="0" applyFont="1" applyBorder="1" applyAlignment="1">
      <alignment wrapText="1"/>
    </xf>
    <xf numFmtId="0" fontId="86" fillId="0" borderId="16" xfId="0" applyFont="1" applyBorder="1"/>
    <xf numFmtId="171" fontId="86" fillId="0" borderId="16" xfId="74" applyNumberFormat="1" applyFont="1" applyFill="1" applyBorder="1" applyAlignment="1">
      <alignment horizontal="center"/>
    </xf>
    <xf numFmtId="0" fontId="86" fillId="0" borderId="55" xfId="186" applyFont="1" applyBorder="1" applyAlignment="1">
      <alignment horizontal="left" wrapText="1"/>
    </xf>
    <xf numFmtId="10" fontId="84" fillId="0" borderId="0" xfId="253" applyNumberFormat="1" applyFont="1" applyBorder="1"/>
    <xf numFmtId="0" fontId="92" fillId="0" borderId="19" xfId="0" applyFont="1" applyBorder="1"/>
    <xf numFmtId="10" fontId="84" fillId="0" borderId="20" xfId="282" applyNumberFormat="1" applyFont="1" applyFill="1" applyBorder="1" applyAlignment="1">
      <alignment horizontal="center"/>
    </xf>
    <xf numFmtId="0" fontId="84" fillId="0" borderId="20" xfId="0" applyFont="1" applyBorder="1" applyAlignment="1">
      <alignment horizontal="center"/>
    </xf>
    <xf numFmtId="44" fontId="92" fillId="28" borderId="21" xfId="104" applyFont="1" applyFill="1" applyBorder="1"/>
    <xf numFmtId="44" fontId="94" fillId="0" borderId="0" xfId="74" applyFont="1" applyBorder="1"/>
    <xf numFmtId="0" fontId="44" fillId="0" borderId="10" xfId="234" applyFont="1" applyBorder="1"/>
    <xf numFmtId="0" fontId="44" fillId="0" borderId="0" xfId="234" applyFont="1"/>
    <xf numFmtId="10" fontId="44" fillId="0" borderId="0" xfId="282" applyNumberFormat="1" applyFont="1" applyFill="1" applyBorder="1" applyAlignment="1">
      <alignment horizontal="center"/>
    </xf>
    <xf numFmtId="0" fontId="86" fillId="0" borderId="49" xfId="0" applyFont="1" applyBorder="1" applyAlignment="1">
      <alignment horizontal="left"/>
    </xf>
    <xf numFmtId="44" fontId="94" fillId="0" borderId="0" xfId="104" applyFont="1" applyBorder="1"/>
    <xf numFmtId="0" fontId="92" fillId="0" borderId="0" xfId="0" applyFont="1"/>
    <xf numFmtId="10" fontId="92" fillId="0" borderId="0" xfId="282" applyNumberFormat="1" applyFont="1" applyFill="1" applyBorder="1" applyAlignment="1">
      <alignment horizontal="center"/>
    </xf>
    <xf numFmtId="44" fontId="89" fillId="0" borderId="0" xfId="185" applyNumberFormat="1" applyFont="1"/>
    <xf numFmtId="0" fontId="44" fillId="0" borderId="18" xfId="234" applyFont="1" applyBorder="1"/>
    <xf numFmtId="0" fontId="44" fillId="0" borderId="28" xfId="234" applyFont="1" applyBorder="1"/>
    <xf numFmtId="10" fontId="44" fillId="0" borderId="28" xfId="282" applyNumberFormat="1" applyFont="1" applyFill="1" applyBorder="1" applyAlignment="1">
      <alignment horizontal="center"/>
    </xf>
    <xf numFmtId="44" fontId="46" fillId="0" borderId="0" xfId="74" applyFont="1" applyBorder="1"/>
    <xf numFmtId="10" fontId="80" fillId="0" borderId="0" xfId="253" applyNumberFormat="1" applyFont="1" applyBorder="1"/>
    <xf numFmtId="165" fontId="89" fillId="0" borderId="0" xfId="102" applyNumberFormat="1" applyFont="1" applyBorder="1"/>
    <xf numFmtId="165" fontId="24" fillId="0" borderId="0" xfId="185" applyNumberFormat="1" applyFont="1"/>
    <xf numFmtId="0" fontId="44" fillId="0" borderId="32" xfId="234" applyFont="1" applyBorder="1"/>
    <xf numFmtId="0" fontId="44" fillId="0" borderId="33" xfId="234" applyFont="1" applyBorder="1"/>
    <xf numFmtId="171" fontId="44" fillId="0" borderId="33" xfId="282" applyNumberFormat="1" applyFont="1" applyFill="1" applyBorder="1" applyAlignment="1">
      <alignment horizontal="center"/>
    </xf>
    <xf numFmtId="165" fontId="86" fillId="0" borderId="21" xfId="104" applyNumberFormat="1" applyFont="1" applyFill="1" applyBorder="1" applyAlignment="1">
      <alignment horizontal="left" wrapText="1"/>
    </xf>
    <xf numFmtId="7" fontId="46" fillId="0" borderId="0" xfId="104" applyNumberFormat="1" applyFont="1" applyFill="1" applyBorder="1"/>
    <xf numFmtId="0" fontId="83" fillId="0" borderId="56" xfId="0" applyFont="1" applyBorder="1"/>
    <xf numFmtId="0" fontId="94" fillId="0" borderId="57" xfId="0" applyFont="1" applyBorder="1" applyAlignment="1">
      <alignment horizontal="center" wrapText="1"/>
    </xf>
    <xf numFmtId="0" fontId="94" fillId="0" borderId="47" xfId="0" applyFont="1" applyBorder="1" applyAlignment="1">
      <alignment horizontal="center" wrapText="1"/>
    </xf>
    <xf numFmtId="165" fontId="86" fillId="0" borderId="34" xfId="104" applyNumberFormat="1" applyFont="1" applyFill="1" applyBorder="1" applyAlignment="1">
      <alignment horizontal="left" wrapText="1"/>
    </xf>
    <xf numFmtId="0" fontId="83" fillId="0" borderId="58" xfId="0" applyFont="1" applyBorder="1" applyAlignment="1">
      <alignment wrapText="1"/>
    </xf>
    <xf numFmtId="8" fontId="83" fillId="0" borderId="59" xfId="0" applyNumberFormat="1" applyFont="1" applyBorder="1" applyAlignment="1">
      <alignment horizontal="center"/>
    </xf>
    <xf numFmtId="8" fontId="83" fillId="0" borderId="24" xfId="0" applyNumberFormat="1" applyFont="1" applyBorder="1" applyAlignment="1">
      <alignment horizontal="center"/>
    </xf>
    <xf numFmtId="44" fontId="3" fillId="0" borderId="0" xfId="74" applyFont="1" applyFill="1" applyBorder="1"/>
    <xf numFmtId="164" fontId="82" fillId="0" borderId="0" xfId="185" applyNumberFormat="1" applyFont="1" applyAlignment="1">
      <alignment horizontal="center"/>
    </xf>
    <xf numFmtId="10" fontId="92" fillId="0" borderId="0" xfId="253" applyNumberFormat="1" applyFont="1" applyBorder="1"/>
    <xf numFmtId="0" fontId="83" fillId="0" borderId="60" xfId="0" applyFont="1" applyBorder="1"/>
    <xf numFmtId="10" fontId="80" fillId="0" borderId="0" xfId="253" applyNumberFormat="1" applyFont="1" applyFill="1" applyBorder="1"/>
    <xf numFmtId="164" fontId="81" fillId="0" borderId="0" xfId="185" applyNumberFormat="1" applyFont="1"/>
    <xf numFmtId="44" fontId="83" fillId="0" borderId="0" xfId="0" applyNumberFormat="1" applyFont="1"/>
    <xf numFmtId="0" fontId="83" fillId="0" borderId="41" xfId="0" applyFont="1" applyBorder="1"/>
    <xf numFmtId="44" fontId="80" fillId="0" borderId="0" xfId="74" applyFont="1" applyFill="1" applyBorder="1"/>
    <xf numFmtId="166" fontId="81" fillId="0" borderId="0" xfId="185" applyNumberFormat="1" applyFont="1"/>
    <xf numFmtId="0" fontId="83" fillId="0" borderId="0" xfId="0" applyFont="1"/>
    <xf numFmtId="0" fontId="13" fillId="0" borderId="0" xfId="185" applyFont="1"/>
    <xf numFmtId="8" fontId="88" fillId="0" borderId="0" xfId="0" applyNumberFormat="1" applyFont="1"/>
    <xf numFmtId="0" fontId="31" fillId="0" borderId="20" xfId="185" applyFont="1" applyBorder="1"/>
    <xf numFmtId="8" fontId="95" fillId="0" borderId="20" xfId="0" applyNumberFormat="1" applyFont="1" applyBorder="1"/>
    <xf numFmtId="0" fontId="31" fillId="0" borderId="20" xfId="185" applyFont="1" applyBorder="1" applyAlignment="1">
      <alignment horizontal="center"/>
    </xf>
    <xf numFmtId="0" fontId="31" fillId="0" borderId="0" xfId="185" applyFont="1"/>
    <xf numFmtId="44" fontId="31" fillId="0" borderId="0" xfId="185" applyNumberFormat="1" applyFont="1"/>
    <xf numFmtId="171" fontId="95" fillId="0" borderId="0" xfId="0" applyNumberFormat="1" applyFont="1"/>
    <xf numFmtId="171" fontId="31" fillId="0" borderId="0" xfId="185" applyNumberFormat="1" applyFont="1" applyAlignment="1">
      <alignment horizontal="center"/>
    </xf>
    <xf numFmtId="171" fontId="31" fillId="28" borderId="0" xfId="185" applyNumberFormat="1" applyFont="1" applyFill="1"/>
    <xf numFmtId="0" fontId="47" fillId="0" borderId="0" xfId="185" applyFont="1"/>
    <xf numFmtId="168" fontId="40" fillId="0" borderId="0" xfId="157" applyNumberFormat="1" applyFont="1" applyFill="1" applyBorder="1" applyAlignment="1">
      <alignment horizontal="center" vertical="center"/>
    </xf>
    <xf numFmtId="0" fontId="48" fillId="0" borderId="0" xfId="0" applyFont="1" applyAlignment="1">
      <alignment wrapText="1"/>
    </xf>
    <xf numFmtId="171" fontId="40" fillId="0" borderId="0" xfId="185" applyNumberFormat="1" applyFont="1"/>
    <xf numFmtId="8" fontId="96" fillId="0" borderId="0" xfId="0" applyNumberFormat="1" applyFont="1"/>
    <xf numFmtId="171" fontId="85" fillId="0" borderId="0" xfId="74" applyNumberFormat="1" applyFont="1" applyFill="1" applyBorder="1"/>
    <xf numFmtId="168" fontId="94" fillId="0" borderId="0" xfId="157" applyNumberFormat="1" applyFont="1" applyFill="1" applyBorder="1" applyAlignment="1">
      <alignment horizontal="center" vertical="center"/>
    </xf>
    <xf numFmtId="0" fontId="97" fillId="0" borderId="0" xfId="0" applyFont="1"/>
    <xf numFmtId="8" fontId="83" fillId="0" borderId="0" xfId="0" applyNumberFormat="1" applyFont="1"/>
    <xf numFmtId="4" fontId="89" fillId="0" borderId="0" xfId="74" applyNumberFormat="1" applyFont="1" applyFill="1" applyBorder="1"/>
    <xf numFmtId="42" fontId="98" fillId="0" borderId="0" xfId="185" applyNumberFormat="1" applyFont="1"/>
    <xf numFmtId="0" fontId="94" fillId="0" borderId="0" xfId="185" applyFont="1"/>
    <xf numFmtId="0" fontId="68" fillId="0" borderId="0" xfId="185" applyFont="1"/>
    <xf numFmtId="0" fontId="99" fillId="0" borderId="0" xfId="185" applyFont="1" applyAlignment="1">
      <alignment wrapText="1"/>
    </xf>
    <xf numFmtId="0" fontId="100" fillId="0" borderId="0" xfId="185" applyFont="1" applyAlignment="1">
      <alignment horizontal="center"/>
    </xf>
    <xf numFmtId="42" fontId="87" fillId="0" borderId="0" xfId="185" applyNumberFormat="1" applyFont="1"/>
    <xf numFmtId="0" fontId="101" fillId="0" borderId="0" xfId="185" applyFont="1" applyAlignment="1">
      <alignment horizontal="center"/>
    </xf>
    <xf numFmtId="42" fontId="101" fillId="0" borderId="0" xfId="185" applyNumberFormat="1" applyFont="1"/>
    <xf numFmtId="168" fontId="98" fillId="0" borderId="0" xfId="185" applyNumberFormat="1" applyFont="1" applyAlignment="1">
      <alignment horizontal="right"/>
    </xf>
    <xf numFmtId="42" fontId="43" fillId="0" borderId="0" xfId="185" applyNumberFormat="1" applyFont="1"/>
    <xf numFmtId="0" fontId="43" fillId="0" borderId="0" xfId="185" applyFont="1"/>
    <xf numFmtId="44" fontId="24" fillId="0" borderId="0" xfId="72" applyFont="1" applyFill="1" applyBorder="1"/>
    <xf numFmtId="10" fontId="49" fillId="0" borderId="0" xfId="185" applyNumberFormat="1" applyFont="1"/>
    <xf numFmtId="10" fontId="50" fillId="0" borderId="0" xfId="185" applyNumberFormat="1" applyFont="1"/>
    <xf numFmtId="165" fontId="24" fillId="0" borderId="0" xfId="102" applyNumberFormat="1" applyFont="1" applyFill="1" applyBorder="1"/>
    <xf numFmtId="0" fontId="51" fillId="0" borderId="0" xfId="185" applyFont="1" applyAlignment="1">
      <alignment horizontal="right"/>
    </xf>
    <xf numFmtId="164" fontId="1" fillId="0" borderId="0" xfId="185" applyNumberFormat="1"/>
    <xf numFmtId="44" fontId="24" fillId="0" borderId="0" xfId="102" applyFont="1" applyFill="1" applyBorder="1"/>
    <xf numFmtId="2" fontId="35" fillId="0" borderId="0" xfId="0" applyNumberFormat="1" applyFont="1" applyAlignment="1">
      <alignment horizontal="center" vertical="center" wrapText="1"/>
    </xf>
    <xf numFmtId="0" fontId="5" fillId="0" borderId="58" xfId="0" applyFont="1" applyBorder="1"/>
    <xf numFmtId="2" fontId="37" fillId="0" borderId="41" xfId="0" applyNumberFormat="1" applyFont="1" applyBorder="1" applyAlignment="1">
      <alignment horizontal="center" vertical="center" wrapText="1"/>
    </xf>
    <xf numFmtId="2" fontId="5" fillId="0" borderId="41" xfId="0" applyNumberFormat="1" applyFont="1" applyBorder="1" applyAlignment="1">
      <alignment horizontal="center" vertical="center" wrapText="1"/>
    </xf>
    <xf numFmtId="2" fontId="36" fillId="0" borderId="0" xfId="0" applyNumberFormat="1" applyFont="1" applyAlignment="1">
      <alignment horizontal="center" wrapText="1"/>
    </xf>
    <xf numFmtId="0" fontId="5" fillId="0" borderId="61" xfId="0" applyFont="1" applyBorder="1"/>
    <xf numFmtId="2" fontId="37" fillId="0" borderId="62" xfId="0" applyNumberFormat="1" applyFont="1" applyBorder="1" applyAlignment="1">
      <alignment horizontal="center" vertical="center" wrapText="1"/>
    </xf>
    <xf numFmtId="44" fontId="5" fillId="0" borderId="11" xfId="254" applyNumberFormat="1" applyFont="1" applyFill="1" applyBorder="1"/>
    <xf numFmtId="0" fontId="37" fillId="0" borderId="32" xfId="0" applyFont="1" applyBorder="1"/>
    <xf numFmtId="0" fontId="5" fillId="0" borderId="33" xfId="0" applyFont="1" applyBorder="1"/>
    <xf numFmtId="10" fontId="5" fillId="0" borderId="21" xfId="254" applyNumberFormat="1" applyFont="1" applyFill="1" applyBorder="1" applyAlignment="1">
      <alignment horizontal="right"/>
    </xf>
    <xf numFmtId="10" fontId="5" fillId="0" borderId="0" xfId="254" applyNumberFormat="1" applyFont="1" applyBorder="1" applyAlignment="1">
      <alignment horizontal="right"/>
    </xf>
    <xf numFmtId="164" fontId="37" fillId="0" borderId="0" xfId="0" applyNumberFormat="1" applyFont="1" applyAlignment="1">
      <alignment horizontal="center"/>
    </xf>
    <xf numFmtId="0" fontId="1" fillId="0" borderId="0" xfId="0" applyFont="1" applyAlignment="1">
      <alignment horizontal="center"/>
    </xf>
    <xf numFmtId="0" fontId="73" fillId="0" borderId="11" xfId="0" applyFont="1" applyBorder="1" applyAlignment="1">
      <alignment wrapText="1"/>
    </xf>
    <xf numFmtId="0" fontId="72" fillId="0" borderId="11" xfId="0" applyFont="1" applyBorder="1" applyAlignment="1">
      <alignment wrapText="1"/>
    </xf>
    <xf numFmtId="10" fontId="1" fillId="0" borderId="20" xfId="0" applyNumberFormat="1" applyFont="1" applyBorder="1"/>
    <xf numFmtId="0" fontId="72" fillId="0" borderId="21" xfId="0" applyFont="1" applyBorder="1" applyAlignment="1">
      <alignment wrapText="1"/>
    </xf>
    <xf numFmtId="167" fontId="5" fillId="0" borderId="0" xfId="254" applyNumberFormat="1" applyFont="1" applyFill="1" applyBorder="1" applyAlignment="1">
      <alignment horizontal="center"/>
    </xf>
    <xf numFmtId="10" fontId="5" fillId="0" borderId="0" xfId="254" applyNumberFormat="1" applyFont="1" applyFill="1" applyBorder="1"/>
    <xf numFmtId="169" fontId="5" fillId="0" borderId="0" xfId="0" applyNumberFormat="1" applyFont="1" applyAlignment="1">
      <alignment horizontal="center" wrapText="1"/>
    </xf>
    <xf numFmtId="44" fontId="5" fillId="0" borderId="0" xfId="69" applyFont="1" applyFill="1" applyBorder="1"/>
    <xf numFmtId="44" fontId="5" fillId="0" borderId="0" xfId="69" applyFont="1" applyBorder="1"/>
    <xf numFmtId="10" fontId="5" fillId="0" borderId="20" xfId="0" applyNumberFormat="1" applyFont="1" applyBorder="1"/>
    <xf numFmtId="10" fontId="5" fillId="0" borderId="33" xfId="0" applyNumberFormat="1" applyFont="1" applyBorder="1"/>
    <xf numFmtId="165" fontId="37" fillId="28" borderId="34" xfId="69" applyNumberFormat="1" applyFont="1" applyFill="1" applyBorder="1" applyAlignment="1">
      <alignment horizontal="right"/>
    </xf>
    <xf numFmtId="10" fontId="53" fillId="0" borderId="0" xfId="252" applyNumberFormat="1" applyFont="1"/>
    <xf numFmtId="0" fontId="1" fillId="0" borderId="32" xfId="0" applyFont="1" applyBorder="1"/>
    <xf numFmtId="44" fontId="1" fillId="0" borderId="34" xfId="69" applyFont="1" applyFill="1" applyBorder="1" applyAlignment="1"/>
    <xf numFmtId="0" fontId="0" fillId="0" borderId="33" xfId="0" applyBorder="1"/>
    <xf numFmtId="164" fontId="37" fillId="0" borderId="0" xfId="0" applyNumberFormat="1" applyFont="1"/>
    <xf numFmtId="165" fontId="37" fillId="0" borderId="0" xfId="69" applyNumberFormat="1" applyFont="1" applyFill="1" applyBorder="1" applyAlignment="1">
      <alignment horizontal="right"/>
    </xf>
    <xf numFmtId="0" fontId="102" fillId="0" borderId="0" xfId="0" applyFont="1"/>
    <xf numFmtId="0" fontId="72" fillId="0" borderId="0" xfId="0" applyFont="1"/>
    <xf numFmtId="0" fontId="72" fillId="0" borderId="14" xfId="0" applyFont="1" applyBorder="1" applyAlignment="1">
      <alignment wrapText="1"/>
    </xf>
    <xf numFmtId="0" fontId="72" fillId="0" borderId="10" xfId="0" applyFont="1" applyBorder="1"/>
    <xf numFmtId="0" fontId="103" fillId="0" borderId="0" xfId="0" applyFont="1"/>
    <xf numFmtId="0" fontId="103" fillId="0" borderId="0" xfId="0" applyFont="1" applyAlignment="1">
      <alignment horizontal="center"/>
    </xf>
    <xf numFmtId="0" fontId="103" fillId="0" borderId="26" xfId="0" applyFont="1" applyBorder="1" applyAlignment="1">
      <alignment horizontal="center"/>
    </xf>
    <xf numFmtId="0" fontId="68" fillId="0" borderId="0" xfId="0" applyFont="1" applyAlignment="1">
      <alignment horizontal="center"/>
    </xf>
    <xf numFmtId="2" fontId="68" fillId="0" borderId="0" xfId="0" applyNumberFormat="1" applyFont="1" applyAlignment="1">
      <alignment horizontal="center"/>
    </xf>
    <xf numFmtId="10" fontId="5" fillId="0" borderId="0" xfId="254" applyNumberFormat="1" applyFont="1" applyBorder="1"/>
    <xf numFmtId="2" fontId="68" fillId="0" borderId="0" xfId="0" applyNumberFormat="1" applyFont="1"/>
    <xf numFmtId="0" fontId="69" fillId="0" borderId="0" xfId="0" applyFont="1"/>
    <xf numFmtId="10" fontId="71" fillId="0" borderId="0" xfId="252" applyNumberFormat="1" applyFont="1"/>
    <xf numFmtId="165" fontId="72" fillId="0" borderId="0" xfId="0" applyNumberFormat="1" applyFont="1"/>
    <xf numFmtId="44" fontId="72" fillId="0" borderId="0" xfId="0" applyNumberFormat="1" applyFont="1"/>
    <xf numFmtId="0" fontId="68" fillId="0" borderId="20" xfId="0" applyFont="1" applyBorder="1"/>
    <xf numFmtId="44" fontId="68" fillId="0" borderId="0" xfId="0" applyNumberFormat="1" applyFont="1"/>
    <xf numFmtId="10" fontId="71" fillId="0" borderId="0" xfId="252" applyNumberFormat="1" applyFont="1" applyFill="1"/>
    <xf numFmtId="177" fontId="72" fillId="0" borderId="0" xfId="0" applyNumberFormat="1" applyFont="1"/>
    <xf numFmtId="9" fontId="72" fillId="0" borderId="0" xfId="254" applyFont="1"/>
    <xf numFmtId="10" fontId="71" fillId="0" borderId="0" xfId="252" applyNumberFormat="1" applyFont="1" applyFill="1" applyBorder="1"/>
    <xf numFmtId="10" fontId="68" fillId="0" borderId="0" xfId="254" applyNumberFormat="1" applyFont="1" applyBorder="1"/>
    <xf numFmtId="0" fontId="71" fillId="0" borderId="0" xfId="0" applyFont="1" applyAlignment="1">
      <alignment horizontal="center" vertical="center"/>
    </xf>
    <xf numFmtId="0" fontId="35" fillId="0" borderId="0" xfId="0" applyFont="1" applyAlignment="1">
      <alignment horizontal="center" vertical="center"/>
    </xf>
    <xf numFmtId="0" fontId="35" fillId="0" borderId="11" xfId="0" applyFont="1" applyBorder="1" applyAlignment="1">
      <alignment horizontal="center" vertical="center"/>
    </xf>
    <xf numFmtId="0" fontId="72" fillId="0" borderId="29" xfId="0" applyFont="1" applyBorder="1"/>
    <xf numFmtId="0" fontId="72" fillId="0" borderId="63" xfId="0" applyFont="1" applyBorder="1"/>
    <xf numFmtId="0" fontId="72" fillId="0" borderId="32" xfId="0" applyFont="1" applyBorder="1"/>
    <xf numFmtId="0" fontId="72" fillId="0" borderId="34" xfId="0" applyFont="1" applyBorder="1"/>
    <xf numFmtId="2" fontId="37" fillId="0" borderId="41" xfId="0" applyNumberFormat="1" applyFont="1" applyBorder="1" applyAlignment="1">
      <alignment horizontal="center" vertical="center"/>
    </xf>
    <xf numFmtId="2" fontId="37" fillId="0" borderId="49" xfId="0" applyNumberFormat="1" applyFont="1" applyBorder="1" applyAlignment="1">
      <alignment horizontal="center" vertical="center"/>
    </xf>
    <xf numFmtId="0" fontId="37" fillId="0" borderId="41" xfId="0" applyFont="1" applyBorder="1" applyAlignment="1">
      <alignment horizontal="center" vertical="center"/>
    </xf>
    <xf numFmtId="0" fontId="5" fillId="0" borderId="49" xfId="0" applyFont="1" applyBorder="1" applyAlignment="1">
      <alignment horizontal="center" vertical="center"/>
    </xf>
    <xf numFmtId="0" fontId="72" fillId="0" borderId="12" xfId="0" applyFont="1" applyBorder="1"/>
    <xf numFmtId="0" fontId="72" fillId="0" borderId="14" xfId="0" applyFont="1" applyBorder="1"/>
    <xf numFmtId="0" fontId="72" fillId="0" borderId="11" xfId="0" applyFont="1" applyBorder="1"/>
    <xf numFmtId="2" fontId="72" fillId="0" borderId="10" xfId="0" applyNumberFormat="1" applyFont="1" applyBorder="1" applyAlignment="1">
      <alignment horizontal="right"/>
    </xf>
    <xf numFmtId="165" fontId="72" fillId="0" borderId="11" xfId="0" applyNumberFormat="1" applyFont="1" applyBorder="1"/>
    <xf numFmtId="43" fontId="72" fillId="0" borderId="10" xfId="32" applyFont="1" applyBorder="1"/>
    <xf numFmtId="44" fontId="72" fillId="0" borderId="10" xfId="0" applyNumberFormat="1" applyFont="1" applyBorder="1"/>
    <xf numFmtId="0" fontId="37" fillId="0" borderId="49" xfId="0" applyFont="1" applyBorder="1" applyAlignment="1">
      <alignment horizontal="center" vertical="center"/>
    </xf>
    <xf numFmtId="43" fontId="72" fillId="0" borderId="10" xfId="32" applyFont="1" applyFill="1" applyBorder="1"/>
    <xf numFmtId="173" fontId="72" fillId="0" borderId="10" xfId="0" applyNumberFormat="1" applyFont="1" applyBorder="1" applyAlignment="1">
      <alignment horizontal="right"/>
    </xf>
    <xf numFmtId="178" fontId="72" fillId="0" borderId="10" xfId="32" applyNumberFormat="1" applyFont="1" applyFill="1" applyBorder="1"/>
    <xf numFmtId="169" fontId="5" fillId="0" borderId="62" xfId="0" applyNumberFormat="1" applyFont="1" applyBorder="1" applyAlignment="1">
      <alignment horizontal="center" vertical="center"/>
    </xf>
    <xf numFmtId="0" fontId="5" fillId="0" borderId="64" xfId="0" applyFont="1" applyBorder="1" applyAlignment="1">
      <alignment horizontal="center" vertical="center"/>
    </xf>
    <xf numFmtId="173" fontId="37" fillId="0" borderId="62" xfId="0" applyNumberFormat="1" applyFont="1" applyBorder="1" applyAlignment="1">
      <alignment horizontal="center" vertical="center"/>
    </xf>
    <xf numFmtId="0" fontId="37" fillId="0" borderId="64" xfId="0" applyFont="1" applyBorder="1" applyAlignment="1">
      <alignment horizontal="center" vertical="center"/>
    </xf>
    <xf numFmtId="2" fontId="71" fillId="0" borderId="22" xfId="0" applyNumberFormat="1" applyFont="1" applyBorder="1" applyAlignment="1">
      <alignment horizontal="right"/>
    </xf>
    <xf numFmtId="165" fontId="71" fillId="0" borderId="24" xfId="0" applyNumberFormat="1" applyFont="1" applyBorder="1"/>
    <xf numFmtId="165" fontId="71" fillId="0" borderId="0" xfId="0" applyNumberFormat="1" applyFont="1"/>
    <xf numFmtId="43" fontId="71" fillId="0" borderId="22" xfId="32" applyFont="1" applyBorder="1"/>
    <xf numFmtId="43" fontId="71" fillId="0" borderId="32" xfId="32" applyFont="1" applyBorder="1"/>
    <xf numFmtId="165" fontId="71" fillId="0" borderId="31" xfId="32" applyNumberFormat="1" applyFont="1" applyBorder="1"/>
    <xf numFmtId="0" fontId="72" fillId="0" borderId="10" xfId="0" applyFont="1" applyBorder="1" applyAlignment="1">
      <alignment horizontal="right"/>
    </xf>
    <xf numFmtId="10" fontId="72" fillId="0" borderId="10" xfId="32" applyNumberFormat="1" applyFont="1" applyBorder="1"/>
    <xf numFmtId="0" fontId="71" fillId="0" borderId="22" xfId="0" applyFont="1" applyBorder="1" applyAlignment="1">
      <alignment horizontal="right"/>
    </xf>
    <xf numFmtId="165" fontId="71" fillId="0" borderId="22" xfId="0" applyNumberFormat="1" applyFont="1" applyBorder="1"/>
    <xf numFmtId="165" fontId="71" fillId="0" borderId="34" xfId="0" applyNumberFormat="1" applyFont="1" applyBorder="1"/>
    <xf numFmtId="10" fontId="72" fillId="0" borderId="10" xfId="0" applyNumberFormat="1" applyFont="1" applyBorder="1"/>
    <xf numFmtId="165" fontId="72" fillId="0" borderId="11" xfId="69" applyNumberFormat="1" applyFont="1" applyBorder="1"/>
    <xf numFmtId="165" fontId="72" fillId="0" borderId="0" xfId="69" applyNumberFormat="1" applyFont="1" applyFill="1" applyBorder="1"/>
    <xf numFmtId="44" fontId="72" fillId="0" borderId="10" xfId="69" applyFont="1" applyBorder="1"/>
    <xf numFmtId="165" fontId="72" fillId="0" borderId="0" xfId="69" applyNumberFormat="1" applyFont="1" applyBorder="1"/>
    <xf numFmtId="171" fontId="72" fillId="0" borderId="10" xfId="69" applyNumberFormat="1" applyFont="1" applyBorder="1"/>
    <xf numFmtId="44" fontId="71" fillId="0" borderId="10" xfId="69" applyFont="1" applyBorder="1" applyAlignment="1">
      <alignment horizontal="right"/>
    </xf>
    <xf numFmtId="44" fontId="72" fillId="0" borderId="11" xfId="69" applyFont="1" applyBorder="1"/>
    <xf numFmtId="44" fontId="72" fillId="0" borderId="0" xfId="69" applyFont="1" applyFill="1" applyBorder="1"/>
    <xf numFmtId="44" fontId="71" fillId="0" borderId="10" xfId="69" applyFont="1" applyBorder="1"/>
    <xf numFmtId="44" fontId="72" fillId="0" borderId="0" xfId="69" applyFont="1" applyBorder="1"/>
    <xf numFmtId="0" fontId="72" fillId="0" borderId="22" xfId="0" applyFont="1" applyBorder="1" applyAlignment="1">
      <alignment horizontal="right"/>
    </xf>
    <xf numFmtId="165" fontId="71" fillId="0" borderId="32" xfId="0" applyNumberFormat="1" applyFont="1" applyBorder="1"/>
    <xf numFmtId="10" fontId="72" fillId="0" borderId="10" xfId="0" applyNumberFormat="1" applyFont="1" applyBorder="1" applyAlignment="1">
      <alignment horizontal="right"/>
    </xf>
    <xf numFmtId="9" fontId="72" fillId="0" borderId="10" xfId="254" applyFont="1" applyBorder="1"/>
    <xf numFmtId="0" fontId="72" fillId="0" borderId="32" xfId="0" applyFont="1" applyBorder="1" applyAlignment="1">
      <alignment horizontal="right"/>
    </xf>
    <xf numFmtId="165" fontId="71" fillId="0" borderId="0" xfId="69" applyNumberFormat="1" applyFont="1" applyFill="1" applyBorder="1"/>
    <xf numFmtId="0" fontId="72" fillId="28" borderId="32" xfId="0" applyFont="1" applyFill="1" applyBorder="1"/>
    <xf numFmtId="165" fontId="71" fillId="28" borderId="34" xfId="69" applyNumberFormat="1" applyFont="1" applyFill="1" applyBorder="1"/>
    <xf numFmtId="0" fontId="71" fillId="0" borderId="0" xfId="0" applyFont="1"/>
    <xf numFmtId="44" fontId="71" fillId="0" borderId="0" xfId="0" applyNumberFormat="1" applyFont="1"/>
    <xf numFmtId="44" fontId="71" fillId="28" borderId="32" xfId="0" applyNumberFormat="1" applyFont="1" applyFill="1" applyBorder="1"/>
    <xf numFmtId="44" fontId="71" fillId="28" borderId="34" xfId="0" applyNumberFormat="1" applyFont="1" applyFill="1" applyBorder="1"/>
    <xf numFmtId="0" fontId="69" fillId="0" borderId="0" xfId="0" applyFont="1" applyAlignment="1">
      <alignment horizontal="center"/>
    </xf>
    <xf numFmtId="0" fontId="72" fillId="0" borderId="19" xfId="0" applyFont="1" applyBorder="1"/>
    <xf numFmtId="0" fontId="72" fillId="0" borderId="21" xfId="0" applyFont="1" applyBorder="1"/>
    <xf numFmtId="10" fontId="72" fillId="0" borderId="0" xfId="252" applyNumberFormat="1" applyFont="1" applyFill="1" applyBorder="1" applyAlignment="1"/>
    <xf numFmtId="0" fontId="53" fillId="0" borderId="0" xfId="223"/>
    <xf numFmtId="0" fontId="104" fillId="0" borderId="0" xfId="223" applyFont="1" applyAlignment="1">
      <alignment horizontal="center"/>
    </xf>
    <xf numFmtId="0" fontId="69" fillId="0" borderId="0" xfId="223" applyFont="1" applyAlignment="1">
      <alignment horizontal="center"/>
    </xf>
    <xf numFmtId="0" fontId="53" fillId="0" borderId="0" xfId="223" applyAlignment="1">
      <alignment wrapText="1"/>
    </xf>
    <xf numFmtId="0" fontId="105" fillId="0" borderId="0" xfId="223" applyFont="1" applyAlignment="1">
      <alignment horizontal="center"/>
    </xf>
    <xf numFmtId="0" fontId="106" fillId="0" borderId="0" xfId="223" applyFont="1" applyAlignment="1">
      <alignment horizontal="center"/>
    </xf>
    <xf numFmtId="0" fontId="65" fillId="0" borderId="0" xfId="223" applyFont="1" applyAlignment="1">
      <alignment horizontal="center"/>
    </xf>
    <xf numFmtId="174" fontId="106" fillId="0" borderId="0" xfId="223" applyNumberFormat="1" applyFont="1" applyAlignment="1">
      <alignment horizontal="left" vertical="top"/>
    </xf>
    <xf numFmtId="0" fontId="107" fillId="0" borderId="0" xfId="223" applyFont="1"/>
    <xf numFmtId="0" fontId="107" fillId="0" borderId="0" xfId="223" applyFont="1" applyAlignment="1">
      <alignment wrapText="1"/>
    </xf>
    <xf numFmtId="0" fontId="106" fillId="0" borderId="0" xfId="223" applyFont="1"/>
    <xf numFmtId="9" fontId="106" fillId="0" borderId="0" xfId="223" applyNumberFormat="1" applyFont="1" applyAlignment="1">
      <alignment horizontal="center" wrapText="1"/>
    </xf>
    <xf numFmtId="9" fontId="106" fillId="0" borderId="0" xfId="223" applyNumberFormat="1" applyFont="1" applyAlignment="1">
      <alignment horizontal="center"/>
    </xf>
    <xf numFmtId="0" fontId="106" fillId="0" borderId="0" xfId="223" applyFont="1" applyAlignment="1">
      <alignment horizontal="left" wrapText="1"/>
    </xf>
    <xf numFmtId="0" fontId="107" fillId="0" borderId="12" xfId="223" applyFont="1" applyBorder="1"/>
    <xf numFmtId="171" fontId="107" fillId="0" borderId="42" xfId="223" applyNumberFormat="1" applyFont="1" applyBorder="1" applyAlignment="1">
      <alignment horizontal="center"/>
    </xf>
    <xf numFmtId="9" fontId="107" fillId="0" borderId="42" xfId="258" applyFont="1" applyBorder="1" applyAlignment="1">
      <alignment horizontal="center"/>
    </xf>
    <xf numFmtId="171" fontId="53" fillId="0" borderId="43" xfId="223" applyNumberFormat="1" applyBorder="1"/>
    <xf numFmtId="171" fontId="53" fillId="0" borderId="0" xfId="223" applyNumberFormat="1"/>
    <xf numFmtId="0" fontId="107" fillId="0" borderId="19" xfId="223" applyFont="1" applyBorder="1"/>
    <xf numFmtId="170" fontId="107" fillId="0" borderId="20" xfId="223" applyNumberFormat="1" applyFont="1" applyBorder="1" applyAlignment="1">
      <alignment horizontal="center"/>
    </xf>
    <xf numFmtId="9" fontId="107" fillId="0" borderId="30" xfId="258" applyFont="1" applyBorder="1" applyAlignment="1">
      <alignment horizontal="center"/>
    </xf>
    <xf numFmtId="170" fontId="53" fillId="0" borderId="44" xfId="223" applyNumberFormat="1" applyBorder="1"/>
    <xf numFmtId="0" fontId="107" fillId="0" borderId="13" xfId="223" applyFont="1" applyBorder="1"/>
    <xf numFmtId="0" fontId="107" fillId="0" borderId="10" xfId="223" applyFont="1" applyBorder="1"/>
    <xf numFmtId="170" fontId="107" fillId="0" borderId="0" xfId="223" applyNumberFormat="1" applyFont="1" applyAlignment="1">
      <alignment horizontal="center"/>
    </xf>
    <xf numFmtId="9" fontId="107" fillId="0" borderId="28" xfId="258" applyFont="1" applyBorder="1" applyAlignment="1">
      <alignment horizontal="center"/>
    </xf>
    <xf numFmtId="171" fontId="66" fillId="0" borderId="0" xfId="223" applyNumberFormat="1" applyFont="1"/>
    <xf numFmtId="0" fontId="107" fillId="0" borderId="20" xfId="223" applyFont="1" applyBorder="1"/>
    <xf numFmtId="0" fontId="107" fillId="0" borderId="12" xfId="223" applyFont="1" applyBorder="1" applyAlignment="1">
      <alignment wrapText="1"/>
    </xf>
    <xf numFmtId="0" fontId="107" fillId="0" borderId="19" xfId="223" applyFont="1" applyBorder="1" applyAlignment="1">
      <alignment wrapText="1"/>
    </xf>
    <xf numFmtId="170" fontId="53" fillId="0" borderId="45" xfId="223" applyNumberFormat="1" applyBorder="1"/>
    <xf numFmtId="171" fontId="107" fillId="0" borderId="13" xfId="223" applyNumberFormat="1" applyFont="1" applyBorder="1" applyAlignment="1">
      <alignment horizontal="center"/>
    </xf>
    <xf numFmtId="170" fontId="107" fillId="0" borderId="13" xfId="223" applyNumberFormat="1" applyFont="1" applyBorder="1" applyAlignment="1">
      <alignment horizontal="center"/>
    </xf>
    <xf numFmtId="9" fontId="107" fillId="0" borderId="13" xfId="258" applyFont="1" applyBorder="1" applyAlignment="1">
      <alignment horizontal="center"/>
    </xf>
    <xf numFmtId="9" fontId="107" fillId="0" borderId="20" xfId="258" applyFont="1" applyBorder="1" applyAlignment="1">
      <alignment horizontal="center"/>
    </xf>
    <xf numFmtId="171" fontId="107" fillId="0" borderId="0" xfId="223" applyNumberFormat="1" applyFont="1" applyAlignment="1">
      <alignment horizontal="center"/>
    </xf>
    <xf numFmtId="9" fontId="107" fillId="0" borderId="0" xfId="258" applyFont="1" applyFill="1" applyBorder="1" applyAlignment="1">
      <alignment horizontal="center"/>
    </xf>
    <xf numFmtId="9" fontId="107" fillId="0" borderId="20" xfId="258" applyFont="1" applyFill="1" applyBorder="1" applyAlignment="1">
      <alignment horizontal="center"/>
    </xf>
    <xf numFmtId="9" fontId="107" fillId="0" borderId="0" xfId="258" applyFont="1" applyBorder="1" applyAlignment="1">
      <alignment horizontal="center"/>
    </xf>
    <xf numFmtId="171" fontId="53" fillId="0" borderId="45" xfId="223" applyNumberFormat="1" applyBorder="1"/>
    <xf numFmtId="0" fontId="83" fillId="0" borderId="0" xfId="223" applyFont="1" applyAlignment="1">
      <alignment horizontal="right" wrapText="1"/>
    </xf>
    <xf numFmtId="170" fontId="83" fillId="0" borderId="0" xfId="223" applyNumberFormat="1" applyFont="1"/>
    <xf numFmtId="0" fontId="83" fillId="0" borderId="0" xfId="223" applyFont="1"/>
    <xf numFmtId="0" fontId="83" fillId="0" borderId="0" xfId="223" applyFont="1" applyAlignment="1">
      <alignment wrapText="1"/>
    </xf>
    <xf numFmtId="0" fontId="83" fillId="0" borderId="0" xfId="223" applyFont="1" applyAlignment="1">
      <alignment horizontal="right"/>
    </xf>
    <xf numFmtId="171" fontId="83" fillId="0" borderId="0" xfId="223" applyNumberFormat="1" applyFont="1"/>
    <xf numFmtId="10" fontId="83" fillId="0" borderId="0" xfId="256" applyNumberFormat="1" applyFont="1"/>
    <xf numFmtId="9" fontId="83" fillId="0" borderId="0" xfId="256" applyFont="1"/>
    <xf numFmtId="10" fontId="0" fillId="0" borderId="0" xfId="252" applyNumberFormat="1" applyFont="1"/>
    <xf numFmtId="10" fontId="2" fillId="0" borderId="0" xfId="252" applyNumberFormat="1" applyFont="1" applyBorder="1" applyAlignment="1">
      <alignment horizontal="right"/>
    </xf>
    <xf numFmtId="44" fontId="0" fillId="0" borderId="0" xfId="0" applyNumberFormat="1"/>
    <xf numFmtId="10" fontId="72" fillId="0" borderId="0" xfId="252" applyNumberFormat="1" applyFont="1" applyAlignment="1">
      <alignment horizontal="center"/>
    </xf>
    <xf numFmtId="181" fontId="0" fillId="0" borderId="0" xfId="0" applyNumberFormat="1"/>
    <xf numFmtId="10" fontId="72" fillId="0" borderId="0" xfId="252" applyNumberFormat="1" applyFont="1" applyFill="1" applyBorder="1" applyAlignment="1">
      <alignment horizontal="center"/>
    </xf>
    <xf numFmtId="0" fontId="110" fillId="0" borderId="0" xfId="241" applyFont="1"/>
    <xf numFmtId="0" fontId="31" fillId="24" borderId="13" xfId="173" applyFont="1" applyFill="1" applyBorder="1"/>
    <xf numFmtId="0" fontId="32" fillId="24" borderId="14" xfId="173" applyFont="1" applyFill="1" applyBorder="1"/>
    <xf numFmtId="0" fontId="1" fillId="0" borderId="0" xfId="173"/>
    <xf numFmtId="0" fontId="32" fillId="24" borderId="0" xfId="173" applyFont="1" applyFill="1"/>
    <xf numFmtId="0" fontId="2" fillId="24" borderId="11" xfId="173" applyFont="1" applyFill="1" applyBorder="1"/>
    <xf numFmtId="0" fontId="34" fillId="24" borderId="20" xfId="173" applyFont="1" applyFill="1" applyBorder="1"/>
    <xf numFmtId="0" fontId="2" fillId="24" borderId="21" xfId="173" applyFont="1" applyFill="1" applyBorder="1"/>
    <xf numFmtId="0" fontId="2" fillId="0" borderId="0" xfId="173" applyFont="1"/>
    <xf numFmtId="0" fontId="111" fillId="40" borderId="0" xfId="227" applyFont="1" applyFill="1"/>
    <xf numFmtId="0" fontId="111" fillId="34" borderId="0" xfId="227" applyFont="1" applyFill="1"/>
    <xf numFmtId="0" fontId="111" fillId="41" borderId="0" xfId="227" applyFont="1" applyFill="1"/>
    <xf numFmtId="0" fontId="111" fillId="42" borderId="0" xfId="227" applyFont="1" applyFill="1"/>
    <xf numFmtId="14" fontId="2" fillId="0" borderId="0" xfId="173" applyNumberFormat="1" applyFont="1"/>
    <xf numFmtId="169" fontId="1" fillId="0" borderId="0" xfId="173" applyNumberFormat="1"/>
    <xf numFmtId="0" fontId="1" fillId="0" borderId="78" xfId="173" applyBorder="1"/>
    <xf numFmtId="0" fontId="1" fillId="0" borderId="79" xfId="173" applyBorder="1"/>
    <xf numFmtId="0" fontId="1" fillId="0" borderId="80" xfId="173" applyBorder="1"/>
    <xf numFmtId="0" fontId="1" fillId="0" borderId="81" xfId="173" applyBorder="1"/>
    <xf numFmtId="0" fontId="1" fillId="0" borderId="82" xfId="173" applyBorder="1"/>
    <xf numFmtId="0" fontId="1" fillId="0" borderId="83" xfId="173" applyBorder="1"/>
    <xf numFmtId="0" fontId="1" fillId="0" borderId="84" xfId="173" applyBorder="1"/>
    <xf numFmtId="0" fontId="1" fillId="0" borderId="85" xfId="173" applyBorder="1"/>
    <xf numFmtId="2" fontId="1" fillId="0" borderId="0" xfId="173" applyNumberFormat="1"/>
    <xf numFmtId="0" fontId="2" fillId="0" borderId="0" xfId="210" applyFont="1"/>
    <xf numFmtId="0" fontId="1" fillId="0" borderId="0" xfId="210"/>
    <xf numFmtId="0" fontId="75" fillId="0" borderId="0" xfId="210" applyFont="1"/>
    <xf numFmtId="0" fontId="67" fillId="0" borderId="0" xfId="210" applyFont="1"/>
    <xf numFmtId="0" fontId="1" fillId="0" borderId="37" xfId="210" applyBorder="1"/>
    <xf numFmtId="0" fontId="1" fillId="0" borderId="28" xfId="210" applyBorder="1"/>
    <xf numFmtId="0" fontId="1" fillId="0" borderId="38" xfId="210" applyBorder="1"/>
    <xf numFmtId="0" fontId="1" fillId="0" borderId="39" xfId="210" applyBorder="1"/>
    <xf numFmtId="0" fontId="1" fillId="0" borderId="0" xfId="210" applyAlignment="1">
      <alignment horizontal="right"/>
    </xf>
    <xf numFmtId="0" fontId="1" fillId="0" borderId="40" xfId="210" applyBorder="1"/>
    <xf numFmtId="166" fontId="1" fillId="0" borderId="0" xfId="173" applyNumberFormat="1"/>
    <xf numFmtId="0" fontId="4" fillId="0" borderId="40" xfId="210" applyFont="1" applyBorder="1" applyAlignment="1">
      <alignment horizontal="center"/>
    </xf>
    <xf numFmtId="169" fontId="1" fillId="0" borderId="79" xfId="173" applyNumberFormat="1" applyBorder="1"/>
    <xf numFmtId="0" fontId="1" fillId="0" borderId="86" xfId="210" applyBorder="1"/>
    <xf numFmtId="169" fontId="1" fillId="0" borderId="40" xfId="210" applyNumberFormat="1" applyBorder="1" applyAlignment="1">
      <alignment horizontal="center"/>
    </xf>
    <xf numFmtId="0" fontId="1" fillId="0" borderId="40" xfId="210" applyBorder="1" applyAlignment="1">
      <alignment horizontal="center"/>
    </xf>
    <xf numFmtId="0" fontId="1" fillId="0" borderId="87" xfId="173" applyBorder="1"/>
    <xf numFmtId="169" fontId="1" fillId="0" borderId="80" xfId="173" applyNumberFormat="1" applyBorder="1"/>
    <xf numFmtId="169" fontId="1" fillId="0" borderId="81" xfId="173" applyNumberFormat="1" applyBorder="1"/>
    <xf numFmtId="169" fontId="1" fillId="0" borderId="82" xfId="173" applyNumberFormat="1" applyBorder="1"/>
    <xf numFmtId="0" fontId="2" fillId="28" borderId="0" xfId="210" applyFont="1" applyFill="1" applyAlignment="1">
      <alignment horizontal="right"/>
    </xf>
    <xf numFmtId="10" fontId="2" fillId="28" borderId="40" xfId="258" applyNumberFormat="1" applyFont="1" applyFill="1" applyBorder="1" applyAlignment="1">
      <alignment horizontal="center"/>
    </xf>
    <xf numFmtId="0" fontId="1" fillId="0" borderId="36" xfId="210" applyBorder="1"/>
    <xf numFmtId="0" fontId="1" fillId="0" borderId="16" xfId="210" applyBorder="1"/>
    <xf numFmtId="0" fontId="1" fillId="0" borderId="35" xfId="210" applyBorder="1"/>
    <xf numFmtId="0" fontId="109" fillId="0" borderId="0" xfId="314"/>
    <xf numFmtId="0" fontId="32" fillId="24" borderId="0" xfId="314" applyFont="1" applyFill="1"/>
    <xf numFmtId="0" fontId="2" fillId="24" borderId="11" xfId="314" applyFont="1" applyFill="1" applyBorder="1"/>
    <xf numFmtId="0" fontId="34" fillId="24" borderId="20" xfId="314" applyFont="1" applyFill="1" applyBorder="1"/>
    <xf numFmtId="0" fontId="2" fillId="24" borderId="21" xfId="314" applyFont="1" applyFill="1" applyBorder="1"/>
    <xf numFmtId="0" fontId="2" fillId="0" borderId="0" xfId="314" applyFont="1"/>
    <xf numFmtId="0" fontId="111" fillId="43" borderId="0" xfId="314" applyFont="1" applyFill="1" applyAlignment="1">
      <alignment horizontal="center"/>
    </xf>
    <xf numFmtId="0" fontId="111" fillId="44" borderId="0" xfId="314" applyFont="1" applyFill="1" applyAlignment="1">
      <alignment horizontal="center"/>
    </xf>
    <xf numFmtId="14" fontId="2" fillId="0" borderId="0" xfId="314" applyNumberFormat="1" applyFont="1"/>
    <xf numFmtId="169" fontId="109" fillId="0" borderId="0" xfId="314" applyNumberFormat="1"/>
    <xf numFmtId="2" fontId="109" fillId="0" borderId="0" xfId="314" applyNumberFormat="1"/>
    <xf numFmtId="0" fontId="2" fillId="0" borderId="0" xfId="315" applyFont="1" applyAlignment="1"/>
    <xf numFmtId="0" fontId="112" fillId="0" borderId="0" xfId="315" applyAlignment="1"/>
    <xf numFmtId="0" fontId="75" fillId="0" borderId="0" xfId="315" applyFont="1" applyAlignment="1"/>
    <xf numFmtId="0" fontId="67" fillId="0" borderId="0" xfId="315" applyFont="1" applyAlignment="1"/>
    <xf numFmtId="0" fontId="112" fillId="0" borderId="37" xfId="315" applyBorder="1" applyAlignment="1"/>
    <xf numFmtId="0" fontId="112" fillId="0" borderId="28" xfId="315" applyBorder="1" applyAlignment="1"/>
    <xf numFmtId="0" fontId="112" fillId="0" borderId="38" xfId="315" applyBorder="1" applyAlignment="1"/>
    <xf numFmtId="0" fontId="112" fillId="0" borderId="39" xfId="315" applyBorder="1" applyAlignment="1"/>
    <xf numFmtId="0" fontId="112" fillId="0" borderId="0" xfId="315" applyAlignment="1">
      <alignment horizontal="right"/>
    </xf>
    <xf numFmtId="0" fontId="2" fillId="0" borderId="0" xfId="315" applyFont="1" applyAlignment="1">
      <alignment horizontal="center"/>
    </xf>
    <xf numFmtId="0" fontId="112" fillId="0" borderId="40" xfId="315" applyBorder="1" applyAlignment="1"/>
    <xf numFmtId="166" fontId="109" fillId="0" borderId="0" xfId="314" applyNumberFormat="1"/>
    <xf numFmtId="14" fontId="2" fillId="0" borderId="0" xfId="314" applyNumberFormat="1" applyFont="1" applyAlignment="1">
      <alignment horizontal="center"/>
    </xf>
    <xf numFmtId="0" fontId="4" fillId="0" borderId="40" xfId="315" applyFont="1" applyBorder="1" applyAlignment="1">
      <alignment horizontal="center"/>
    </xf>
    <xf numFmtId="169" fontId="109" fillId="0" borderId="41" xfId="314" applyNumberFormat="1" applyBorder="1"/>
    <xf numFmtId="169" fontId="112" fillId="0" borderId="40" xfId="315" applyNumberFormat="1" applyBorder="1" applyAlignment="1">
      <alignment horizontal="center"/>
    </xf>
    <xf numFmtId="0" fontId="112" fillId="0" borderId="40" xfId="315" applyBorder="1" applyAlignment="1">
      <alignment horizontal="center"/>
    </xf>
    <xf numFmtId="0" fontId="112" fillId="0" borderId="39" xfId="315" applyBorder="1" applyAlignment="1">
      <alignment horizontal="right"/>
    </xf>
    <xf numFmtId="0" fontId="2" fillId="28" borderId="0" xfId="315" applyFont="1" applyFill="1" applyAlignment="1">
      <alignment horizontal="right"/>
    </xf>
    <xf numFmtId="0" fontId="112" fillId="0" borderId="36" xfId="315" applyBorder="1" applyAlignment="1"/>
    <xf numFmtId="0" fontId="112" fillId="0" borderId="16" xfId="315" applyBorder="1" applyAlignment="1"/>
    <xf numFmtId="0" fontId="112" fillId="0" borderId="35" xfId="315" applyBorder="1" applyAlignment="1"/>
    <xf numFmtId="0" fontId="113" fillId="0" borderId="0" xfId="223" applyFont="1"/>
    <xf numFmtId="0" fontId="114" fillId="0" borderId="0" xfId="223" applyFont="1" applyAlignment="1">
      <alignment horizontal="center"/>
    </xf>
    <xf numFmtId="0" fontId="113" fillId="0" borderId="0" xfId="223" applyFont="1" applyAlignment="1">
      <alignment wrapText="1"/>
    </xf>
    <xf numFmtId="9" fontId="113" fillId="0" borderId="0" xfId="254" applyFont="1"/>
    <xf numFmtId="17" fontId="114" fillId="0" borderId="0" xfId="223" applyNumberFormat="1" applyFont="1" applyAlignment="1">
      <alignment horizontal="center"/>
    </xf>
    <xf numFmtId="17" fontId="115" fillId="0" borderId="0" xfId="223" applyNumberFormat="1" applyFont="1" applyAlignment="1">
      <alignment horizontal="center"/>
    </xf>
    <xf numFmtId="0" fontId="116" fillId="0" borderId="0" xfId="223" applyFont="1" applyAlignment="1">
      <alignment horizontal="center"/>
    </xf>
    <xf numFmtId="174" fontId="116" fillId="0" borderId="0" xfId="223" applyNumberFormat="1" applyFont="1" applyAlignment="1">
      <alignment horizontal="left" vertical="top"/>
    </xf>
    <xf numFmtId="9" fontId="116" fillId="0" borderId="0" xfId="254" applyFont="1"/>
    <xf numFmtId="0" fontId="116" fillId="0" borderId="0" xfId="223" applyFont="1"/>
    <xf numFmtId="9" fontId="116" fillId="0" borderId="0" xfId="223" applyNumberFormat="1" applyFont="1" applyAlignment="1">
      <alignment horizontal="center" wrapText="1"/>
    </xf>
    <xf numFmtId="9" fontId="116" fillId="0" borderId="0" xfId="223" applyNumberFormat="1" applyFont="1" applyAlignment="1">
      <alignment horizontal="center"/>
    </xf>
    <xf numFmtId="0" fontId="116" fillId="0" borderId="0" xfId="223" applyFont="1" applyAlignment="1">
      <alignment horizontal="left" wrapText="1"/>
    </xf>
    <xf numFmtId="0" fontId="113" fillId="0" borderId="12" xfId="223" applyFont="1" applyBorder="1"/>
    <xf numFmtId="171" fontId="113" fillId="0" borderId="13" xfId="223" applyNumberFormat="1" applyFont="1" applyBorder="1" applyAlignment="1">
      <alignment horizontal="center"/>
    </xf>
    <xf numFmtId="171" fontId="113" fillId="0" borderId="42" xfId="223" applyNumberFormat="1" applyFont="1" applyBorder="1" applyAlignment="1">
      <alignment horizontal="center"/>
    </xf>
    <xf numFmtId="9" fontId="113" fillId="0" borderId="42" xfId="258" applyFont="1" applyBorder="1" applyAlignment="1">
      <alignment horizontal="center"/>
    </xf>
    <xf numFmtId="171" fontId="113" fillId="0" borderId="43" xfId="223" applyNumberFormat="1" applyFont="1" applyBorder="1"/>
    <xf numFmtId="171" fontId="113" fillId="0" borderId="0" xfId="223" applyNumberFormat="1" applyFont="1"/>
    <xf numFmtId="0" fontId="113" fillId="0" borderId="19" xfId="223" applyFont="1" applyBorder="1"/>
    <xf numFmtId="170" fontId="113" fillId="0" borderId="20" xfId="223" applyNumberFormat="1" applyFont="1" applyBorder="1" applyAlignment="1">
      <alignment horizontal="center"/>
    </xf>
    <xf numFmtId="9" fontId="113" fillId="0" borderId="30" xfId="258" applyFont="1" applyBorder="1" applyAlignment="1">
      <alignment horizontal="center"/>
    </xf>
    <xf numFmtId="170" fontId="113" fillId="0" borderId="44" xfId="223" applyNumberFormat="1" applyFont="1" applyBorder="1"/>
    <xf numFmtId="9" fontId="113" fillId="0" borderId="62" xfId="254" applyFont="1" applyBorder="1"/>
    <xf numFmtId="0" fontId="113" fillId="0" borderId="13" xfId="223" applyFont="1" applyBorder="1"/>
    <xf numFmtId="0" fontId="113" fillId="0" borderId="10" xfId="223" applyFont="1" applyBorder="1"/>
    <xf numFmtId="170" fontId="113" fillId="0" borderId="0" xfId="223" applyNumberFormat="1" applyFont="1" applyAlignment="1">
      <alignment horizontal="center"/>
    </xf>
    <xf numFmtId="9" fontId="113" fillId="0" borderId="28" xfId="258" applyFont="1" applyBorder="1" applyAlignment="1">
      <alignment horizontal="center"/>
    </xf>
    <xf numFmtId="0" fontId="113" fillId="0" borderId="20" xfId="223" applyFont="1" applyBorder="1"/>
    <xf numFmtId="171" fontId="118" fillId="0" borderId="0" xfId="223" applyNumberFormat="1" applyFont="1"/>
    <xf numFmtId="9" fontId="113" fillId="0" borderId="0" xfId="254" applyFont="1" applyBorder="1"/>
    <xf numFmtId="9" fontId="113" fillId="0" borderId="20" xfId="254" applyFont="1" applyBorder="1"/>
    <xf numFmtId="0" fontId="113" fillId="0" borderId="12" xfId="223" applyFont="1" applyBorder="1" applyAlignment="1">
      <alignment wrapText="1"/>
    </xf>
    <xf numFmtId="171" fontId="113" fillId="0" borderId="13" xfId="223" applyNumberFormat="1" applyFont="1" applyBorder="1" applyAlignment="1">
      <alignment horizontal="center" wrapText="1"/>
    </xf>
    <xf numFmtId="0" fontId="113" fillId="0" borderId="19" xfId="223" applyFont="1" applyBorder="1" applyAlignment="1">
      <alignment wrapText="1"/>
    </xf>
    <xf numFmtId="170" fontId="113" fillId="0" borderId="20" xfId="223" applyNumberFormat="1" applyFont="1" applyBorder="1" applyAlignment="1">
      <alignment horizontal="center" wrapText="1"/>
    </xf>
    <xf numFmtId="170" fontId="113" fillId="0" borderId="45" xfId="223" applyNumberFormat="1" applyFont="1" applyBorder="1"/>
    <xf numFmtId="167" fontId="113" fillId="0" borderId="0" xfId="254" applyNumberFormat="1" applyFont="1"/>
    <xf numFmtId="170" fontId="113" fillId="0" borderId="13" xfId="223" applyNumberFormat="1" applyFont="1" applyBorder="1" applyAlignment="1">
      <alignment horizontal="center"/>
    </xf>
    <xf numFmtId="9" fontId="113" fillId="0" borderId="13" xfId="258" applyFont="1" applyBorder="1" applyAlignment="1">
      <alignment horizontal="center"/>
    </xf>
    <xf numFmtId="9" fontId="113" fillId="0" borderId="20" xfId="258" applyFont="1" applyBorder="1" applyAlignment="1">
      <alignment horizontal="center"/>
    </xf>
    <xf numFmtId="9" fontId="115" fillId="0" borderId="20" xfId="254" applyFont="1" applyBorder="1"/>
    <xf numFmtId="171" fontId="113" fillId="0" borderId="0" xfId="223" applyNumberFormat="1" applyFont="1" applyAlignment="1">
      <alignment horizontal="center"/>
    </xf>
    <xf numFmtId="9" fontId="113" fillId="0" borderId="0" xfId="258" applyFont="1" applyFill="1" applyBorder="1" applyAlignment="1">
      <alignment horizontal="center"/>
    </xf>
    <xf numFmtId="9" fontId="113" fillId="0" borderId="0" xfId="254" applyFont="1" applyFill="1"/>
    <xf numFmtId="9" fontId="113" fillId="0" borderId="20" xfId="258" applyFont="1" applyFill="1" applyBorder="1" applyAlignment="1">
      <alignment horizontal="center"/>
    </xf>
    <xf numFmtId="9" fontId="113" fillId="0" borderId="20" xfId="254" applyFont="1" applyFill="1" applyBorder="1"/>
    <xf numFmtId="9" fontId="113" fillId="0" borderId="0" xfId="258" applyFont="1" applyBorder="1" applyAlignment="1">
      <alignment horizontal="center"/>
    </xf>
    <xf numFmtId="171" fontId="113" fillId="0" borderId="45" xfId="223" applyNumberFormat="1" applyFont="1" applyBorder="1"/>
    <xf numFmtId="0" fontId="113" fillId="0" borderId="0" xfId="223" applyFont="1" applyAlignment="1">
      <alignment horizontal="right" wrapText="1"/>
    </xf>
    <xf numFmtId="170" fontId="113" fillId="0" borderId="0" xfId="223" applyNumberFormat="1" applyFont="1" applyAlignment="1">
      <alignment horizontal="center" wrapText="1"/>
    </xf>
    <xf numFmtId="0" fontId="113" fillId="0" borderId="0" xfId="223" applyFont="1" applyAlignment="1">
      <alignment horizontal="center"/>
    </xf>
    <xf numFmtId="0" fontId="113" fillId="0" borderId="0" xfId="223" applyFont="1" applyAlignment="1">
      <alignment horizontal="right"/>
    </xf>
    <xf numFmtId="10" fontId="113" fillId="0" borderId="0" xfId="254" applyNumberFormat="1" applyFont="1" applyAlignment="1">
      <alignment horizontal="center"/>
    </xf>
    <xf numFmtId="9" fontId="113" fillId="0" borderId="0" xfId="254" applyFont="1" applyFill="1" applyAlignment="1">
      <alignment horizontal="center"/>
    </xf>
    <xf numFmtId="9" fontId="113" fillId="0" borderId="0" xfId="254" applyFont="1" applyAlignment="1">
      <alignment horizontal="center"/>
    </xf>
    <xf numFmtId="170" fontId="113" fillId="0" borderId="0" xfId="223" applyNumberFormat="1" applyFont="1"/>
    <xf numFmtId="0" fontId="119" fillId="0" borderId="0" xfId="0" applyFont="1" applyAlignment="1">
      <alignment vertical="center" wrapText="1"/>
    </xf>
    <xf numFmtId="0" fontId="120" fillId="0" borderId="0" xfId="0" applyFont="1" applyAlignment="1">
      <alignment horizontal="center" vertical="center"/>
    </xf>
    <xf numFmtId="0" fontId="120" fillId="0" borderId="20" xfId="0" applyFont="1" applyBorder="1" applyAlignment="1">
      <alignment horizontal="center" vertical="center"/>
    </xf>
    <xf numFmtId="0" fontId="0" fillId="0" borderId="0" xfId="0" applyAlignment="1">
      <alignment vertical="center" wrapText="1"/>
    </xf>
    <xf numFmtId="8" fontId="121" fillId="0" borderId="21" xfId="0" applyNumberFormat="1" applyFont="1" applyBorder="1" applyAlignment="1">
      <alignment horizontal="center" vertical="center" wrapText="1"/>
    </xf>
    <xf numFmtId="0" fontId="124" fillId="0" borderId="21" xfId="0" applyFont="1" applyBorder="1" applyAlignment="1">
      <alignment horizontal="center" vertical="center" wrapText="1"/>
    </xf>
    <xf numFmtId="6" fontId="124" fillId="0" borderId="21" xfId="0" applyNumberFormat="1" applyFont="1" applyBorder="1" applyAlignment="1">
      <alignment horizontal="center" vertical="center" wrapText="1"/>
    </xf>
    <xf numFmtId="0" fontId="119" fillId="0" borderId="0" xfId="0" applyFont="1" applyAlignment="1">
      <alignment vertical="center"/>
    </xf>
    <xf numFmtId="0" fontId="124" fillId="0" borderId="0" xfId="0" applyFont="1" applyAlignment="1">
      <alignment vertical="center"/>
    </xf>
    <xf numFmtId="0" fontId="124" fillId="0" borderId="44" xfId="0" applyFont="1" applyBorder="1" applyAlignment="1">
      <alignment horizontal="center" vertical="center" wrapText="1"/>
    </xf>
    <xf numFmtId="0" fontId="124" fillId="0" borderId="21" xfId="0" applyFont="1" applyBorder="1" applyAlignment="1">
      <alignment vertical="center" wrapText="1"/>
    </xf>
    <xf numFmtId="8" fontId="124" fillId="0" borderId="21" xfId="0" applyNumberFormat="1" applyFont="1" applyBorder="1" applyAlignment="1">
      <alignment horizontal="center" vertical="center" wrapText="1"/>
    </xf>
    <xf numFmtId="0" fontId="124" fillId="0" borderId="44" xfId="0" applyFont="1" applyBorder="1" applyAlignment="1">
      <alignment vertical="center" wrapText="1"/>
    </xf>
    <xf numFmtId="0" fontId="121" fillId="0" borderId="31" xfId="0" applyFont="1" applyBorder="1" applyAlignment="1">
      <alignment vertical="center"/>
    </xf>
    <xf numFmtId="6" fontId="121" fillId="0" borderId="34" xfId="0" applyNumberFormat="1" applyFont="1" applyBorder="1" applyAlignment="1">
      <alignment horizontal="center" vertical="center"/>
    </xf>
    <xf numFmtId="0" fontId="121" fillId="0" borderId="34" xfId="0" applyFont="1" applyBorder="1" applyAlignment="1">
      <alignment horizontal="center" vertical="center"/>
    </xf>
    <xf numFmtId="0" fontId="121" fillId="0" borderId="44" xfId="0" applyFont="1" applyBorder="1" applyAlignment="1">
      <alignment vertical="center"/>
    </xf>
    <xf numFmtId="8" fontId="121" fillId="0" borderId="21" xfId="0" applyNumberFormat="1" applyFont="1" applyBorder="1" applyAlignment="1">
      <alignment horizontal="center" vertical="center"/>
    </xf>
    <xf numFmtId="0" fontId="121" fillId="0" borderId="21" xfId="0" applyFont="1" applyBorder="1" applyAlignment="1">
      <alignment horizontal="center" vertical="center"/>
    </xf>
    <xf numFmtId="0" fontId="121" fillId="0" borderId="44" xfId="0" applyFont="1" applyBorder="1" applyAlignment="1">
      <alignment vertical="center" wrapText="1"/>
    </xf>
    <xf numFmtId="6" fontId="121" fillId="0" borderId="21" xfId="0" applyNumberFormat="1" applyFont="1" applyBorder="1" applyAlignment="1">
      <alignment horizontal="center" vertical="center"/>
    </xf>
    <xf numFmtId="0" fontId="120" fillId="0" borderId="0" xfId="0" applyFont="1" applyAlignment="1">
      <alignment vertical="center" wrapText="1"/>
    </xf>
    <xf numFmtId="0" fontId="120" fillId="0" borderId="44" xfId="0" applyFont="1" applyBorder="1" applyAlignment="1">
      <alignment vertical="center" wrapText="1"/>
    </xf>
    <xf numFmtId="0" fontId="120" fillId="0" borderId="21" xfId="0" applyFont="1" applyBorder="1" applyAlignment="1">
      <alignment horizontal="center" vertical="center"/>
    </xf>
    <xf numFmtId="0" fontId="121" fillId="0" borderId="31" xfId="0" applyFont="1" applyBorder="1" applyAlignment="1">
      <alignment vertical="center" wrapText="1"/>
    </xf>
    <xf numFmtId="0" fontId="121" fillId="0" borderId="34" xfId="0" applyFont="1" applyBorder="1" applyAlignment="1">
      <alignment vertical="center"/>
    </xf>
    <xf numFmtId="0" fontId="121" fillId="0" borderId="21" xfId="0" applyFont="1" applyBorder="1" applyAlignment="1">
      <alignment vertical="center"/>
    </xf>
    <xf numFmtId="0" fontId="123" fillId="0" borderId="0" xfId="0" applyFont="1" applyAlignment="1">
      <alignment vertical="center"/>
    </xf>
    <xf numFmtId="0" fontId="123" fillId="0" borderId="31" xfId="0" applyFont="1" applyBorder="1" applyAlignment="1">
      <alignment horizontal="center" vertical="center"/>
    </xf>
    <xf numFmtId="0" fontId="123" fillId="0" borderId="34" xfId="0" applyFont="1" applyBorder="1" applyAlignment="1">
      <alignment horizontal="center" vertical="center"/>
    </xf>
    <xf numFmtId="0" fontId="124" fillId="0" borderId="44" xfId="0" applyFont="1" applyBorder="1" applyAlignment="1">
      <alignment vertical="center"/>
    </xf>
    <xf numFmtId="0" fontId="124" fillId="0" borderId="21" xfId="0" applyFont="1" applyBorder="1" applyAlignment="1">
      <alignment horizontal="center" vertical="center"/>
    </xf>
    <xf numFmtId="8" fontId="124" fillId="0" borderId="21" xfId="0" applyNumberFormat="1" applyFont="1" applyBorder="1" applyAlignment="1">
      <alignment horizontal="center" vertical="center"/>
    </xf>
    <xf numFmtId="0" fontId="0" fillId="0" borderId="20" xfId="0" applyBorder="1" applyAlignment="1">
      <alignment vertical="center"/>
    </xf>
    <xf numFmtId="0" fontId="120" fillId="0" borderId="44" xfId="0" applyFont="1" applyBorder="1" applyAlignment="1">
      <alignment vertical="center"/>
    </xf>
    <xf numFmtId="0" fontId="121" fillId="0" borderId="45" xfId="0" applyFont="1" applyBorder="1" applyAlignment="1">
      <alignment vertical="center" wrapText="1"/>
    </xf>
    <xf numFmtId="0" fontId="121" fillId="41" borderId="44" xfId="0" applyFont="1" applyFill="1" applyBorder="1" applyAlignment="1">
      <alignment vertical="center"/>
    </xf>
    <xf numFmtId="8" fontId="121" fillId="41" borderId="21" xfId="0" applyNumberFormat="1" applyFont="1" applyFill="1" applyBorder="1" applyAlignment="1">
      <alignment horizontal="center" vertical="center"/>
    </xf>
    <xf numFmtId="0" fontId="121" fillId="41" borderId="21" xfId="0" applyFont="1" applyFill="1" applyBorder="1" applyAlignment="1">
      <alignment horizontal="center" vertical="center"/>
    </xf>
    <xf numFmtId="6" fontId="121" fillId="41" borderId="21" xfId="0" applyNumberFormat="1" applyFont="1" applyFill="1" applyBorder="1" applyAlignment="1">
      <alignment horizontal="center" vertical="center"/>
    </xf>
    <xf numFmtId="0" fontId="110" fillId="0" borderId="31" xfId="241" applyFont="1" applyBorder="1"/>
    <xf numFmtId="0" fontId="110" fillId="0" borderId="12" xfId="241" applyFont="1" applyBorder="1"/>
    <xf numFmtId="0" fontId="110" fillId="0" borderId="13" xfId="241" applyFont="1" applyBorder="1"/>
    <xf numFmtId="0" fontId="110" fillId="0" borderId="14" xfId="241" applyFont="1" applyBorder="1"/>
    <xf numFmtId="0" fontId="110" fillId="0" borderId="10" xfId="241" applyFont="1" applyBorder="1"/>
    <xf numFmtId="0" fontId="110" fillId="0" borderId="11" xfId="241" applyFont="1" applyBorder="1"/>
    <xf numFmtId="0" fontId="110" fillId="0" borderId="19" xfId="241" applyFont="1" applyBorder="1"/>
    <xf numFmtId="0" fontId="110" fillId="0" borderId="20" xfId="241" applyFont="1" applyBorder="1"/>
    <xf numFmtId="0" fontId="110" fillId="0" borderId="21" xfId="241" applyFont="1" applyBorder="1"/>
    <xf numFmtId="42" fontId="2" fillId="0" borderId="11" xfId="0" applyNumberFormat="1" applyFont="1" applyBorder="1"/>
    <xf numFmtId="10" fontId="2" fillId="0" borderId="0" xfId="0" applyNumberFormat="1" applyFont="1"/>
    <xf numFmtId="10" fontId="37" fillId="0" borderId="0" xfId="0" applyNumberFormat="1" applyFont="1"/>
    <xf numFmtId="44" fontId="5" fillId="45" borderId="0" xfId="69" applyFont="1" applyFill="1" applyBorder="1"/>
    <xf numFmtId="165" fontId="71" fillId="0" borderId="11" xfId="0" applyNumberFormat="1" applyFont="1" applyBorder="1"/>
    <xf numFmtId="10" fontId="71" fillId="0" borderId="10" xfId="252" applyNumberFormat="1" applyFont="1" applyBorder="1"/>
    <xf numFmtId="43" fontId="0" fillId="0" borderId="0" xfId="32" applyFont="1"/>
    <xf numFmtId="10" fontId="1" fillId="0" borderId="0" xfId="252" applyNumberFormat="1" applyFont="1" applyBorder="1"/>
    <xf numFmtId="0" fontId="1" fillId="0" borderId="12" xfId="0" applyFont="1" applyBorder="1"/>
    <xf numFmtId="43" fontId="2" fillId="0" borderId="23" xfId="32" applyFont="1" applyBorder="1"/>
    <xf numFmtId="9" fontId="35" fillId="0" borderId="33" xfId="69" applyNumberFormat="1" applyFont="1" applyFill="1" applyBorder="1" applyAlignment="1"/>
    <xf numFmtId="165" fontId="5" fillId="0" borderId="11" xfId="55" applyNumberFormat="1" applyFont="1" applyFill="1" applyBorder="1"/>
    <xf numFmtId="165" fontId="5" fillId="0" borderId="11" xfId="55" applyNumberFormat="1" applyFont="1" applyBorder="1"/>
    <xf numFmtId="165" fontId="5" fillId="0" borderId="11" xfId="55" applyNumberFormat="1" applyFont="1" applyFill="1" applyBorder="1" applyAlignment="1">
      <alignment horizontal="center"/>
    </xf>
    <xf numFmtId="10" fontId="5" fillId="0" borderId="0" xfId="252" applyNumberFormat="1" applyFont="1" applyBorder="1"/>
    <xf numFmtId="10" fontId="5" fillId="0" borderId="0" xfId="252" applyNumberFormat="1" applyFont="1" applyFill="1" applyBorder="1"/>
    <xf numFmtId="0" fontId="103" fillId="0" borderId="10" xfId="0" applyFont="1" applyBorder="1"/>
    <xf numFmtId="2" fontId="103" fillId="0" borderId="0" xfId="0" applyNumberFormat="1" applyFont="1" applyAlignment="1">
      <alignment horizontal="center"/>
    </xf>
    <xf numFmtId="10" fontId="103" fillId="0" borderId="0" xfId="0" applyNumberFormat="1" applyFont="1"/>
    <xf numFmtId="10" fontId="103" fillId="0" borderId="0" xfId="254" applyNumberFormat="1" applyFont="1" applyBorder="1"/>
    <xf numFmtId="44" fontId="103" fillId="0" borderId="0" xfId="69" applyFont="1" applyBorder="1"/>
    <xf numFmtId="44" fontId="103" fillId="0" borderId="0" xfId="69" applyFont="1" applyFill="1" applyBorder="1"/>
    <xf numFmtId="44" fontId="103" fillId="45" borderId="0" xfId="69" applyFont="1" applyFill="1" applyBorder="1"/>
    <xf numFmtId="0" fontId="126" fillId="0" borderId="10" xfId="0" applyFont="1" applyBorder="1"/>
    <xf numFmtId="44" fontId="126" fillId="0" borderId="0" xfId="0" applyNumberFormat="1" applyFont="1"/>
    <xf numFmtId="0" fontId="103" fillId="0" borderId="19" xfId="0" applyFont="1" applyBorder="1"/>
    <xf numFmtId="10" fontId="103" fillId="0" borderId="20" xfId="0" applyNumberFormat="1" applyFont="1" applyBorder="1"/>
    <xf numFmtId="0" fontId="127" fillId="0" borderId="11" xfId="0" applyFont="1" applyBorder="1" applyAlignment="1">
      <alignment wrapText="1"/>
    </xf>
    <xf numFmtId="0" fontId="103" fillId="0" borderId="11" xfId="0" applyFont="1" applyBorder="1"/>
    <xf numFmtId="0" fontId="127" fillId="0" borderId="11" xfId="0" applyFont="1" applyBorder="1" applyAlignment="1">
      <alignment horizontal="left" wrapText="1"/>
    </xf>
    <xf numFmtId="0" fontId="127" fillId="0" borderId="11" xfId="223" applyFont="1" applyBorder="1"/>
    <xf numFmtId="0" fontId="103" fillId="0" borderId="21" xfId="0" applyFont="1" applyBorder="1" applyAlignment="1">
      <alignment wrapText="1"/>
    </xf>
    <xf numFmtId="0" fontId="127" fillId="0" borderId="11" xfId="0" applyFont="1" applyBorder="1" applyAlignment="1">
      <alignment horizontal="center" wrapText="1"/>
    </xf>
    <xf numFmtId="0" fontId="127" fillId="0" borderId="11" xfId="0" applyFont="1" applyBorder="1" applyAlignment="1">
      <alignment horizontal="center" vertical="center" wrapText="1"/>
    </xf>
    <xf numFmtId="0" fontId="72" fillId="0" borderId="10" xfId="0" applyFont="1" applyBorder="1" applyAlignment="1">
      <alignment horizontal="left"/>
    </xf>
    <xf numFmtId="44" fontId="72" fillId="0" borderId="11" xfId="254" applyNumberFormat="1" applyFont="1" applyBorder="1" applyAlignment="1">
      <alignment horizontal="left"/>
    </xf>
    <xf numFmtId="10" fontId="72" fillId="0" borderId="20" xfId="254" applyNumberFormat="1" applyFont="1" applyBorder="1" applyAlignment="1">
      <alignment horizontal="right"/>
    </xf>
    <xf numFmtId="0" fontId="72" fillId="0" borderId="14" xfId="0" applyFont="1" applyBorder="1" applyAlignment="1">
      <alignment horizontal="left" wrapText="1"/>
    </xf>
    <xf numFmtId="0" fontId="71" fillId="0" borderId="10" xfId="0" applyFont="1" applyBorder="1" applyAlignment="1">
      <alignment horizontal="left"/>
    </xf>
    <xf numFmtId="0" fontId="71" fillId="0" borderId="0" xfId="0" applyFont="1" applyAlignment="1">
      <alignment horizontal="left"/>
    </xf>
    <xf numFmtId="164" fontId="71" fillId="0" borderId="0" xfId="0" applyNumberFormat="1" applyFont="1" applyAlignment="1">
      <alignment horizontal="left"/>
    </xf>
    <xf numFmtId="0" fontId="72" fillId="0" borderId="11" xfId="0" applyFont="1" applyBorder="1" applyAlignment="1">
      <alignment horizontal="left" wrapText="1"/>
    </xf>
    <xf numFmtId="0" fontId="72" fillId="0" borderId="0" xfId="0" applyFont="1" applyAlignment="1">
      <alignment horizontal="left"/>
    </xf>
    <xf numFmtId="167" fontId="72" fillId="0" borderId="0" xfId="254" applyNumberFormat="1" applyFont="1" applyFill="1" applyBorder="1" applyAlignment="1">
      <alignment horizontal="left"/>
    </xf>
    <xf numFmtId="0" fontId="72" fillId="0" borderId="11" xfId="0" applyFont="1" applyBorder="1" applyAlignment="1">
      <alignment horizontal="left"/>
    </xf>
    <xf numFmtId="0" fontId="129" fillId="0" borderId="0" xfId="0" applyFont="1" applyAlignment="1">
      <alignment horizontal="left"/>
    </xf>
    <xf numFmtId="2" fontId="72" fillId="0" borderId="0" xfId="0" applyNumberFormat="1" applyFont="1" applyAlignment="1">
      <alignment horizontal="left" wrapText="1"/>
    </xf>
    <xf numFmtId="44" fontId="72" fillId="0" borderId="0" xfId="55" applyFont="1" applyFill="1" applyBorder="1" applyAlignment="1">
      <alignment horizontal="left" wrapText="1"/>
    </xf>
    <xf numFmtId="44" fontId="72" fillId="45" borderId="0" xfId="55" applyFont="1" applyFill="1" applyBorder="1" applyAlignment="1">
      <alignment horizontal="left"/>
    </xf>
    <xf numFmtId="10" fontId="72" fillId="0" borderId="0" xfId="254" applyNumberFormat="1" applyFont="1" applyBorder="1" applyAlignment="1">
      <alignment horizontal="left"/>
    </xf>
    <xf numFmtId="44" fontId="72" fillId="0" borderId="0" xfId="254" applyNumberFormat="1" applyFont="1" applyBorder="1" applyAlignment="1">
      <alignment horizontal="left"/>
    </xf>
    <xf numFmtId="0" fontId="72" fillId="0" borderId="19" xfId="0" applyFont="1" applyBorder="1" applyAlignment="1">
      <alignment horizontal="left"/>
    </xf>
    <xf numFmtId="0" fontId="72" fillId="0" borderId="20" xfId="0" applyFont="1" applyBorder="1" applyAlignment="1">
      <alignment horizontal="left"/>
    </xf>
    <xf numFmtId="0" fontId="72" fillId="0" borderId="21" xfId="0" applyFont="1" applyBorder="1" applyAlignment="1">
      <alignment horizontal="left" wrapText="1"/>
    </xf>
    <xf numFmtId="0" fontId="72" fillId="0" borderId="12" xfId="0" applyFont="1" applyBorder="1" applyAlignment="1">
      <alignment horizontal="left"/>
    </xf>
    <xf numFmtId="0" fontId="72" fillId="0" borderId="13" xfId="0" applyFont="1" applyBorder="1" applyAlignment="1">
      <alignment horizontal="left"/>
    </xf>
    <xf numFmtId="0" fontId="72" fillId="0" borderId="26" xfId="0" applyFont="1" applyBorder="1" applyAlignment="1">
      <alignment horizontal="left"/>
    </xf>
    <xf numFmtId="0" fontId="72" fillId="0" borderId="14" xfId="0" applyFont="1" applyBorder="1" applyAlignment="1">
      <alignment horizontal="left"/>
    </xf>
    <xf numFmtId="0" fontId="129" fillId="0" borderId="21" xfId="0" applyFont="1" applyBorder="1" applyAlignment="1">
      <alignment horizontal="left"/>
    </xf>
    <xf numFmtId="10" fontId="72" fillId="0" borderId="0" xfId="254" applyNumberFormat="1" applyFont="1" applyFill="1" applyBorder="1" applyAlignment="1">
      <alignment horizontal="right"/>
    </xf>
    <xf numFmtId="0" fontId="5" fillId="0" borderId="20" xfId="0" applyFont="1" applyBorder="1" applyAlignment="1">
      <alignment horizontal="center"/>
    </xf>
    <xf numFmtId="4" fontId="5" fillId="0" borderId="23" xfId="0" applyNumberFormat="1" applyFont="1" applyBorder="1"/>
    <xf numFmtId="0" fontId="81" fillId="0" borderId="0" xfId="0" applyFont="1"/>
    <xf numFmtId="0" fontId="82" fillId="0" borderId="0" xfId="0" applyFont="1" applyAlignment="1">
      <alignment horizontal="center" vertical="center"/>
    </xf>
    <xf numFmtId="0" fontId="82" fillId="0" borderId="46" xfId="0" applyFont="1" applyBorder="1"/>
    <xf numFmtId="0" fontId="82" fillId="0" borderId="42" xfId="0" applyFont="1" applyBorder="1" applyAlignment="1">
      <alignment horizontal="left"/>
    </xf>
    <xf numFmtId="0" fontId="82" fillId="0" borderId="42" xfId="0" applyFont="1" applyBorder="1"/>
    <xf numFmtId="3" fontId="82" fillId="0" borderId="47" xfId="0" applyNumberFormat="1" applyFont="1" applyBorder="1"/>
    <xf numFmtId="0" fontId="81" fillId="0" borderId="29" xfId="0" applyFont="1" applyBorder="1"/>
    <xf numFmtId="0" fontId="81" fillId="0" borderId="63" xfId="0" applyFont="1" applyBorder="1"/>
    <xf numFmtId="0" fontId="81" fillId="0" borderId="32" xfId="0" applyFont="1" applyBorder="1"/>
    <xf numFmtId="0" fontId="81" fillId="0" borderId="34" xfId="0" applyFont="1" applyBorder="1"/>
    <xf numFmtId="0" fontId="81" fillId="0" borderId="10" xfId="0" applyFont="1" applyBorder="1"/>
    <xf numFmtId="0" fontId="81" fillId="0" borderId="11" xfId="0" applyFont="1" applyBorder="1"/>
    <xf numFmtId="0" fontId="82" fillId="0" borderId="10" xfId="0" applyFont="1" applyBorder="1"/>
    <xf numFmtId="0" fontId="82" fillId="0" borderId="0" xfId="0" applyFont="1"/>
    <xf numFmtId="0" fontId="82" fillId="0" borderId="16" xfId="0" applyFont="1" applyBorder="1" applyAlignment="1">
      <alignment horizontal="center"/>
    </xf>
    <xf numFmtId="0" fontId="82" fillId="0" borderId="17" xfId="0" applyFont="1" applyBorder="1" applyAlignment="1">
      <alignment horizontal="center"/>
    </xf>
    <xf numFmtId="0" fontId="81" fillId="0" borderId="12" xfId="0" applyFont="1" applyBorder="1"/>
    <xf numFmtId="0" fontId="81" fillId="0" borderId="14" xfId="0" applyFont="1" applyBorder="1"/>
    <xf numFmtId="0" fontId="82" fillId="0" borderId="0" xfId="0" applyFont="1" applyAlignment="1">
      <alignment horizontal="center"/>
    </xf>
    <xf numFmtId="165" fontId="81" fillId="0" borderId="11" xfId="55" applyNumberFormat="1" applyFont="1" applyFill="1" applyBorder="1" applyAlignment="1">
      <alignment horizontal="center"/>
    </xf>
    <xf numFmtId="165" fontId="81" fillId="0" borderId="0" xfId="55" applyNumberFormat="1" applyFont="1"/>
    <xf numFmtId="165" fontId="81" fillId="0" borderId="10" xfId="55" applyNumberFormat="1" applyFont="1" applyBorder="1" applyAlignment="1"/>
    <xf numFmtId="165" fontId="81" fillId="0" borderId="11" xfId="55" applyNumberFormat="1" applyFont="1" applyBorder="1"/>
    <xf numFmtId="165" fontId="81" fillId="0" borderId="0" xfId="55" applyNumberFormat="1" applyFont="1" applyFill="1" applyBorder="1"/>
    <xf numFmtId="165" fontId="81" fillId="0" borderId="10" xfId="55" applyNumberFormat="1" applyFont="1" applyBorder="1"/>
    <xf numFmtId="165" fontId="81" fillId="0" borderId="0" xfId="55" applyNumberFormat="1" applyFont="1" applyBorder="1"/>
    <xf numFmtId="42" fontId="81" fillId="0" borderId="0" xfId="0" applyNumberFormat="1" applyFont="1"/>
    <xf numFmtId="4" fontId="81" fillId="0" borderId="0" xfId="0" applyNumberFormat="1" applyFont="1"/>
    <xf numFmtId="165" fontId="81" fillId="0" borderId="11" xfId="55" applyNumberFormat="1" applyFont="1" applyFill="1" applyBorder="1"/>
    <xf numFmtId="165" fontId="81" fillId="0" borderId="10" xfId="55" applyNumberFormat="1" applyFont="1" applyBorder="1" applyAlignment="1">
      <alignment horizontal="right"/>
    </xf>
    <xf numFmtId="10" fontId="81" fillId="0" borderId="0" xfId="0" applyNumberFormat="1" applyFont="1"/>
    <xf numFmtId="0" fontId="82" fillId="0" borderId="22" xfId="0" applyFont="1" applyBorder="1"/>
    <xf numFmtId="0" fontId="82" fillId="0" borderId="23" xfId="0" applyFont="1" applyBorder="1"/>
    <xf numFmtId="4" fontId="82" fillId="0" borderId="23" xfId="0" applyNumberFormat="1" applyFont="1" applyBorder="1"/>
    <xf numFmtId="42" fontId="82" fillId="0" borderId="24" xfId="0" applyNumberFormat="1" applyFont="1" applyBorder="1"/>
    <xf numFmtId="2" fontId="82" fillId="0" borderId="22" xfId="0" applyNumberFormat="1" applyFont="1" applyBorder="1" applyAlignment="1">
      <alignment horizontal="right"/>
    </xf>
    <xf numFmtId="165" fontId="82" fillId="0" borderId="24" xfId="0" applyNumberFormat="1" applyFont="1" applyBorder="1"/>
    <xf numFmtId="165" fontId="82" fillId="0" borderId="0" xfId="0" applyNumberFormat="1" applyFont="1"/>
    <xf numFmtId="43" fontId="82" fillId="0" borderId="22" xfId="32" applyFont="1" applyBorder="1"/>
    <xf numFmtId="43" fontId="82" fillId="0" borderId="32" xfId="32" applyFont="1" applyBorder="1"/>
    <xf numFmtId="165" fontId="82" fillId="0" borderId="31" xfId="32" applyNumberFormat="1" applyFont="1" applyBorder="1"/>
    <xf numFmtId="171" fontId="81" fillId="0" borderId="0" xfId="0" applyNumberFormat="1" applyFont="1"/>
    <xf numFmtId="165" fontId="81" fillId="0" borderId="11" xfId="0" applyNumberFormat="1" applyFont="1" applyBorder="1"/>
    <xf numFmtId="44" fontId="81" fillId="0" borderId="10" xfId="69" applyFont="1" applyBorder="1" applyAlignment="1">
      <alignment horizontal="right"/>
    </xf>
    <xf numFmtId="165" fontId="81" fillId="0" borderId="11" xfId="69" applyNumberFormat="1" applyFont="1" applyBorder="1"/>
    <xf numFmtId="165" fontId="81" fillId="0" borderId="0" xfId="69" applyNumberFormat="1" applyFont="1" applyFill="1" applyBorder="1"/>
    <xf numFmtId="44" fontId="81" fillId="0" borderId="10" xfId="69" applyFont="1" applyBorder="1"/>
    <xf numFmtId="165" fontId="81" fillId="0" borderId="0" xfId="69" applyNumberFormat="1" applyFont="1" applyBorder="1"/>
    <xf numFmtId="44" fontId="81" fillId="0" borderId="15" xfId="69" applyFont="1" applyBorder="1"/>
    <xf numFmtId="171" fontId="81" fillId="0" borderId="10" xfId="69" applyNumberFormat="1" applyFont="1" applyBorder="1"/>
    <xf numFmtId="0" fontId="81" fillId="0" borderId="22" xfId="0" applyFont="1" applyBorder="1" applyAlignment="1">
      <alignment horizontal="right"/>
    </xf>
    <xf numFmtId="165" fontId="82" fillId="0" borderId="22" xfId="0" applyNumberFormat="1" applyFont="1" applyBorder="1"/>
    <xf numFmtId="165" fontId="82" fillId="0" borderId="32" xfId="0" applyNumberFormat="1" applyFont="1" applyBorder="1"/>
    <xf numFmtId="165" fontId="82" fillId="0" borderId="34" xfId="0" applyNumberFormat="1" applyFont="1" applyBorder="1"/>
    <xf numFmtId="10" fontId="82" fillId="0" borderId="0" xfId="0" applyNumberFormat="1" applyFont="1"/>
    <xf numFmtId="42" fontId="82" fillId="0" borderId="11" xfId="0" applyNumberFormat="1" applyFont="1" applyBorder="1"/>
    <xf numFmtId="10" fontId="81" fillId="0" borderId="10" xfId="0" applyNumberFormat="1" applyFont="1" applyBorder="1" applyAlignment="1">
      <alignment horizontal="right"/>
    </xf>
    <xf numFmtId="165" fontId="82" fillId="0" borderId="11" xfId="0" applyNumberFormat="1" applyFont="1" applyBorder="1"/>
    <xf numFmtId="10" fontId="82" fillId="0" borderId="10" xfId="252" applyNumberFormat="1" applyFont="1" applyBorder="1"/>
    <xf numFmtId="42" fontId="81" fillId="0" borderId="11" xfId="0" applyNumberFormat="1" applyFont="1" applyBorder="1"/>
    <xf numFmtId="165" fontId="81" fillId="0" borderId="0" xfId="0" applyNumberFormat="1" applyFont="1"/>
    <xf numFmtId="10" fontId="81" fillId="0" borderId="10" xfId="254" applyNumberFormat="1" applyFont="1" applyBorder="1"/>
    <xf numFmtId="44" fontId="81" fillId="0" borderId="11" xfId="0" applyNumberFormat="1" applyFont="1" applyBorder="1"/>
    <xf numFmtId="0" fontId="82" fillId="0" borderId="32" xfId="0" applyFont="1" applyBorder="1"/>
    <xf numFmtId="0" fontId="81" fillId="0" borderId="33" xfId="0" applyFont="1" applyBorder="1"/>
    <xf numFmtId="42" fontId="82" fillId="0" borderId="34" xfId="0" applyNumberFormat="1" applyFont="1" applyBorder="1"/>
    <xf numFmtId="0" fontId="81" fillId="0" borderId="32" xfId="0" applyFont="1" applyBorder="1" applyAlignment="1">
      <alignment horizontal="right"/>
    </xf>
    <xf numFmtId="168" fontId="82" fillId="28" borderId="32" xfId="0" applyNumberFormat="1" applyFont="1" applyFill="1" applyBorder="1"/>
    <xf numFmtId="9" fontId="82" fillId="28" borderId="33" xfId="0" applyNumberFormat="1" applyFont="1" applyFill="1" applyBorder="1"/>
    <xf numFmtId="164" fontId="82" fillId="28" borderId="33" xfId="0" applyNumberFormat="1" applyFont="1" applyFill="1" applyBorder="1"/>
    <xf numFmtId="44" fontId="82" fillId="28" borderId="33" xfId="69" applyFont="1" applyFill="1" applyBorder="1" applyAlignment="1"/>
    <xf numFmtId="165" fontId="82" fillId="28" borderId="34" xfId="69" applyNumberFormat="1" applyFont="1" applyFill="1" applyBorder="1"/>
    <xf numFmtId="0" fontId="81" fillId="28" borderId="32" xfId="0" applyFont="1" applyFill="1" applyBorder="1"/>
    <xf numFmtId="165" fontId="82" fillId="0" borderId="0" xfId="69" applyNumberFormat="1" applyFont="1" applyFill="1" applyBorder="1"/>
    <xf numFmtId="165" fontId="82" fillId="0" borderId="10" xfId="69" applyNumberFormat="1" applyFont="1" applyFill="1" applyBorder="1"/>
    <xf numFmtId="165" fontId="82" fillId="0" borderId="11" xfId="69" applyNumberFormat="1" applyFont="1" applyFill="1" applyBorder="1"/>
    <xf numFmtId="165" fontId="81" fillId="0" borderId="34" xfId="69" applyNumberFormat="1" applyFont="1" applyFill="1" applyBorder="1"/>
    <xf numFmtId="165" fontId="81" fillId="0" borderId="10" xfId="69" applyNumberFormat="1" applyFont="1" applyBorder="1"/>
    <xf numFmtId="168" fontId="82" fillId="0" borderId="0" xfId="0" applyNumberFormat="1" applyFont="1"/>
    <xf numFmtId="9" fontId="82" fillId="0" borderId="0" xfId="0" applyNumberFormat="1" applyFont="1"/>
    <xf numFmtId="164" fontId="82" fillId="0" borderId="0" xfId="0" applyNumberFormat="1" applyFont="1"/>
    <xf numFmtId="44" fontId="82" fillId="0" borderId="0" xfId="69" applyFont="1" applyFill="1" applyBorder="1" applyAlignment="1"/>
    <xf numFmtId="44" fontId="82" fillId="0" borderId="0" xfId="69" applyFont="1" applyFill="1" applyBorder="1"/>
    <xf numFmtId="44" fontId="82" fillId="0" borderId="0" xfId="0" applyNumberFormat="1" applyFont="1"/>
    <xf numFmtId="44" fontId="82" fillId="28" borderId="32" xfId="0" applyNumberFormat="1" applyFont="1" applyFill="1" applyBorder="1"/>
    <xf numFmtId="44" fontId="82" fillId="28" borderId="34" xfId="0" applyNumberFormat="1" applyFont="1" applyFill="1" applyBorder="1"/>
    <xf numFmtId="9" fontId="82" fillId="0" borderId="0" xfId="254" applyFont="1" applyFill="1" applyBorder="1" applyAlignment="1"/>
    <xf numFmtId="165" fontId="82" fillId="28" borderId="0" xfId="69" applyNumberFormat="1" applyFont="1" applyFill="1" applyBorder="1"/>
    <xf numFmtId="10" fontId="81" fillId="0" borderId="0" xfId="252" applyNumberFormat="1" applyFont="1" applyFill="1" applyBorder="1"/>
    <xf numFmtId="0" fontId="81" fillId="0" borderId="19" xfId="0" applyFont="1" applyBorder="1"/>
    <xf numFmtId="0" fontId="81" fillId="0" borderId="21" xfId="0" applyFont="1" applyBorder="1"/>
    <xf numFmtId="10" fontId="81" fillId="0" borderId="0" xfId="252" applyNumberFormat="1" applyFont="1"/>
    <xf numFmtId="10" fontId="81" fillId="0" borderId="0" xfId="252" applyNumberFormat="1" applyFont="1" applyAlignment="1">
      <alignment horizontal="center"/>
    </xf>
    <xf numFmtId="10" fontId="81" fillId="0" borderId="0" xfId="252" applyNumberFormat="1" applyFont="1" applyFill="1" applyBorder="1" applyAlignment="1"/>
    <xf numFmtId="44" fontId="81" fillId="0" borderId="0" xfId="0" applyNumberFormat="1" applyFont="1"/>
    <xf numFmtId="6" fontId="113" fillId="0" borderId="0" xfId="223" applyNumberFormat="1" applyFont="1" applyAlignment="1">
      <alignment horizontal="center"/>
    </xf>
    <xf numFmtId="171" fontId="113" fillId="0" borderId="0" xfId="223" applyNumberFormat="1" applyFont="1" applyAlignment="1">
      <alignment wrapText="1"/>
    </xf>
    <xf numFmtId="0" fontId="0" fillId="0" borderId="0" xfId="0" applyAlignment="1">
      <alignment vertical="center"/>
    </xf>
    <xf numFmtId="171" fontId="112" fillId="0" borderId="21" xfId="0" applyNumberFormat="1" applyFont="1" applyBorder="1" applyAlignment="1">
      <alignment vertical="center" wrapText="1"/>
    </xf>
    <xf numFmtId="0" fontId="96" fillId="0" borderId="21" xfId="0" applyFont="1" applyBorder="1" applyAlignment="1">
      <alignment vertical="center" wrapText="1"/>
    </xf>
    <xf numFmtId="0" fontId="112" fillId="0" borderId="21" xfId="0" applyFont="1" applyBorder="1" applyAlignment="1">
      <alignment vertical="center" wrapText="1"/>
    </xf>
    <xf numFmtId="0" fontId="112" fillId="0" borderId="44" xfId="0" applyFont="1" applyBorder="1" applyAlignment="1">
      <alignment vertical="center" wrapText="1"/>
    </xf>
    <xf numFmtId="0" fontId="0" fillId="0" borderId="21" xfId="0" applyBorder="1" applyAlignment="1">
      <alignment vertical="center" wrapText="1"/>
    </xf>
    <xf numFmtId="0" fontId="130" fillId="0" borderId="21" xfId="0" applyFont="1" applyBorder="1" applyAlignment="1">
      <alignment vertical="center" wrapText="1"/>
    </xf>
    <xf numFmtId="0" fontId="131" fillId="0" borderId="34" xfId="0" applyFont="1" applyBorder="1" applyAlignment="1">
      <alignment vertical="center" wrapText="1"/>
    </xf>
    <xf numFmtId="0" fontId="131" fillId="0" borderId="31" xfId="0" applyFont="1" applyBorder="1" applyAlignment="1">
      <alignment vertical="center" wrapText="1"/>
    </xf>
    <xf numFmtId="0" fontId="112" fillId="28" borderId="44" xfId="0" applyFont="1" applyFill="1" applyBorder="1" applyAlignment="1">
      <alignment vertical="center" wrapText="1"/>
    </xf>
    <xf numFmtId="0" fontId="112" fillId="28" borderId="21" xfId="0" applyFont="1" applyFill="1" applyBorder="1" applyAlignment="1">
      <alignment vertical="center" wrapText="1"/>
    </xf>
    <xf numFmtId="171" fontId="112" fillId="28" borderId="21" xfId="0" applyNumberFormat="1" applyFont="1" applyFill="1" applyBorder="1" applyAlignment="1">
      <alignment vertical="center" wrapText="1"/>
    </xf>
    <xf numFmtId="0" fontId="112" fillId="28" borderId="21" xfId="0" applyFont="1" applyFill="1" applyBorder="1" applyAlignment="1">
      <alignment horizontal="right" vertical="center" wrapText="1"/>
    </xf>
    <xf numFmtId="0" fontId="66" fillId="0" borderId="0" xfId="0" applyFont="1"/>
    <xf numFmtId="0" fontId="133" fillId="0" borderId="0" xfId="0" applyFont="1"/>
    <xf numFmtId="0" fontId="1" fillId="0" borderId="0" xfId="316"/>
    <xf numFmtId="0" fontId="32" fillId="24" borderId="0" xfId="316" applyFont="1" applyFill="1"/>
    <xf numFmtId="0" fontId="2" fillId="24" borderId="11" xfId="316" applyFont="1" applyFill="1" applyBorder="1"/>
    <xf numFmtId="0" fontId="34" fillId="24" borderId="20" xfId="316" applyFont="1" applyFill="1" applyBorder="1"/>
    <xf numFmtId="0" fontId="2" fillId="24" borderId="21" xfId="316" applyFont="1" applyFill="1" applyBorder="1"/>
    <xf numFmtId="0" fontId="2" fillId="0" borderId="0" xfId="316" applyFont="1"/>
    <xf numFmtId="0" fontId="1" fillId="46" borderId="0" xfId="316" applyFill="1"/>
    <xf numFmtId="0" fontId="1" fillId="38" borderId="0" xfId="316" applyFill="1"/>
    <xf numFmtId="0" fontId="1" fillId="33" borderId="0" xfId="316" applyFill="1"/>
    <xf numFmtId="0" fontId="1" fillId="29" borderId="0" xfId="316" applyFill="1"/>
    <xf numFmtId="14" fontId="2" fillId="0" borderId="0" xfId="316" applyNumberFormat="1" applyFont="1"/>
    <xf numFmtId="169" fontId="1" fillId="0" borderId="0" xfId="316" applyNumberFormat="1"/>
    <xf numFmtId="2" fontId="1" fillId="0" borderId="0" xfId="316" applyNumberFormat="1"/>
    <xf numFmtId="0" fontId="2" fillId="0" borderId="0" xfId="317" applyFont="1" applyAlignment="1"/>
    <xf numFmtId="0" fontId="112" fillId="0" borderId="0" xfId="317" applyAlignment="1"/>
    <xf numFmtId="0" fontId="75" fillId="0" borderId="0" xfId="317" applyFont="1" applyAlignment="1"/>
    <xf numFmtId="0" fontId="67" fillId="0" borderId="0" xfId="317" applyFont="1" applyAlignment="1"/>
    <xf numFmtId="0" fontId="112" fillId="0" borderId="37" xfId="317" applyBorder="1" applyAlignment="1"/>
    <xf numFmtId="0" fontId="112" fillId="0" borderId="28" xfId="317" applyBorder="1" applyAlignment="1"/>
    <xf numFmtId="0" fontId="112" fillId="0" borderId="38" xfId="317" applyBorder="1" applyAlignment="1"/>
    <xf numFmtId="0" fontId="112" fillId="0" borderId="39" xfId="317" applyBorder="1" applyAlignment="1"/>
    <xf numFmtId="0" fontId="112" fillId="0" borderId="0" xfId="317" applyAlignment="1">
      <alignment horizontal="right"/>
    </xf>
    <xf numFmtId="0" fontId="2" fillId="0" borderId="0" xfId="317" applyFont="1" applyAlignment="1">
      <alignment horizontal="center"/>
    </xf>
    <xf numFmtId="0" fontId="112" fillId="0" borderId="40" xfId="317" applyBorder="1" applyAlignment="1"/>
    <xf numFmtId="3" fontId="2" fillId="0" borderId="0" xfId="318" applyFont="1" applyAlignment="1"/>
    <xf numFmtId="0" fontId="4" fillId="0" borderId="40" xfId="317" applyFont="1" applyBorder="1" applyAlignment="1">
      <alignment horizontal="center"/>
    </xf>
    <xf numFmtId="169" fontId="1" fillId="0" borderId="0" xfId="318" applyNumberFormat="1" applyAlignment="1"/>
    <xf numFmtId="169" fontId="112" fillId="0" borderId="40" xfId="317" applyNumberFormat="1" applyBorder="1" applyAlignment="1">
      <alignment horizontal="center"/>
    </xf>
    <xf numFmtId="0" fontId="112" fillId="0" borderId="40" xfId="317" applyBorder="1" applyAlignment="1">
      <alignment horizontal="center"/>
    </xf>
    <xf numFmtId="0" fontId="112" fillId="0" borderId="39" xfId="317" applyBorder="1" applyAlignment="1">
      <alignment horizontal="right"/>
    </xf>
    <xf numFmtId="0" fontId="2" fillId="28" borderId="0" xfId="317" applyFont="1" applyFill="1" applyAlignment="1">
      <alignment horizontal="right"/>
    </xf>
    <xf numFmtId="10" fontId="2" fillId="28" borderId="40" xfId="319" applyNumberFormat="1" applyFont="1" applyFill="1" applyBorder="1" applyAlignment="1">
      <alignment horizontal="center"/>
    </xf>
    <xf numFmtId="0" fontId="112" fillId="0" borderId="36" xfId="317" applyBorder="1" applyAlignment="1"/>
    <xf numFmtId="0" fontId="112" fillId="0" borderId="16" xfId="317" applyBorder="1" applyAlignment="1"/>
    <xf numFmtId="0" fontId="112" fillId="0" borderId="35" xfId="317" applyBorder="1" applyAlignment="1"/>
    <xf numFmtId="0" fontId="53" fillId="0" borderId="0" xfId="320"/>
    <xf numFmtId="0" fontId="69" fillId="0" borderId="0" xfId="320" applyFont="1" applyAlignment="1">
      <alignment horizontal="center"/>
    </xf>
    <xf numFmtId="0" fontId="53" fillId="0" borderId="0" xfId="320" applyAlignment="1">
      <alignment wrapText="1"/>
    </xf>
    <xf numFmtId="8" fontId="53" fillId="0" borderId="0" xfId="320" applyNumberFormat="1"/>
    <xf numFmtId="0" fontId="127" fillId="0" borderId="0" xfId="320" applyFont="1"/>
    <xf numFmtId="17" fontId="135" fillId="0" borderId="0" xfId="320" applyNumberFormat="1" applyFont="1" applyAlignment="1">
      <alignment horizontal="center"/>
    </xf>
    <xf numFmtId="174" fontId="65" fillId="0" borderId="0" xfId="320" applyNumberFormat="1" applyFont="1" applyAlignment="1">
      <alignment horizontal="left" vertical="top"/>
    </xf>
    <xf numFmtId="0" fontId="65" fillId="0" borderId="0" xfId="320" applyFont="1" applyAlignment="1">
      <alignment horizontal="center"/>
    </xf>
    <xf numFmtId="0" fontId="65" fillId="0" borderId="0" xfId="320" applyFont="1"/>
    <xf numFmtId="9" fontId="65" fillId="0" borderId="0" xfId="320" applyNumberFormat="1" applyFont="1" applyAlignment="1">
      <alignment horizontal="center" wrapText="1"/>
    </xf>
    <xf numFmtId="0" fontId="65" fillId="0" borderId="0" xfId="320" applyFont="1" applyAlignment="1">
      <alignment horizontal="left" wrapText="1"/>
    </xf>
    <xf numFmtId="8" fontId="53" fillId="0" borderId="0" xfId="320" applyNumberFormat="1" applyAlignment="1">
      <alignment horizontal="right"/>
    </xf>
    <xf numFmtId="0" fontId="132" fillId="0" borderId="12" xfId="320" applyFont="1" applyBorder="1"/>
    <xf numFmtId="171" fontId="53" fillId="0" borderId="42" xfId="320" applyNumberFormat="1" applyBorder="1" applyAlignment="1">
      <alignment horizontal="center"/>
    </xf>
    <xf numFmtId="0" fontId="53" fillId="0" borderId="13" xfId="320" applyBorder="1"/>
    <xf numFmtId="44" fontId="53" fillId="47" borderId="42" xfId="69" applyFont="1" applyFill="1" applyBorder="1" applyAlignment="1">
      <alignment horizontal="center"/>
    </xf>
    <xf numFmtId="8" fontId="53" fillId="0" borderId="14" xfId="320" applyNumberFormat="1" applyBorder="1"/>
    <xf numFmtId="10" fontId="53" fillId="0" borderId="0" xfId="254" applyNumberFormat="1" applyFont="1"/>
    <xf numFmtId="0" fontId="132" fillId="0" borderId="19" xfId="320" applyFont="1" applyBorder="1"/>
    <xf numFmtId="170" fontId="53" fillId="0" borderId="20" xfId="320" applyNumberFormat="1" applyBorder="1" applyAlignment="1">
      <alignment horizontal="center"/>
    </xf>
    <xf numFmtId="0" fontId="53" fillId="0" borderId="20" xfId="320" applyBorder="1"/>
    <xf numFmtId="6" fontId="53" fillId="0" borderId="14" xfId="320" applyNumberFormat="1" applyBorder="1"/>
    <xf numFmtId="0" fontId="53" fillId="0" borderId="12" xfId="320" applyBorder="1"/>
    <xf numFmtId="0" fontId="53" fillId="0" borderId="10" xfId="320" applyBorder="1"/>
    <xf numFmtId="170" fontId="53" fillId="0" borderId="0" xfId="320" applyNumberFormat="1" applyAlignment="1">
      <alignment horizontal="center"/>
    </xf>
    <xf numFmtId="0" fontId="53" fillId="0" borderId="19" xfId="320" applyBorder="1"/>
    <xf numFmtId="0" fontId="53" fillId="0" borderId="12" xfId="320" applyBorder="1" applyAlignment="1">
      <alignment wrapText="1"/>
    </xf>
    <xf numFmtId="0" fontId="53" fillId="0" borderId="19" xfId="320" applyBorder="1" applyAlignment="1">
      <alignment wrapText="1"/>
    </xf>
    <xf numFmtId="171" fontId="53" fillId="0" borderId="13" xfId="320" applyNumberFormat="1" applyBorder="1" applyAlignment="1">
      <alignment horizontal="center"/>
    </xf>
    <xf numFmtId="171" fontId="53" fillId="0" borderId="0" xfId="320" applyNumberFormat="1" applyAlignment="1">
      <alignment horizontal="center"/>
    </xf>
    <xf numFmtId="0" fontId="132" fillId="0" borderId="10" xfId="320" applyFont="1" applyBorder="1"/>
    <xf numFmtId="10" fontId="135" fillId="0" borderId="0" xfId="320" applyNumberFormat="1" applyFont="1"/>
    <xf numFmtId="0" fontId="70" fillId="0" borderId="0" xfId="320" applyFont="1" applyAlignment="1">
      <alignment horizontal="right" wrapText="1"/>
    </xf>
    <xf numFmtId="0" fontId="53" fillId="0" borderId="0" xfId="320" applyAlignment="1">
      <alignment horizontal="center"/>
    </xf>
    <xf numFmtId="0" fontId="53" fillId="0" borderId="0" xfId="320" applyAlignment="1">
      <alignment horizontal="right"/>
    </xf>
    <xf numFmtId="10" fontId="53" fillId="0" borderId="0" xfId="254" applyNumberFormat="1" applyFont="1" applyAlignment="1">
      <alignment horizontal="center"/>
    </xf>
    <xf numFmtId="10" fontId="53" fillId="0" borderId="0" xfId="320" applyNumberFormat="1"/>
    <xf numFmtId="9" fontId="53" fillId="0" borderId="0" xfId="254" applyFont="1" applyAlignment="1">
      <alignment horizontal="center"/>
    </xf>
    <xf numFmtId="9" fontId="53" fillId="0" borderId="0" xfId="320" applyNumberFormat="1"/>
    <xf numFmtId="9" fontId="53" fillId="0" borderId="0" xfId="254" applyFont="1"/>
    <xf numFmtId="170" fontId="53" fillId="0" borderId="0" xfId="320" applyNumberFormat="1"/>
    <xf numFmtId="6" fontId="53" fillId="0" borderId="0" xfId="320" applyNumberFormat="1" applyAlignment="1">
      <alignment horizontal="center"/>
    </xf>
    <xf numFmtId="0" fontId="65" fillId="0" borderId="0" xfId="320" applyFont="1" applyAlignment="1">
      <alignment horizontal="right"/>
    </xf>
    <xf numFmtId="0" fontId="65" fillId="0" borderId="0" xfId="320" applyFont="1" applyAlignment="1">
      <alignment horizontal="right" vertical="top"/>
    </xf>
    <xf numFmtId="0" fontId="127" fillId="0" borderId="0" xfId="320" applyFont="1" applyAlignment="1">
      <alignment wrapText="1"/>
    </xf>
    <xf numFmtId="8" fontId="127" fillId="0" borderId="0" xfId="320" applyNumberFormat="1" applyFont="1"/>
    <xf numFmtId="44" fontId="0" fillId="0" borderId="0" xfId="69" applyFont="1"/>
    <xf numFmtId="9" fontId="0" fillId="0" borderId="0" xfId="254" applyFont="1"/>
    <xf numFmtId="2" fontId="0" fillId="0" borderId="0" xfId="0" applyNumberFormat="1" applyAlignment="1">
      <alignment horizontal="right"/>
    </xf>
    <xf numFmtId="3" fontId="0" fillId="0" borderId="0" xfId="0" applyNumberFormat="1" applyAlignment="1">
      <alignment horizontal="right"/>
    </xf>
    <xf numFmtId="166" fontId="0" fillId="0" borderId="0" xfId="0" applyNumberFormat="1" applyAlignment="1">
      <alignment horizontal="right"/>
    </xf>
    <xf numFmtId="0" fontId="0" fillId="48" borderId="0" xfId="0" applyFill="1"/>
    <xf numFmtId="0" fontId="0" fillId="48" borderId="0" xfId="0" applyFill="1" applyAlignment="1">
      <alignment horizontal="center"/>
    </xf>
    <xf numFmtId="2" fontId="0" fillId="48" borderId="0" xfId="0" applyNumberFormat="1" applyFill="1" applyAlignment="1">
      <alignment horizontal="right"/>
    </xf>
    <xf numFmtId="3" fontId="0" fillId="48" borderId="0" xfId="0" applyNumberFormat="1" applyFill="1" applyAlignment="1">
      <alignment horizontal="right"/>
    </xf>
    <xf numFmtId="166" fontId="0" fillId="48" borderId="0" xfId="0" applyNumberFormat="1" applyFill="1" applyAlignment="1">
      <alignment horizontal="right"/>
    </xf>
    <xf numFmtId="44" fontId="0" fillId="48" borderId="0" xfId="69" applyFont="1" applyFill="1"/>
    <xf numFmtId="0" fontId="0" fillId="49" borderId="0" xfId="0" applyFill="1"/>
    <xf numFmtId="0" fontId="0" fillId="49" borderId="0" xfId="0" applyFill="1" applyAlignment="1">
      <alignment horizontal="center"/>
    </xf>
    <xf numFmtId="2" fontId="0" fillId="49" borderId="0" xfId="0" applyNumberFormat="1" applyFill="1" applyAlignment="1">
      <alignment horizontal="right"/>
    </xf>
    <xf numFmtId="3" fontId="0" fillId="49" borderId="0" xfId="0" applyNumberFormat="1" applyFill="1" applyAlignment="1">
      <alignment horizontal="right"/>
    </xf>
    <xf numFmtId="166" fontId="0" fillId="49" borderId="0" xfId="0" applyNumberFormat="1" applyFill="1" applyAlignment="1">
      <alignment horizontal="right"/>
    </xf>
    <xf numFmtId="44" fontId="0" fillId="49" borderId="0" xfId="69" applyFont="1" applyFill="1"/>
    <xf numFmtId="0" fontId="0" fillId="39" borderId="0" xfId="0" applyFill="1"/>
    <xf numFmtId="0" fontId="0" fillId="39" borderId="0" xfId="0" applyFill="1" applyAlignment="1">
      <alignment horizontal="center"/>
    </xf>
    <xf numFmtId="2" fontId="0" fillId="39" borderId="0" xfId="0" applyNumberFormat="1" applyFill="1" applyAlignment="1">
      <alignment horizontal="right"/>
    </xf>
    <xf numFmtId="3" fontId="0" fillId="39" borderId="0" xfId="0" applyNumberFormat="1" applyFill="1" applyAlignment="1">
      <alignment horizontal="right"/>
    </xf>
    <xf numFmtId="166" fontId="0" fillId="39" borderId="0" xfId="0" applyNumberFormat="1" applyFill="1" applyAlignment="1">
      <alignment horizontal="right"/>
    </xf>
    <xf numFmtId="44" fontId="0" fillId="39" borderId="0" xfId="69" applyFont="1" applyFill="1"/>
    <xf numFmtId="0" fontId="0" fillId="50" borderId="0" xfId="0" applyFill="1"/>
    <xf numFmtId="0" fontId="0" fillId="50" borderId="0" xfId="0" applyFill="1" applyAlignment="1">
      <alignment horizontal="center"/>
    </xf>
    <xf numFmtId="2" fontId="0" fillId="50" borderId="0" xfId="0" applyNumberFormat="1" applyFill="1" applyAlignment="1">
      <alignment horizontal="right"/>
    </xf>
    <xf numFmtId="3" fontId="0" fillId="50" borderId="0" xfId="0" applyNumberFormat="1" applyFill="1" applyAlignment="1">
      <alignment horizontal="right"/>
    </xf>
    <xf numFmtId="166" fontId="0" fillId="50" borderId="0" xfId="0" applyNumberFormat="1" applyFill="1" applyAlignment="1">
      <alignment horizontal="right"/>
    </xf>
    <xf numFmtId="44" fontId="0" fillId="50" borderId="0" xfId="69" applyFont="1" applyFill="1"/>
    <xf numFmtId="0" fontId="0" fillId="51" borderId="0" xfId="0" applyFill="1"/>
    <xf numFmtId="0" fontId="0" fillId="51" borderId="0" xfId="0" applyFill="1" applyAlignment="1">
      <alignment horizontal="center"/>
    </xf>
    <xf numFmtId="2" fontId="0" fillId="51" borderId="0" xfId="0" applyNumberFormat="1" applyFill="1" applyAlignment="1">
      <alignment horizontal="right"/>
    </xf>
    <xf numFmtId="3" fontId="0" fillId="51" borderId="0" xfId="0" applyNumberFormat="1" applyFill="1" applyAlignment="1">
      <alignment horizontal="right"/>
    </xf>
    <xf numFmtId="166" fontId="0" fillId="51" borderId="0" xfId="0" applyNumberFormat="1" applyFill="1" applyAlignment="1">
      <alignment horizontal="right"/>
    </xf>
    <xf numFmtId="44" fontId="0" fillId="51" borderId="0" xfId="69" applyFont="1" applyFill="1"/>
    <xf numFmtId="44" fontId="0" fillId="51" borderId="0" xfId="0" applyNumberFormat="1" applyFill="1"/>
    <xf numFmtId="0" fontId="0" fillId="52" borderId="0" xfId="0" applyFill="1"/>
    <xf numFmtId="0" fontId="0" fillId="52" borderId="0" xfId="0" applyFill="1" applyAlignment="1">
      <alignment horizontal="center"/>
    </xf>
    <xf numFmtId="2" fontId="0" fillId="52" borderId="0" xfId="0" applyNumberFormat="1" applyFill="1" applyAlignment="1">
      <alignment horizontal="right"/>
    </xf>
    <xf numFmtId="3" fontId="0" fillId="52" borderId="0" xfId="0" applyNumberFormat="1" applyFill="1" applyAlignment="1">
      <alignment horizontal="right"/>
    </xf>
    <xf numFmtId="166" fontId="0" fillId="52" borderId="0" xfId="0" applyNumberFormat="1" applyFill="1" applyAlignment="1">
      <alignment horizontal="right"/>
    </xf>
    <xf numFmtId="44" fontId="0" fillId="52" borderId="0" xfId="69" applyFont="1" applyFill="1"/>
    <xf numFmtId="44" fontId="0" fillId="0" borderId="0" xfId="69" applyFont="1" applyFill="1"/>
    <xf numFmtId="0" fontId="0" fillId="28" borderId="0" xfId="0" applyFill="1"/>
    <xf numFmtId="0" fontId="0" fillId="28" borderId="0" xfId="0" applyFill="1" applyAlignment="1">
      <alignment horizontal="center"/>
    </xf>
    <xf numFmtId="2" fontId="0" fillId="28" borderId="0" xfId="0" applyNumberFormat="1" applyFill="1" applyAlignment="1">
      <alignment horizontal="right"/>
    </xf>
    <xf numFmtId="3" fontId="0" fillId="28" borderId="0" xfId="0" applyNumberFormat="1" applyFill="1" applyAlignment="1">
      <alignment horizontal="right"/>
    </xf>
    <xf numFmtId="166" fontId="0" fillId="28" borderId="0" xfId="0" applyNumberFormat="1" applyFill="1" applyAlignment="1">
      <alignment horizontal="right"/>
    </xf>
    <xf numFmtId="44" fontId="0" fillId="28" borderId="0" xfId="69" applyFont="1" applyFill="1"/>
    <xf numFmtId="0" fontId="139" fillId="0" borderId="0" xfId="321" applyFont="1"/>
    <xf numFmtId="0" fontId="103" fillId="0" borderId="0" xfId="321" applyFont="1"/>
    <xf numFmtId="0" fontId="139" fillId="0" borderId="0" xfId="321" applyFont="1" applyAlignment="1">
      <alignment horizontal="right"/>
    </xf>
    <xf numFmtId="44" fontId="103" fillId="0" borderId="0" xfId="321" applyNumberFormat="1" applyFont="1"/>
    <xf numFmtId="44" fontId="103" fillId="0" borderId="88" xfId="321" applyNumberFormat="1" applyFont="1" applyBorder="1"/>
    <xf numFmtId="44" fontId="103" fillId="0" borderId="89" xfId="321" applyNumberFormat="1" applyFont="1" applyBorder="1"/>
    <xf numFmtId="44" fontId="103" fillId="0" borderId="90" xfId="321" applyNumberFormat="1" applyFont="1" applyBorder="1"/>
    <xf numFmtId="0" fontId="103" fillId="53" borderId="0" xfId="321" applyFont="1" applyFill="1"/>
    <xf numFmtId="0" fontId="103" fillId="0" borderId="0" xfId="321" applyFont="1" applyAlignment="1">
      <alignment wrapText="1"/>
    </xf>
    <xf numFmtId="0" fontId="103" fillId="53" borderId="0" xfId="321" applyFont="1" applyFill="1" applyAlignment="1">
      <alignment wrapText="1"/>
    </xf>
    <xf numFmtId="43" fontId="103" fillId="0" borderId="0" xfId="34" applyFont="1"/>
    <xf numFmtId="43" fontId="103" fillId="53" borderId="89" xfId="34" applyFont="1" applyFill="1" applyBorder="1"/>
    <xf numFmtId="0" fontId="103" fillId="53" borderId="89" xfId="321" applyFont="1" applyFill="1" applyBorder="1"/>
    <xf numFmtId="43" fontId="103" fillId="0" borderId="0" xfId="321" applyNumberFormat="1" applyFont="1"/>
    <xf numFmtId="0" fontId="103" fillId="0" borderId="12" xfId="321" applyFont="1" applyBorder="1"/>
    <xf numFmtId="44" fontId="103" fillId="0" borderId="14" xfId="321" applyNumberFormat="1" applyFont="1" applyBorder="1"/>
    <xf numFmtId="0" fontId="103" fillId="0" borderId="10" xfId="321" applyFont="1" applyBorder="1"/>
    <xf numFmtId="44" fontId="103" fillId="0" borderId="11" xfId="321" applyNumberFormat="1" applyFont="1" applyBorder="1"/>
    <xf numFmtId="0" fontId="103" fillId="0" borderId="19" xfId="321" applyFont="1" applyBorder="1"/>
    <xf numFmtId="44" fontId="103" fillId="28" borderId="21" xfId="304" applyFont="1" applyFill="1" applyBorder="1"/>
    <xf numFmtId="44" fontId="103" fillId="0" borderId="0" xfId="304" applyFont="1" applyFill="1" applyBorder="1"/>
    <xf numFmtId="44" fontId="103" fillId="53" borderId="89" xfId="321" applyNumberFormat="1" applyFont="1" applyFill="1" applyBorder="1"/>
    <xf numFmtId="0" fontId="103" fillId="0" borderId="13" xfId="321" applyFont="1" applyBorder="1"/>
    <xf numFmtId="0" fontId="103" fillId="0" borderId="14" xfId="321" applyFont="1" applyBorder="1"/>
    <xf numFmtId="44" fontId="103" fillId="53" borderId="91" xfId="321" applyNumberFormat="1" applyFont="1" applyFill="1" applyBorder="1"/>
    <xf numFmtId="0" fontId="103" fillId="0" borderId="11" xfId="321" applyFont="1" applyBorder="1"/>
    <xf numFmtId="43" fontId="103" fillId="28" borderId="0" xfId="321" applyNumberFormat="1" applyFont="1" applyFill="1"/>
    <xf numFmtId="44" fontId="103" fillId="28" borderId="11" xfId="321" applyNumberFormat="1" applyFont="1" applyFill="1" applyBorder="1"/>
    <xf numFmtId="0" fontId="103" fillId="0" borderId="20" xfId="321" applyFont="1" applyBorder="1"/>
    <xf numFmtId="44" fontId="103" fillId="53" borderId="92" xfId="321" applyNumberFormat="1" applyFont="1" applyFill="1" applyBorder="1"/>
    <xf numFmtId="44" fontId="103" fillId="0" borderId="21" xfId="321" applyNumberFormat="1" applyFont="1" applyBorder="1"/>
    <xf numFmtId="0" fontId="103" fillId="28" borderId="21" xfId="321" applyFont="1" applyFill="1" applyBorder="1"/>
    <xf numFmtId="0" fontId="103" fillId="0" borderId="0" xfId="227" applyFont="1"/>
    <xf numFmtId="0" fontId="127" fillId="0" borderId="0" xfId="222" applyFont="1"/>
    <xf numFmtId="0" fontId="72" fillId="54" borderId="0" xfId="0" applyFont="1" applyFill="1" applyAlignment="1">
      <alignment wrapText="1"/>
    </xf>
    <xf numFmtId="171" fontId="5" fillId="31" borderId="11" xfId="69" applyNumberFormat="1" applyFont="1" applyFill="1" applyBorder="1" applyAlignment="1">
      <alignment horizontal="right"/>
    </xf>
    <xf numFmtId="0" fontId="0" fillId="0" borderId="93" xfId="0" applyBorder="1"/>
    <xf numFmtId="7" fontId="0" fillId="0" borderId="94" xfId="0" applyNumberFormat="1" applyBorder="1"/>
    <xf numFmtId="7" fontId="0" fillId="0" borderId="0" xfId="0" applyNumberFormat="1"/>
    <xf numFmtId="0" fontId="0" fillId="0" borderId="95" xfId="0" applyBorder="1"/>
    <xf numFmtId="0" fontId="0" fillId="0" borderId="96" xfId="0" applyBorder="1"/>
    <xf numFmtId="0" fontId="0" fillId="41" borderId="93" xfId="0" applyFill="1" applyBorder="1"/>
    <xf numFmtId="0" fontId="0" fillId="41" borderId="93" xfId="0" applyFill="1" applyBorder="1" applyAlignment="1">
      <alignment wrapText="1"/>
    </xf>
    <xf numFmtId="7" fontId="0" fillId="41" borderId="93" xfId="0" applyNumberFormat="1" applyFill="1" applyBorder="1"/>
    <xf numFmtId="0" fontId="0" fillId="0" borderId="93" xfId="0" applyBorder="1" applyAlignment="1">
      <alignment wrapText="1"/>
    </xf>
    <xf numFmtId="7" fontId="0" fillId="0" borderId="93" xfId="0" applyNumberFormat="1" applyBorder="1"/>
    <xf numFmtId="0" fontId="0" fillId="55" borderId="93" xfId="0" applyFill="1" applyBorder="1"/>
    <xf numFmtId="0" fontId="0" fillId="55" borderId="93" xfId="0" applyFill="1" applyBorder="1" applyAlignment="1">
      <alignment wrapText="1"/>
    </xf>
    <xf numFmtId="7" fontId="0" fillId="55" borderId="93" xfId="0" applyNumberFormat="1" applyFill="1" applyBorder="1"/>
    <xf numFmtId="2" fontId="0" fillId="0" borderId="0" xfId="0" applyNumberFormat="1"/>
    <xf numFmtId="0" fontId="120" fillId="0" borderId="44" xfId="0" applyFont="1" applyBorder="1" applyAlignment="1">
      <alignment horizontal="center" vertical="center"/>
    </xf>
    <xf numFmtId="0" fontId="120" fillId="0" borderId="44" xfId="0" applyFont="1" applyBorder="1" applyAlignment="1">
      <alignment horizontal="center" vertical="center" wrapText="1"/>
    </xf>
    <xf numFmtId="44" fontId="72" fillId="0" borderId="10" xfId="69" applyFont="1" applyFill="1" applyBorder="1" applyAlignment="1">
      <alignment horizontal="right"/>
    </xf>
    <xf numFmtId="165" fontId="72" fillId="0" borderId="11" xfId="69" applyNumberFormat="1" applyFont="1" applyFill="1" applyBorder="1"/>
    <xf numFmtId="44" fontId="72" fillId="0" borderId="10" xfId="69" applyFont="1" applyFill="1" applyBorder="1"/>
    <xf numFmtId="44" fontId="72" fillId="0" borderId="15" xfId="69" applyFont="1" applyFill="1" applyBorder="1"/>
    <xf numFmtId="0" fontId="124" fillId="0" borderId="0" xfId="0" applyFont="1" applyAlignment="1">
      <alignment horizontal="left" vertical="center" indent="8"/>
    </xf>
    <xf numFmtId="0" fontId="124" fillId="0" borderId="0" xfId="0" applyFont="1" applyAlignment="1">
      <alignment horizontal="left" vertical="center" indent="5"/>
    </xf>
    <xf numFmtId="0" fontId="120" fillId="0" borderId="32" xfId="0" applyFont="1" applyBorder="1" applyAlignment="1">
      <alignment horizontal="center" vertical="center" wrapText="1"/>
    </xf>
    <xf numFmtId="0" fontId="120" fillId="0" borderId="34" xfId="0" applyFont="1" applyBorder="1" applyAlignment="1">
      <alignment horizontal="center" vertical="center" wrapText="1"/>
    </xf>
    <xf numFmtId="0" fontId="120" fillId="0" borderId="31" xfId="0" applyFont="1" applyBorder="1" applyAlignment="1">
      <alignment horizontal="center" vertical="center" wrapText="1"/>
    </xf>
    <xf numFmtId="0" fontId="120" fillId="0" borderId="0" xfId="0" applyFont="1" applyAlignment="1">
      <alignment horizontal="center" vertical="center" wrapText="1"/>
    </xf>
    <xf numFmtId="0" fontId="121" fillId="0" borderId="21" xfId="0" applyFont="1" applyBorder="1" applyAlignment="1">
      <alignment vertical="center" wrapText="1"/>
    </xf>
    <xf numFmtId="0" fontId="120" fillId="0" borderId="21" xfId="0" applyFont="1" applyBorder="1" applyAlignment="1">
      <alignment horizontal="center" vertical="center" wrapText="1"/>
    </xf>
    <xf numFmtId="44" fontId="121" fillId="0" borderId="21" xfId="0" applyNumberFormat="1" applyFont="1" applyBorder="1" applyAlignment="1">
      <alignment horizontal="center" vertical="center"/>
    </xf>
    <xf numFmtId="10" fontId="120" fillId="0" borderId="21" xfId="252" applyNumberFormat="1" applyFont="1" applyBorder="1" applyAlignment="1">
      <alignment horizontal="center" vertical="center"/>
    </xf>
    <xf numFmtId="10" fontId="121" fillId="0" borderId="21" xfId="252" applyNumberFormat="1" applyFont="1" applyBorder="1" applyAlignment="1">
      <alignment horizontal="center" vertical="center"/>
    </xf>
    <xf numFmtId="10" fontId="0" fillId="0" borderId="31" xfId="252" applyNumberFormat="1" applyFont="1" applyBorder="1"/>
    <xf numFmtId="0" fontId="120" fillId="56" borderId="31" xfId="0" applyFont="1" applyFill="1" applyBorder="1" applyAlignment="1">
      <alignment horizontal="center" vertical="center" wrapText="1"/>
    </xf>
    <xf numFmtId="0" fontId="120" fillId="56" borderId="34" xfId="0" applyFont="1" applyFill="1" applyBorder="1" applyAlignment="1">
      <alignment horizontal="center" vertical="center" wrapText="1"/>
    </xf>
    <xf numFmtId="10" fontId="120" fillId="56" borderId="31" xfId="252" applyNumberFormat="1" applyFont="1" applyFill="1" applyBorder="1" applyAlignment="1">
      <alignment horizontal="center" vertical="center" wrapText="1"/>
    </xf>
    <xf numFmtId="165" fontId="121" fillId="0" borderId="21" xfId="0" applyNumberFormat="1" applyFont="1" applyBorder="1" applyAlignment="1">
      <alignment horizontal="center" vertical="center"/>
    </xf>
    <xf numFmtId="44" fontId="121" fillId="0" borderId="21" xfId="55" applyFont="1" applyBorder="1" applyAlignment="1">
      <alignment horizontal="center" vertical="center"/>
    </xf>
    <xf numFmtId="44" fontId="121" fillId="28" borderId="21" xfId="55" applyFont="1" applyFill="1" applyBorder="1" applyAlignment="1">
      <alignment horizontal="center" vertical="center"/>
    </xf>
    <xf numFmtId="165" fontId="121" fillId="28" borderId="21" xfId="0" applyNumberFormat="1" applyFont="1" applyFill="1" applyBorder="1" applyAlignment="1">
      <alignment horizontal="center" vertical="center"/>
    </xf>
    <xf numFmtId="44" fontId="121" fillId="28" borderId="21" xfId="0" applyNumberFormat="1" applyFont="1" applyFill="1" applyBorder="1" applyAlignment="1">
      <alignment horizontal="center" vertical="center"/>
    </xf>
    <xf numFmtId="6" fontId="121" fillId="28" borderId="21" xfId="0" applyNumberFormat="1" applyFont="1" applyFill="1" applyBorder="1" applyAlignment="1">
      <alignment horizontal="center" vertical="center"/>
    </xf>
    <xf numFmtId="6" fontId="121" fillId="28" borderId="44" xfId="0" applyNumberFormat="1" applyFont="1" applyFill="1" applyBorder="1" applyAlignment="1">
      <alignment horizontal="center" vertical="center"/>
    </xf>
    <xf numFmtId="0" fontId="120" fillId="0" borderId="14" xfId="0" applyFont="1" applyBorder="1" applyAlignment="1">
      <alignment horizontal="center" vertical="center" wrapText="1"/>
    </xf>
    <xf numFmtId="10" fontId="0" fillId="0" borderId="41" xfId="252" applyNumberFormat="1" applyFont="1" applyBorder="1"/>
    <xf numFmtId="8" fontId="121" fillId="28" borderId="20" xfId="0" applyNumberFormat="1" applyFont="1" applyFill="1" applyBorder="1" applyAlignment="1">
      <alignment horizontal="center" vertical="center"/>
    </xf>
    <xf numFmtId="0" fontId="68" fillId="0" borderId="13" xfId="0" applyFont="1" applyBorder="1"/>
    <xf numFmtId="0" fontId="132" fillId="0" borderId="0" xfId="320" applyFont="1" applyAlignment="1">
      <alignment horizontal="right"/>
    </xf>
    <xf numFmtId="0" fontId="65" fillId="28" borderId="19" xfId="0" applyFont="1" applyFill="1" applyBorder="1"/>
    <xf numFmtId="0" fontId="65" fillId="28" borderId="20" xfId="0" applyFont="1" applyFill="1" applyBorder="1"/>
    <xf numFmtId="9" fontId="65" fillId="28" borderId="20" xfId="0" applyNumberFormat="1" applyFont="1" applyFill="1" applyBorder="1"/>
    <xf numFmtId="10" fontId="0" fillId="0" borderId="0" xfId="252" applyNumberFormat="1" applyFont="1" applyFill="1" applyBorder="1"/>
    <xf numFmtId="10" fontId="72" fillId="0" borderId="0" xfId="252" applyNumberFormat="1" applyFont="1" applyFill="1" applyBorder="1" applyAlignment="1">
      <alignment horizontal="left"/>
    </xf>
    <xf numFmtId="10" fontId="72" fillId="0" borderId="0" xfId="252" applyNumberFormat="1" applyFont="1" applyAlignment="1">
      <alignment horizontal="left"/>
    </xf>
    <xf numFmtId="0" fontId="71" fillId="0" borderId="10" xfId="0" applyFont="1" applyBorder="1"/>
    <xf numFmtId="0" fontId="71" fillId="0" borderId="0" xfId="0" applyFont="1" applyAlignment="1">
      <alignment horizontal="center"/>
    </xf>
    <xf numFmtId="164" fontId="71" fillId="0" borderId="11" xfId="0" applyNumberFormat="1" applyFont="1" applyBorder="1" applyAlignment="1">
      <alignment horizontal="center"/>
    </xf>
    <xf numFmtId="0" fontId="71" fillId="0" borderId="46" xfId="0" applyFont="1" applyBorder="1"/>
    <xf numFmtId="0" fontId="71" fillId="0" borderId="42" xfId="0" applyFont="1" applyBorder="1" applyAlignment="1">
      <alignment horizontal="left"/>
    </xf>
    <xf numFmtId="0" fontId="71" fillId="0" borderId="42" xfId="0" applyFont="1" applyBorder="1"/>
    <xf numFmtId="3" fontId="71" fillId="0" borderId="47" xfId="0" applyNumberFormat="1" applyFont="1" applyBorder="1"/>
    <xf numFmtId="0" fontId="72" fillId="0" borderId="0" xfId="0" applyFont="1" applyAlignment="1">
      <alignment horizontal="center"/>
    </xf>
    <xf numFmtId="0" fontId="72" fillId="0" borderId="11" xfId="0" applyFont="1" applyBorder="1" applyAlignment="1">
      <alignment horizontal="center"/>
    </xf>
    <xf numFmtId="0" fontId="72" fillId="0" borderId="58" xfId="0" applyFont="1" applyBorder="1"/>
    <xf numFmtId="2" fontId="71" fillId="0" borderId="41" xfId="0" applyNumberFormat="1" applyFont="1" applyBorder="1" applyAlignment="1">
      <alignment horizontal="center" vertical="center" wrapText="1"/>
    </xf>
    <xf numFmtId="2" fontId="71" fillId="0" borderId="41" xfId="0" applyNumberFormat="1" applyFont="1" applyBorder="1" applyAlignment="1">
      <alignment horizontal="center" vertical="center"/>
    </xf>
    <xf numFmtId="2" fontId="71" fillId="0" borderId="49" xfId="0" applyNumberFormat="1" applyFont="1" applyBorder="1" applyAlignment="1">
      <alignment horizontal="center" vertical="center"/>
    </xf>
    <xf numFmtId="0" fontId="71" fillId="0" borderId="58" xfId="0" applyFont="1" applyBorder="1"/>
    <xf numFmtId="2" fontId="72" fillId="0" borderId="41" xfId="0" applyNumberFormat="1" applyFont="1" applyBorder="1" applyAlignment="1">
      <alignment horizontal="center" vertical="center" wrapText="1"/>
    </xf>
    <xf numFmtId="0" fontId="71" fillId="0" borderId="41" xfId="0" applyFont="1" applyBorder="1" applyAlignment="1">
      <alignment horizontal="center" vertical="center"/>
    </xf>
    <xf numFmtId="0" fontId="72" fillId="0" borderId="49" xfId="0" applyFont="1" applyBorder="1" applyAlignment="1">
      <alignment horizontal="center" vertical="center"/>
    </xf>
    <xf numFmtId="0" fontId="71" fillId="0" borderId="16" xfId="0" applyFont="1" applyBorder="1" applyAlignment="1">
      <alignment horizontal="center"/>
    </xf>
    <xf numFmtId="0" fontId="71" fillId="0" borderId="17" xfId="0" applyFont="1" applyBorder="1" applyAlignment="1">
      <alignment horizontal="center"/>
    </xf>
    <xf numFmtId="0" fontId="71" fillId="0" borderId="11" xfId="0" applyFont="1" applyBorder="1" applyAlignment="1">
      <alignment horizontal="center"/>
    </xf>
    <xf numFmtId="0" fontId="72" fillId="0" borderId="15" xfId="0" applyFont="1" applyBorder="1"/>
    <xf numFmtId="0" fontId="72" fillId="0" borderId="16" xfId="0" applyFont="1" applyBorder="1" applyAlignment="1">
      <alignment horizontal="center"/>
    </xf>
    <xf numFmtId="0" fontId="72" fillId="0" borderId="17" xfId="0" applyFont="1" applyBorder="1" applyAlignment="1">
      <alignment horizontal="center"/>
    </xf>
    <xf numFmtId="42" fontId="72" fillId="0" borderId="0" xfId="0" applyNumberFormat="1" applyFont="1"/>
    <xf numFmtId="4" fontId="72" fillId="0" borderId="0" xfId="0" applyNumberFormat="1" applyFont="1"/>
    <xf numFmtId="42" fontId="72" fillId="0" borderId="11" xfId="0" applyNumberFormat="1" applyFont="1" applyBorder="1"/>
    <xf numFmtId="0" fontId="72" fillId="0" borderId="0" xfId="0" applyFont="1" applyAlignment="1">
      <alignment horizontal="right"/>
    </xf>
    <xf numFmtId="0" fontId="72" fillId="0" borderId="20" xfId="0" applyFont="1" applyBorder="1" applyAlignment="1">
      <alignment horizontal="right"/>
    </xf>
    <xf numFmtId="167" fontId="72" fillId="0" borderId="21" xfId="254" applyNumberFormat="1" applyFont="1" applyFill="1" applyBorder="1" applyAlignment="1">
      <alignment horizontal="center"/>
    </xf>
    <xf numFmtId="170" fontId="72" fillId="0" borderId="11" xfId="0" applyNumberFormat="1" applyFont="1" applyBorder="1" applyAlignment="1">
      <alignment horizontal="right"/>
    </xf>
    <xf numFmtId="0" fontId="71" fillId="0" borderId="49" xfId="0" applyFont="1" applyBorder="1" applyAlignment="1">
      <alignment horizontal="center" vertical="center"/>
    </xf>
    <xf numFmtId="2" fontId="72" fillId="0" borderId="0" xfId="0" applyNumberFormat="1" applyFont="1"/>
    <xf numFmtId="0" fontId="72" fillId="0" borderId="61" xfId="0" applyFont="1" applyBorder="1"/>
    <xf numFmtId="2" fontId="71" fillId="0" borderId="62" xfId="0" applyNumberFormat="1" applyFont="1" applyBorder="1" applyAlignment="1">
      <alignment horizontal="center" vertical="center" wrapText="1"/>
    </xf>
    <xf numFmtId="169" fontId="72" fillId="0" borderId="62" xfId="0" applyNumberFormat="1" applyFont="1" applyBorder="1" applyAlignment="1">
      <alignment horizontal="center" vertical="center"/>
    </xf>
    <xf numFmtId="0" fontId="72" fillId="0" borderId="64" xfId="0" applyFont="1" applyBorder="1" applyAlignment="1">
      <alignment horizontal="center" vertical="center"/>
    </xf>
    <xf numFmtId="0" fontId="71" fillId="0" borderId="22" xfId="0" applyFont="1" applyBorder="1"/>
    <xf numFmtId="0" fontId="71" fillId="0" borderId="23" xfId="0" applyFont="1" applyBorder="1"/>
    <xf numFmtId="4" fontId="71" fillId="0" borderId="23" xfId="0" applyNumberFormat="1" applyFont="1" applyBorder="1"/>
    <xf numFmtId="42" fontId="71" fillId="0" borderId="24" xfId="0" applyNumberFormat="1" applyFont="1" applyBorder="1"/>
    <xf numFmtId="10" fontId="72" fillId="0" borderId="0" xfId="0" applyNumberFormat="1" applyFont="1"/>
    <xf numFmtId="10" fontId="72" fillId="0" borderId="0" xfId="254" applyNumberFormat="1" applyFont="1" applyBorder="1"/>
    <xf numFmtId="44" fontId="71" fillId="0" borderId="23" xfId="0" applyNumberFormat="1" applyFont="1" applyBorder="1"/>
    <xf numFmtId="42" fontId="71" fillId="0" borderId="11" xfId="0" applyNumberFormat="1" applyFont="1" applyBorder="1"/>
    <xf numFmtId="0" fontId="72" fillId="0" borderId="20" xfId="0" applyFont="1" applyBorder="1"/>
    <xf numFmtId="171" fontId="72" fillId="0" borderId="0" xfId="0" applyNumberFormat="1" applyFont="1"/>
    <xf numFmtId="10" fontId="72" fillId="0" borderId="11" xfId="254" applyNumberFormat="1" applyFont="1" applyFill="1" applyBorder="1"/>
    <xf numFmtId="44" fontId="72" fillId="0" borderId="11" xfId="254" applyNumberFormat="1" applyFont="1" applyFill="1" applyBorder="1"/>
    <xf numFmtId="10" fontId="72" fillId="0" borderId="11" xfId="0" applyNumberFormat="1" applyFont="1" applyBorder="1"/>
    <xf numFmtId="171" fontId="72" fillId="0" borderId="11" xfId="69" applyNumberFormat="1" applyFont="1" applyFill="1" applyBorder="1" applyAlignment="1">
      <alignment horizontal="right"/>
    </xf>
    <xf numFmtId="10" fontId="71" fillId="0" borderId="0" xfId="0" applyNumberFormat="1" applyFont="1"/>
    <xf numFmtId="0" fontId="71" fillId="0" borderId="32" xfId="0" applyFont="1" applyBorder="1"/>
    <xf numFmtId="0" fontId="72" fillId="0" borderId="33" xfId="0" applyFont="1" applyBorder="1"/>
    <xf numFmtId="42" fontId="71" fillId="0" borderId="34" xfId="0" applyNumberFormat="1" applyFont="1" applyBorder="1"/>
    <xf numFmtId="10" fontId="72" fillId="0" borderId="11" xfId="254" applyNumberFormat="1" applyFont="1" applyBorder="1" applyAlignment="1">
      <alignment horizontal="right"/>
    </xf>
    <xf numFmtId="168" fontId="71" fillId="28" borderId="32" xfId="0" applyNumberFormat="1" applyFont="1" applyFill="1" applyBorder="1"/>
    <xf numFmtId="9" fontId="71" fillId="28" borderId="33" xfId="0" applyNumberFormat="1" applyFont="1" applyFill="1" applyBorder="1"/>
    <xf numFmtId="164" fontId="71" fillId="28" borderId="33" xfId="0" applyNumberFormat="1" applyFont="1" applyFill="1" applyBorder="1"/>
    <xf numFmtId="44" fontId="71" fillId="28" borderId="33" xfId="69" applyFont="1" applyFill="1" applyBorder="1" applyAlignment="1"/>
    <xf numFmtId="10" fontId="72" fillId="0" borderId="21" xfId="254" applyNumberFormat="1" applyFont="1" applyFill="1" applyBorder="1" applyAlignment="1">
      <alignment horizontal="right"/>
    </xf>
    <xf numFmtId="10" fontId="72" fillId="0" borderId="0" xfId="254" applyNumberFormat="1" applyFont="1" applyBorder="1" applyAlignment="1">
      <alignment horizontal="right"/>
    </xf>
    <xf numFmtId="168" fontId="71" fillId="0" borderId="0" xfId="0" applyNumberFormat="1" applyFont="1"/>
    <xf numFmtId="9" fontId="71" fillId="0" borderId="0" xfId="0" applyNumberFormat="1" applyFont="1"/>
    <xf numFmtId="164" fontId="71" fillId="0" borderId="0" xfId="0" applyNumberFormat="1" applyFont="1"/>
    <xf numFmtId="44" fontId="71" fillId="0" borderId="0" xfId="69" applyFont="1" applyFill="1" applyBorder="1" applyAlignment="1"/>
    <xf numFmtId="9" fontId="71" fillId="0" borderId="0" xfId="254" applyFont="1" applyFill="1" applyBorder="1" applyAlignment="1"/>
    <xf numFmtId="2" fontId="71" fillId="0" borderId="0" xfId="0" applyNumberFormat="1" applyFont="1" applyAlignment="1">
      <alignment horizontal="center" vertical="center" wrapText="1"/>
    </xf>
    <xf numFmtId="0" fontId="71" fillId="0" borderId="11" xfId="0" applyFont="1" applyBorder="1" applyAlignment="1">
      <alignment horizontal="center" vertical="center"/>
    </xf>
    <xf numFmtId="165" fontId="72" fillId="0" borderId="11" xfId="55" applyNumberFormat="1" applyFont="1" applyBorder="1"/>
    <xf numFmtId="2" fontId="72" fillId="0" borderId="0" xfId="0" applyNumberFormat="1" applyFont="1" applyAlignment="1">
      <alignment horizontal="center" wrapText="1"/>
    </xf>
    <xf numFmtId="179" fontId="72" fillId="0" borderId="0" xfId="32" applyNumberFormat="1" applyFont="1" applyBorder="1" applyAlignment="1">
      <alignment horizontal="center"/>
    </xf>
    <xf numFmtId="171" fontId="72" fillId="0" borderId="0" xfId="0" applyNumberFormat="1" applyFont="1" applyAlignment="1">
      <alignment horizontal="center"/>
    </xf>
    <xf numFmtId="0" fontId="142" fillId="0" borderId="0" xfId="241" applyFont="1"/>
    <xf numFmtId="170" fontId="71" fillId="0" borderId="0" xfId="0" applyNumberFormat="1" applyFont="1" applyAlignment="1">
      <alignment horizontal="center"/>
    </xf>
    <xf numFmtId="165" fontId="71" fillId="0" borderId="0" xfId="0" applyNumberFormat="1" applyFont="1" applyAlignment="1">
      <alignment horizontal="center"/>
    </xf>
    <xf numFmtId="43" fontId="72" fillId="0" borderId="0" xfId="32" applyFont="1" applyBorder="1" applyAlignment="1">
      <alignment horizontal="center"/>
    </xf>
    <xf numFmtId="171" fontId="71" fillId="0" borderId="0" xfId="0" applyNumberFormat="1" applyFont="1" applyAlignment="1">
      <alignment horizontal="center"/>
    </xf>
    <xf numFmtId="44" fontId="71" fillId="0" borderId="0" xfId="0" applyNumberFormat="1" applyFont="1" applyAlignment="1">
      <alignment horizontal="center"/>
    </xf>
    <xf numFmtId="0" fontId="126" fillId="0" borderId="0" xfId="0" applyFont="1" applyAlignment="1">
      <alignment horizontal="center" wrapText="1"/>
    </xf>
    <xf numFmtId="0" fontId="126" fillId="0" borderId="0" xfId="0" applyFont="1" applyAlignment="1">
      <alignment horizontal="center"/>
    </xf>
    <xf numFmtId="3" fontId="126" fillId="0" borderId="11" xfId="0" applyNumberFormat="1" applyFont="1" applyBorder="1"/>
    <xf numFmtId="0" fontId="126" fillId="0" borderId="0" xfId="0" applyFont="1" applyAlignment="1">
      <alignment horizontal="left"/>
    </xf>
    <xf numFmtId="0" fontId="126" fillId="0" borderId="0" xfId="0" applyFont="1"/>
    <xf numFmtId="42" fontId="103" fillId="0" borderId="0" xfId="0" applyNumberFormat="1" applyFont="1"/>
    <xf numFmtId="42" fontId="0" fillId="0" borderId="0" xfId="0" applyNumberFormat="1"/>
    <xf numFmtId="0" fontId="126" fillId="0" borderId="11" xfId="0" applyFont="1" applyBorder="1" applyAlignment="1">
      <alignment horizontal="center"/>
    </xf>
    <xf numFmtId="0" fontId="126" fillId="0" borderId="12" xfId="0" applyFont="1" applyBorder="1"/>
    <xf numFmtId="0" fontId="103" fillId="0" borderId="13" xfId="0" applyFont="1" applyBorder="1"/>
    <xf numFmtId="1" fontId="0" fillId="0" borderId="0" xfId="0" applyNumberFormat="1"/>
    <xf numFmtId="4" fontId="103" fillId="0" borderId="0" xfId="0" applyNumberFormat="1" applyFont="1"/>
    <xf numFmtId="42" fontId="103" fillId="0" borderId="11" xfId="0" applyNumberFormat="1" applyFont="1" applyBorder="1"/>
    <xf numFmtId="0" fontId="103" fillId="0" borderId="20" xfId="0" applyFont="1" applyBorder="1"/>
    <xf numFmtId="4" fontId="103" fillId="0" borderId="20" xfId="0" applyNumberFormat="1" applyFont="1" applyBorder="1"/>
    <xf numFmtId="0" fontId="126" fillId="0" borderId="32" xfId="0" applyFont="1" applyBorder="1"/>
    <xf numFmtId="0" fontId="126" fillId="0" borderId="22" xfId="0" applyFont="1" applyBorder="1"/>
    <xf numFmtId="0" fontId="126" fillId="0" borderId="23" xfId="0" applyFont="1" applyBorder="1"/>
    <xf numFmtId="44" fontId="126" fillId="0" borderId="23" xfId="0" applyNumberFormat="1" applyFont="1" applyBorder="1"/>
    <xf numFmtId="42" fontId="126" fillId="0" borderId="24" xfId="0" applyNumberFormat="1" applyFont="1" applyBorder="1"/>
    <xf numFmtId="165" fontId="103" fillId="0" borderId="11" xfId="0" applyNumberFormat="1" applyFont="1" applyBorder="1"/>
    <xf numFmtId="44" fontId="103" fillId="0" borderId="0" xfId="0" applyNumberFormat="1" applyFont="1"/>
    <xf numFmtId="165" fontId="103" fillId="0" borderId="0" xfId="0" applyNumberFormat="1" applyFont="1"/>
    <xf numFmtId="10" fontId="126" fillId="0" borderId="0" xfId="0" applyNumberFormat="1" applyFont="1"/>
    <xf numFmtId="0" fontId="126" fillId="0" borderId="25" xfId="0" applyFont="1" applyBorder="1"/>
    <xf numFmtId="0" fontId="103" fillId="0" borderId="26" xfId="0" applyFont="1" applyBorder="1"/>
    <xf numFmtId="42" fontId="126" fillId="0" borderId="27" xfId="0" applyNumberFormat="1" applyFont="1" applyBorder="1"/>
    <xf numFmtId="0" fontId="103" fillId="0" borderId="32" xfId="0" applyFont="1" applyBorder="1"/>
    <xf numFmtId="0" fontId="126" fillId="0" borderId="33" xfId="0" applyFont="1" applyBorder="1" applyAlignment="1">
      <alignment horizontal="center"/>
    </xf>
    <xf numFmtId="10" fontId="126" fillId="0" borderId="33" xfId="0" applyNumberFormat="1" applyFont="1" applyBorder="1"/>
    <xf numFmtId="1" fontId="0" fillId="0" borderId="0" xfId="252" applyNumberFormat="1" applyFont="1"/>
    <xf numFmtId="9" fontId="0" fillId="0" borderId="33" xfId="0" applyNumberFormat="1" applyBorder="1"/>
    <xf numFmtId="44" fontId="126" fillId="28" borderId="34" xfId="69" applyFont="1" applyFill="1" applyBorder="1" applyAlignment="1"/>
    <xf numFmtId="44" fontId="126" fillId="0" borderId="0" xfId="69" applyFont="1" applyFill="1" applyBorder="1" applyAlignment="1"/>
    <xf numFmtId="0" fontId="74" fillId="0" borderId="0" xfId="0" applyFont="1"/>
    <xf numFmtId="44" fontId="0" fillId="0" borderId="0" xfId="69" applyFont="1" applyBorder="1"/>
    <xf numFmtId="10" fontId="0" fillId="0" borderId="0" xfId="254" applyNumberFormat="1" applyFont="1" applyBorder="1"/>
    <xf numFmtId="167" fontId="0" fillId="0" borderId="0" xfId="254" applyNumberFormat="1" applyFont="1"/>
    <xf numFmtId="0" fontId="0" fillId="0" borderId="11" xfId="223" applyFont="1" applyBorder="1"/>
    <xf numFmtId="0" fontId="70" fillId="0" borderId="0" xfId="0" applyFont="1"/>
    <xf numFmtId="0" fontId="68" fillId="37" borderId="12" xfId="0" applyFont="1" applyFill="1" applyBorder="1"/>
    <xf numFmtId="0" fontId="68" fillId="37" borderId="13" xfId="0" applyFont="1" applyFill="1" applyBorder="1"/>
    <xf numFmtId="0" fontId="68" fillId="37" borderId="14" xfId="0" applyFont="1" applyFill="1" applyBorder="1"/>
    <xf numFmtId="0" fontId="69" fillId="0" borderId="0" xfId="0" applyFont="1" applyAlignment="1">
      <alignment horizontal="center" wrapText="1"/>
    </xf>
    <xf numFmtId="0" fontId="0" fillId="0" borderId="14" xfId="0" applyBorder="1" applyAlignment="1">
      <alignment wrapText="1"/>
    </xf>
    <xf numFmtId="0" fontId="68" fillId="0" borderId="10" xfId="0" applyFont="1" applyBorder="1"/>
    <xf numFmtId="0" fontId="0" fillId="0" borderId="11" xfId="0" applyBorder="1" applyAlignment="1">
      <alignment wrapText="1"/>
    </xf>
    <xf numFmtId="0" fontId="69" fillId="0" borderId="10" xfId="0" applyFont="1" applyBorder="1"/>
    <xf numFmtId="0" fontId="69" fillId="0" borderId="0" xfId="0" applyFont="1" applyAlignment="1">
      <alignment horizontal="left"/>
    </xf>
    <xf numFmtId="3" fontId="69" fillId="0" borderId="11" xfId="0" applyNumberFormat="1" applyFont="1" applyBorder="1"/>
    <xf numFmtId="42" fontId="68" fillId="0" borderId="0" xfId="0" applyNumberFormat="1" applyFont="1"/>
    <xf numFmtId="0" fontId="69" fillId="0" borderId="11" xfId="0" applyFont="1" applyBorder="1" applyAlignment="1">
      <alignment horizontal="center"/>
    </xf>
    <xf numFmtId="0" fontId="0" fillId="0" borderId="10" xfId="0" applyBorder="1"/>
    <xf numFmtId="0" fontId="69" fillId="0" borderId="12" xfId="0" applyFont="1" applyBorder="1"/>
    <xf numFmtId="42" fontId="68" fillId="0" borderId="13" xfId="0" applyNumberFormat="1" applyFont="1" applyBorder="1"/>
    <xf numFmtId="4" fontId="68" fillId="0" borderId="13" xfId="0" applyNumberFormat="1" applyFont="1" applyBorder="1"/>
    <xf numFmtId="42" fontId="68" fillId="0" borderId="14" xfId="0" applyNumberFormat="1" applyFont="1" applyBorder="1"/>
    <xf numFmtId="4" fontId="68" fillId="0" borderId="0" xfId="0" applyNumberFormat="1" applyFont="1"/>
    <xf numFmtId="175" fontId="68" fillId="0" borderId="11" xfId="0" applyNumberFormat="1" applyFont="1" applyBorder="1"/>
    <xf numFmtId="42" fontId="68" fillId="0" borderId="11" xfId="0" applyNumberFormat="1" applyFont="1" applyBorder="1"/>
    <xf numFmtId="42" fontId="66" fillId="0" borderId="0" xfId="0" applyNumberFormat="1" applyFont="1"/>
    <xf numFmtId="4" fontId="66" fillId="0" borderId="0" xfId="0" applyNumberFormat="1" applyFont="1"/>
    <xf numFmtId="175" fontId="66" fillId="0" borderId="11" xfId="0" applyNumberFormat="1" applyFont="1" applyBorder="1"/>
    <xf numFmtId="0" fontId="68" fillId="0" borderId="19" xfId="0" applyFont="1" applyBorder="1"/>
    <xf numFmtId="176" fontId="68" fillId="0" borderId="0" xfId="0" applyNumberFormat="1" applyFont="1"/>
    <xf numFmtId="42" fontId="68" fillId="0" borderId="20" xfId="0" applyNumberFormat="1" applyFont="1" applyBorder="1"/>
    <xf numFmtId="4" fontId="68" fillId="0" borderId="20" xfId="0" applyNumberFormat="1" applyFont="1" applyBorder="1"/>
    <xf numFmtId="0" fontId="69" fillId="0" borderId="32" xfId="0" applyFont="1" applyBorder="1"/>
    <xf numFmtId="0" fontId="69" fillId="0" borderId="33" xfId="0" applyFont="1" applyBorder="1"/>
    <xf numFmtId="176" fontId="69" fillId="0" borderId="33" xfId="0" applyNumberFormat="1" applyFont="1" applyBorder="1"/>
    <xf numFmtId="42" fontId="69" fillId="0" borderId="34" xfId="0" applyNumberFormat="1" applyFont="1" applyBorder="1"/>
    <xf numFmtId="4" fontId="69" fillId="0" borderId="33" xfId="0" applyNumberFormat="1" applyFont="1" applyBorder="1"/>
    <xf numFmtId="0" fontId="69" fillId="0" borderId="22" xfId="0" applyFont="1" applyBorder="1"/>
    <xf numFmtId="0" fontId="69" fillId="0" borderId="23" xfId="0" applyFont="1" applyBorder="1"/>
    <xf numFmtId="44" fontId="69" fillId="0" borderId="23" xfId="0" applyNumberFormat="1" applyFont="1" applyBorder="1"/>
    <xf numFmtId="42" fontId="69" fillId="0" borderId="24" xfId="0" applyNumberFormat="1" applyFont="1" applyBorder="1"/>
    <xf numFmtId="44" fontId="68" fillId="0" borderId="0" xfId="69" applyFont="1" applyBorder="1"/>
    <xf numFmtId="165" fontId="68" fillId="0" borderId="11" xfId="0" applyNumberFormat="1" applyFont="1" applyBorder="1"/>
    <xf numFmtId="165" fontId="68" fillId="0" borderId="0" xfId="0" applyNumberFormat="1" applyFont="1"/>
    <xf numFmtId="9" fontId="68" fillId="0" borderId="0" xfId="254" applyFont="1" applyBorder="1"/>
    <xf numFmtId="10" fontId="69" fillId="0" borderId="0" xfId="0" applyNumberFormat="1" applyFont="1"/>
    <xf numFmtId="42" fontId="69" fillId="0" borderId="11" xfId="0" applyNumberFormat="1" applyFont="1" applyBorder="1"/>
    <xf numFmtId="0" fontId="69" fillId="0" borderId="25" xfId="0" applyFont="1" applyBorder="1"/>
    <xf numFmtId="0" fontId="68" fillId="0" borderId="26" xfId="0" applyFont="1" applyBorder="1"/>
    <xf numFmtId="42" fontId="69" fillId="0" borderId="27" xfId="0" applyNumberFormat="1" applyFont="1" applyBorder="1"/>
    <xf numFmtId="0" fontId="68" fillId="0" borderId="32" xfId="0" applyFont="1" applyBorder="1"/>
    <xf numFmtId="0" fontId="69" fillId="0" borderId="33" xfId="0" applyFont="1" applyBorder="1" applyAlignment="1">
      <alignment horizontal="center"/>
    </xf>
    <xf numFmtId="10" fontId="69" fillId="0" borderId="33" xfId="0" applyNumberFormat="1" applyFont="1" applyBorder="1"/>
    <xf numFmtId="44" fontId="69" fillId="0" borderId="33" xfId="69" applyFont="1" applyFill="1" applyBorder="1" applyAlignment="1"/>
    <xf numFmtId="44" fontId="68" fillId="0" borderId="34" xfId="69" applyFont="1" applyFill="1" applyBorder="1" applyAlignment="1"/>
    <xf numFmtId="44" fontId="69" fillId="28" borderId="34" xfId="69" applyFont="1" applyFill="1" applyBorder="1" applyAlignment="1"/>
    <xf numFmtId="44" fontId="69" fillId="28" borderId="20" xfId="69" applyFont="1" applyFill="1" applyBorder="1" applyAlignment="1"/>
    <xf numFmtId="44" fontId="69" fillId="0" borderId="0" xfId="69" applyFont="1" applyFill="1" applyBorder="1" applyAlignment="1"/>
    <xf numFmtId="44" fontId="69" fillId="0" borderId="0" xfId="0" applyNumberFormat="1" applyFont="1"/>
    <xf numFmtId="44" fontId="68" fillId="0" borderId="0" xfId="69" applyFont="1" applyFill="1" applyBorder="1"/>
    <xf numFmtId="0" fontId="0" fillId="0" borderId="11" xfId="0" applyBorder="1" applyAlignment="1">
      <alignment horizontal="left" wrapText="1"/>
    </xf>
    <xf numFmtId="0" fontId="62" fillId="0" borderId="0" xfId="241" applyFont="1"/>
    <xf numFmtId="0" fontId="66" fillId="0" borderId="0" xfId="241" applyFont="1"/>
    <xf numFmtId="0" fontId="68" fillId="0" borderId="21" xfId="0" applyFont="1" applyBorder="1"/>
    <xf numFmtId="0" fontId="72" fillId="0" borderId="60" xfId="0" applyFont="1" applyBorder="1"/>
    <xf numFmtId="2" fontId="71" fillId="0" borderId="88" xfId="0" applyNumberFormat="1" applyFont="1" applyBorder="1" applyAlignment="1">
      <alignment horizontal="center" vertical="center" wrapText="1"/>
    </xf>
    <xf numFmtId="173" fontId="71" fillId="0" borderId="88" xfId="0" applyNumberFormat="1" applyFont="1" applyBorder="1" applyAlignment="1">
      <alignment horizontal="center" vertical="center"/>
    </xf>
    <xf numFmtId="0" fontId="71" fillId="0" borderId="51" xfId="0" applyFont="1" applyBorder="1" applyAlignment="1">
      <alignment horizontal="center" vertical="center"/>
    </xf>
    <xf numFmtId="0" fontId="72" fillId="0" borderId="13" xfId="0" applyFont="1" applyBorder="1"/>
    <xf numFmtId="171" fontId="72" fillId="0" borderId="10" xfId="0" applyNumberFormat="1" applyFont="1" applyBorder="1" applyAlignment="1">
      <alignment horizontal="center"/>
    </xf>
    <xf numFmtId="0" fontId="72" fillId="0" borderId="10" xfId="0" applyFont="1" applyBorder="1" applyAlignment="1">
      <alignment wrapText="1"/>
    </xf>
    <xf numFmtId="44" fontId="72" fillId="0" borderId="10" xfId="0" applyNumberFormat="1" applyFont="1" applyBorder="1" applyAlignment="1">
      <alignment wrapText="1"/>
    </xf>
    <xf numFmtId="0" fontId="71" fillId="37" borderId="13" xfId="0" applyFont="1" applyFill="1" applyBorder="1" applyAlignment="1">
      <alignment horizontal="center"/>
    </xf>
    <xf numFmtId="164" fontId="71" fillId="0" borderId="0" xfId="0" applyNumberFormat="1" applyFont="1" applyAlignment="1">
      <alignment horizontal="center"/>
    </xf>
    <xf numFmtId="167" fontId="72" fillId="0" borderId="0" xfId="254" applyNumberFormat="1" applyFont="1" applyFill="1" applyBorder="1" applyAlignment="1">
      <alignment horizontal="center"/>
    </xf>
    <xf numFmtId="176" fontId="72" fillId="0" borderId="0" xfId="0" applyNumberFormat="1" applyFont="1"/>
    <xf numFmtId="0" fontId="129" fillId="37" borderId="0" xfId="0" applyFont="1" applyFill="1" applyAlignment="1">
      <alignment horizontal="center"/>
    </xf>
    <xf numFmtId="44" fontId="72" fillId="0" borderId="11" xfId="0" applyNumberFormat="1" applyFont="1" applyBorder="1"/>
    <xf numFmtId="170" fontId="72" fillId="0" borderId="0" xfId="0" applyNumberFormat="1" applyFont="1" applyAlignment="1">
      <alignment horizontal="right"/>
    </xf>
    <xf numFmtId="170" fontId="72" fillId="0" borderId="11" xfId="0" applyNumberFormat="1" applyFont="1" applyBorder="1"/>
    <xf numFmtId="0" fontId="102" fillId="0" borderId="10" xfId="0" applyFont="1" applyBorder="1"/>
    <xf numFmtId="2" fontId="102" fillId="0" borderId="0" xfId="0" applyNumberFormat="1" applyFont="1"/>
    <xf numFmtId="165" fontId="102" fillId="0" borderId="11" xfId="0" applyNumberFormat="1" applyFont="1" applyBorder="1"/>
    <xf numFmtId="2" fontId="72" fillId="0" borderId="0" xfId="0" applyNumberFormat="1" applyFont="1" applyAlignment="1">
      <alignment horizontal="right" wrapText="1"/>
    </xf>
    <xf numFmtId="170" fontId="133" fillId="0" borderId="0" xfId="0" applyNumberFormat="1" applyFont="1" applyAlignment="1">
      <alignment horizontal="right"/>
    </xf>
    <xf numFmtId="169" fontId="72" fillId="0" borderId="0" xfId="0" applyNumberFormat="1" applyFont="1" applyAlignment="1">
      <alignment horizontal="right" wrapText="1"/>
    </xf>
    <xf numFmtId="10" fontId="72" fillId="0" borderId="33" xfId="0" applyNumberFormat="1" applyFont="1" applyBorder="1"/>
    <xf numFmtId="165" fontId="71" fillId="28" borderId="34" xfId="69" applyNumberFormat="1" applyFont="1" applyFill="1" applyBorder="1" applyAlignment="1">
      <alignment horizontal="right"/>
    </xf>
    <xf numFmtId="44" fontId="71" fillId="0" borderId="0" xfId="69" applyFont="1" applyFill="1" applyBorder="1"/>
    <xf numFmtId="165" fontId="71" fillId="0" borderId="0" xfId="69" applyNumberFormat="1" applyFont="1" applyFill="1" applyBorder="1" applyAlignment="1">
      <alignment horizontal="right"/>
    </xf>
    <xf numFmtId="10" fontId="72" fillId="0" borderId="0" xfId="254" applyNumberFormat="1" applyFont="1" applyFill="1" applyBorder="1"/>
    <xf numFmtId="171" fontId="72" fillId="0" borderId="0" xfId="69" applyNumberFormat="1" applyFont="1" applyFill="1" applyBorder="1" applyAlignment="1">
      <alignment horizontal="right"/>
    </xf>
    <xf numFmtId="0" fontId="103" fillId="0" borderId="33" xfId="0" applyFont="1" applyBorder="1"/>
    <xf numFmtId="0" fontId="103" fillId="0" borderId="34" xfId="0" applyFont="1" applyBorder="1"/>
    <xf numFmtId="44" fontId="72" fillId="0" borderId="0" xfId="254" applyNumberFormat="1" applyFont="1" applyBorder="1" applyAlignment="1">
      <alignment horizontal="right"/>
    </xf>
    <xf numFmtId="0" fontId="103" fillId="0" borderId="21" xfId="0" applyFont="1" applyBorder="1"/>
    <xf numFmtId="0" fontId="72" fillId="54" borderId="0" xfId="0" applyFont="1" applyFill="1"/>
    <xf numFmtId="0" fontId="133" fillId="54" borderId="0" xfId="0" applyFont="1" applyFill="1" applyAlignment="1">
      <alignment horizontal="center"/>
    </xf>
    <xf numFmtId="0" fontId="129" fillId="0" borderId="0" xfId="0" applyFont="1" applyAlignment="1">
      <alignment horizontal="center"/>
    </xf>
    <xf numFmtId="170" fontId="72" fillId="0" borderId="0" xfId="0" applyNumberFormat="1" applyFont="1"/>
    <xf numFmtId="0" fontId="72" fillId="0" borderId="26" xfId="0" applyFont="1" applyBorder="1" applyAlignment="1">
      <alignment horizontal="center"/>
    </xf>
    <xf numFmtId="2" fontId="72" fillId="0" borderId="0" xfId="0" applyNumberFormat="1" applyFont="1" applyAlignment="1">
      <alignment horizontal="center"/>
    </xf>
    <xf numFmtId="165" fontId="72" fillId="0" borderId="0" xfId="55" applyNumberFormat="1" applyFont="1"/>
    <xf numFmtId="165" fontId="71" fillId="0" borderId="34" xfId="69" applyNumberFormat="1" applyFont="1" applyFill="1" applyBorder="1" applyAlignment="1">
      <alignment horizontal="right"/>
    </xf>
    <xf numFmtId="10" fontId="72" fillId="0" borderId="0" xfId="252" applyNumberFormat="1" applyFont="1" applyFill="1" applyAlignment="1">
      <alignment horizontal="left"/>
    </xf>
    <xf numFmtId="42" fontId="72" fillId="0" borderId="0" xfId="0" applyNumberFormat="1" applyFont="1" applyAlignment="1">
      <alignment horizontal="center"/>
    </xf>
    <xf numFmtId="169" fontId="72" fillId="0" borderId="0" xfId="0" applyNumberFormat="1" applyFont="1" applyAlignment="1">
      <alignment horizontal="center" wrapText="1"/>
    </xf>
    <xf numFmtId="165" fontId="71" fillId="0" borderId="14" xfId="69" applyNumberFormat="1" applyFont="1" applyFill="1" applyBorder="1" applyAlignment="1">
      <alignment horizontal="right"/>
    </xf>
    <xf numFmtId="2" fontId="133" fillId="0" borderId="0" xfId="0" applyNumberFormat="1" applyFont="1" applyAlignment="1">
      <alignment horizontal="center" wrapText="1"/>
    </xf>
    <xf numFmtId="10" fontId="72" fillId="0" borderId="20" xfId="0" applyNumberFormat="1" applyFont="1" applyBorder="1"/>
    <xf numFmtId="0" fontId="133" fillId="0" borderId="0" xfId="0" applyFont="1" applyAlignment="1">
      <alignment horizontal="center"/>
    </xf>
    <xf numFmtId="0" fontId="72" fillId="28" borderId="0" xfId="0" applyFont="1" applyFill="1"/>
    <xf numFmtId="0" fontId="145" fillId="0" borderId="0" xfId="0" applyFont="1"/>
    <xf numFmtId="0" fontId="146" fillId="37" borderId="13" xfId="0" applyFont="1" applyFill="1" applyBorder="1" applyAlignment="1">
      <alignment horizontal="center"/>
    </xf>
    <xf numFmtId="164" fontId="146" fillId="0" borderId="0" xfId="0" applyNumberFormat="1" applyFont="1" applyAlignment="1">
      <alignment horizontal="center"/>
    </xf>
    <xf numFmtId="167" fontId="133" fillId="0" borderId="0" xfId="254" applyNumberFormat="1" applyFont="1" applyFill="1" applyBorder="1" applyAlignment="1">
      <alignment horizontal="center"/>
    </xf>
    <xf numFmtId="0" fontId="147" fillId="37" borderId="0" xfId="0" applyFont="1" applyFill="1" applyAlignment="1">
      <alignment horizontal="center"/>
    </xf>
    <xf numFmtId="42" fontId="133" fillId="0" borderId="0" xfId="0" applyNumberFormat="1" applyFont="1"/>
    <xf numFmtId="42" fontId="133" fillId="0" borderId="0" xfId="0" applyNumberFormat="1" applyFont="1" applyAlignment="1">
      <alignment horizontal="center"/>
    </xf>
    <xf numFmtId="44" fontId="71" fillId="0" borderId="28" xfId="0" applyNumberFormat="1" applyFont="1" applyBorder="1"/>
    <xf numFmtId="169" fontId="133" fillId="0" borderId="0" xfId="0" applyNumberFormat="1" applyFont="1" applyAlignment="1">
      <alignment horizontal="center" wrapText="1"/>
    </xf>
    <xf numFmtId="10" fontId="133" fillId="0" borderId="0" xfId="254" applyNumberFormat="1" applyFont="1" applyFill="1" applyBorder="1"/>
    <xf numFmtId="10" fontId="133" fillId="0" borderId="0" xfId="0" applyNumberFormat="1" applyFont="1"/>
    <xf numFmtId="44" fontId="133" fillId="0" borderId="0" xfId="69" applyFont="1" applyFill="1" applyBorder="1"/>
    <xf numFmtId="10" fontId="133" fillId="0" borderId="0" xfId="254" applyNumberFormat="1" applyFont="1" applyBorder="1"/>
    <xf numFmtId="44" fontId="133" fillId="0" borderId="0" xfId="69" applyFont="1" applyBorder="1"/>
    <xf numFmtId="10" fontId="133" fillId="0" borderId="20" xfId="0" applyNumberFormat="1" applyFont="1" applyBorder="1"/>
    <xf numFmtId="0" fontId="133" fillId="0" borderId="0" xfId="241" applyFont="1"/>
    <xf numFmtId="0" fontId="127" fillId="0" borderId="0" xfId="0" applyFont="1" applyAlignment="1">
      <alignment horizontal="center"/>
    </xf>
    <xf numFmtId="0" fontId="127" fillId="0" borderId="0" xfId="0" applyFont="1"/>
    <xf numFmtId="0" fontId="126" fillId="29" borderId="32" xfId="0" applyFont="1" applyFill="1" applyBorder="1" applyAlignment="1">
      <alignment horizontal="center"/>
    </xf>
    <xf numFmtId="0" fontId="126" fillId="29" borderId="33" xfId="0" applyFont="1" applyFill="1" applyBorder="1" applyAlignment="1">
      <alignment horizontal="center" wrapText="1"/>
    </xf>
    <xf numFmtId="0" fontId="126" fillId="29" borderId="33" xfId="0" applyFont="1" applyFill="1" applyBorder="1" applyAlignment="1">
      <alignment horizontal="center"/>
    </xf>
    <xf numFmtId="0" fontId="103" fillId="0" borderId="12" xfId="0" applyFont="1" applyBorder="1" applyAlignment="1">
      <alignment horizontal="right"/>
    </xf>
    <xf numFmtId="170" fontId="103" fillId="0" borderId="13" xfId="0" applyNumberFormat="1" applyFont="1" applyBorder="1" applyAlignment="1">
      <alignment horizontal="center"/>
    </xf>
    <xf numFmtId="0" fontId="103" fillId="0" borderId="10" xfId="0" applyFont="1" applyBorder="1" applyAlignment="1">
      <alignment horizontal="right"/>
    </xf>
    <xf numFmtId="10" fontId="127" fillId="0" borderId="0" xfId="0" applyNumberFormat="1" applyFont="1" applyAlignment="1">
      <alignment horizontal="center"/>
    </xf>
    <xf numFmtId="170" fontId="127" fillId="0" borderId="0" xfId="0" applyNumberFormat="1" applyFont="1" applyAlignment="1">
      <alignment horizontal="center"/>
    </xf>
    <xf numFmtId="0" fontId="103" fillId="0" borderId="11" xfId="0" applyFont="1" applyBorder="1" applyAlignment="1">
      <alignment horizontal="center"/>
    </xf>
    <xf numFmtId="170" fontId="127" fillId="0" borderId="26" xfId="0" applyNumberFormat="1" applyFont="1" applyBorder="1" applyAlignment="1">
      <alignment horizontal="center"/>
    </xf>
    <xf numFmtId="10" fontId="148" fillId="0" borderId="26" xfId="0" applyNumberFormat="1" applyFont="1" applyBorder="1" applyAlignment="1">
      <alignment horizontal="left"/>
    </xf>
    <xf numFmtId="10" fontId="148" fillId="0" borderId="27" xfId="0" applyNumberFormat="1" applyFont="1" applyBorder="1" applyAlignment="1">
      <alignment horizontal="left"/>
    </xf>
    <xf numFmtId="0" fontId="126" fillId="0" borderId="19" xfId="0" applyFont="1" applyBorder="1" applyAlignment="1">
      <alignment horizontal="right"/>
    </xf>
    <xf numFmtId="170" fontId="126" fillId="28" borderId="20" xfId="0" applyNumberFormat="1" applyFont="1" applyFill="1" applyBorder="1" applyAlignment="1">
      <alignment horizontal="center"/>
    </xf>
    <xf numFmtId="10" fontId="103" fillId="0" borderId="21" xfId="0" applyNumberFormat="1" applyFont="1" applyBorder="1"/>
    <xf numFmtId="0" fontId="149" fillId="0" borderId="10" xfId="0" applyFont="1" applyBorder="1" applyAlignment="1">
      <alignment horizontal="right"/>
    </xf>
    <xf numFmtId="10" fontId="127" fillId="0" borderId="0" xfId="252" applyNumberFormat="1" applyFont="1" applyAlignment="1">
      <alignment horizontal="center"/>
    </xf>
    <xf numFmtId="0" fontId="150" fillId="0" borderId="0" xfId="0" applyFont="1" applyAlignment="1">
      <alignment horizontal="right"/>
    </xf>
    <xf numFmtId="170" fontId="126" fillId="0" borderId="20" xfId="0" applyNumberFormat="1" applyFont="1" applyBorder="1" applyAlignment="1">
      <alignment horizontal="center"/>
    </xf>
    <xf numFmtId="0" fontId="150" fillId="0" borderId="0" xfId="0" applyFont="1" applyAlignment="1">
      <alignment horizontal="center"/>
    </xf>
    <xf numFmtId="0" fontId="150" fillId="0" borderId="0" xfId="0" applyFont="1"/>
    <xf numFmtId="0" fontId="126" fillId="30" borderId="32" xfId="0" applyFont="1" applyFill="1" applyBorder="1" applyAlignment="1">
      <alignment horizontal="center"/>
    </xf>
    <xf numFmtId="0" fontId="126" fillId="30" borderId="33" xfId="0" applyFont="1" applyFill="1" applyBorder="1" applyAlignment="1">
      <alignment horizontal="center" wrapText="1"/>
    </xf>
    <xf numFmtId="0" fontId="126" fillId="30" borderId="33" xfId="0" applyFont="1" applyFill="1" applyBorder="1" applyAlignment="1">
      <alignment horizontal="center"/>
    </xf>
    <xf numFmtId="10" fontId="127" fillId="0" borderId="0" xfId="0" applyNumberFormat="1" applyFont="1"/>
    <xf numFmtId="10" fontId="103" fillId="0" borderId="11" xfId="0" applyNumberFormat="1" applyFont="1" applyBorder="1"/>
    <xf numFmtId="37" fontId="127" fillId="0" borderId="26" xfId="32" applyNumberFormat="1" applyFont="1" applyBorder="1" applyAlignment="1">
      <alignment horizontal="center"/>
    </xf>
    <xf numFmtId="37" fontId="127" fillId="0" borderId="26" xfId="32" applyNumberFormat="1" applyFont="1" applyFill="1" applyBorder="1" applyAlignment="1">
      <alignment horizontal="center"/>
    </xf>
    <xf numFmtId="171" fontId="126" fillId="28" borderId="20" xfId="0" applyNumberFormat="1" applyFont="1" applyFill="1" applyBorder="1" applyAlignment="1">
      <alignment horizontal="center"/>
    </xf>
    <xf numFmtId="0" fontId="151" fillId="0" borderId="0" xfId="0" applyFont="1" applyAlignment="1">
      <alignment horizontal="right"/>
    </xf>
    <xf numFmtId="5" fontId="152" fillId="0" borderId="0" xfId="69" applyNumberFormat="1" applyFont="1" applyBorder="1" applyAlignment="1">
      <alignment horizontal="center"/>
    </xf>
    <xf numFmtId="172" fontId="127" fillId="0" borderId="0" xfId="74" applyNumberFormat="1" applyFont="1"/>
    <xf numFmtId="169" fontId="127" fillId="0" borderId="0" xfId="0" applyNumberFormat="1" applyFont="1" applyAlignment="1">
      <alignment wrapText="1"/>
    </xf>
    <xf numFmtId="169" fontId="127" fillId="0" borderId="0" xfId="0" applyNumberFormat="1" applyFont="1"/>
    <xf numFmtId="173" fontId="127" fillId="0" borderId="0" xfId="0" applyNumberFormat="1" applyFont="1"/>
    <xf numFmtId="1" fontId="127" fillId="0" borderId="0" xfId="0" applyNumberFormat="1" applyFont="1" applyAlignment="1">
      <alignment horizontal="center" wrapText="1"/>
    </xf>
    <xf numFmtId="0" fontId="103" fillId="29" borderId="0" xfId="0" applyFont="1" applyFill="1"/>
    <xf numFmtId="0" fontId="127" fillId="29" borderId="0" xfId="0" applyFont="1" applyFill="1" applyAlignment="1">
      <alignment horizontal="center"/>
    </xf>
    <xf numFmtId="0" fontId="127" fillId="29" borderId="0" xfId="0" applyFont="1" applyFill="1" applyAlignment="1">
      <alignment horizontal="center" wrapText="1"/>
    </xf>
    <xf numFmtId="0" fontId="127" fillId="31" borderId="0" xfId="0" applyFont="1" applyFill="1"/>
    <xf numFmtId="0" fontId="127" fillId="31" borderId="0" xfId="0" applyFont="1" applyFill="1" applyAlignment="1">
      <alignment horizontal="center"/>
    </xf>
    <xf numFmtId="10" fontId="127" fillId="0" borderId="0" xfId="252" applyNumberFormat="1" applyFont="1"/>
    <xf numFmtId="0" fontId="126" fillId="32" borderId="12" xfId="236" applyFont="1" applyFill="1" applyBorder="1"/>
    <xf numFmtId="0" fontId="126" fillId="32" borderId="13" xfId="236" applyFont="1" applyFill="1" applyBorder="1"/>
    <xf numFmtId="0" fontId="126" fillId="32" borderId="13" xfId="236" applyFont="1" applyFill="1" applyBorder="1" applyAlignment="1">
      <alignment horizontal="center"/>
    </xf>
    <xf numFmtId="164" fontId="126" fillId="32" borderId="14" xfId="236" applyNumberFormat="1" applyFont="1" applyFill="1" applyBorder="1" applyAlignment="1">
      <alignment horizontal="center"/>
    </xf>
    <xf numFmtId="164" fontId="126" fillId="0" borderId="0" xfId="236" applyNumberFormat="1" applyFont="1" applyAlignment="1">
      <alignment horizontal="center"/>
    </xf>
    <xf numFmtId="180" fontId="126" fillId="0" borderId="0" xfId="236" applyNumberFormat="1" applyFont="1" applyAlignment="1">
      <alignment horizontal="center"/>
    </xf>
    <xf numFmtId="0" fontId="103" fillId="32" borderId="10" xfId="236" applyFont="1" applyFill="1" applyBorder="1"/>
    <xf numFmtId="0" fontId="103" fillId="32" borderId="0" xfId="236" applyFont="1" applyFill="1" applyAlignment="1">
      <alignment horizontal="right"/>
    </xf>
    <xf numFmtId="0" fontId="153" fillId="32" borderId="0" xfId="236" applyFont="1" applyFill="1" applyAlignment="1">
      <alignment horizontal="center"/>
    </xf>
    <xf numFmtId="0" fontId="103" fillId="32" borderId="11" xfId="236" applyFont="1" applyFill="1" applyBorder="1" applyAlignment="1">
      <alignment horizontal="center"/>
    </xf>
    <xf numFmtId="0" fontId="103" fillId="0" borderId="0" xfId="236" applyFont="1" applyAlignment="1">
      <alignment horizontal="center"/>
    </xf>
    <xf numFmtId="0" fontId="103" fillId="32" borderId="15" xfId="236" applyFont="1" applyFill="1" applyBorder="1"/>
    <xf numFmtId="0" fontId="103" fillId="32" borderId="16" xfId="236" applyFont="1" applyFill="1" applyBorder="1" applyAlignment="1">
      <alignment horizontal="right"/>
    </xf>
    <xf numFmtId="1" fontId="153" fillId="32" borderId="16" xfId="236" applyNumberFormat="1" applyFont="1" applyFill="1" applyBorder="1" applyAlignment="1">
      <alignment horizontal="center"/>
    </xf>
    <xf numFmtId="1" fontId="103" fillId="32" borderId="17" xfId="236" applyNumberFormat="1" applyFont="1" applyFill="1" applyBorder="1" applyAlignment="1">
      <alignment horizontal="center"/>
    </xf>
    <xf numFmtId="1" fontId="103" fillId="0" borderId="0" xfId="236" applyNumberFormat="1" applyFont="1" applyAlignment="1">
      <alignment horizontal="center"/>
    </xf>
    <xf numFmtId="0" fontId="127" fillId="0" borderId="0" xfId="0" applyFont="1" applyAlignment="1">
      <alignment horizontal="left"/>
    </xf>
    <xf numFmtId="0" fontId="103" fillId="32" borderId="15" xfId="236" applyFont="1" applyFill="1" applyBorder="1" applyAlignment="1">
      <alignment horizontal="left"/>
    </xf>
    <xf numFmtId="0" fontId="103" fillId="32" borderId="17" xfId="236" applyFont="1" applyFill="1" applyBorder="1" applyAlignment="1">
      <alignment horizontal="center"/>
    </xf>
    <xf numFmtId="0" fontId="103" fillId="32" borderId="0" xfId="236" applyFont="1" applyFill="1"/>
    <xf numFmtId="1" fontId="103" fillId="32" borderId="11" xfId="236" applyNumberFormat="1" applyFont="1" applyFill="1" applyBorder="1" applyAlignment="1">
      <alignment horizontal="center"/>
    </xf>
    <xf numFmtId="0" fontId="103" fillId="32" borderId="19" xfId="236" applyFont="1" applyFill="1" applyBorder="1"/>
    <xf numFmtId="0" fontId="103" fillId="32" borderId="20" xfId="236" applyFont="1" applyFill="1" applyBorder="1"/>
    <xf numFmtId="0" fontId="103" fillId="32" borderId="20" xfId="236" applyFont="1" applyFill="1" applyBorder="1" applyAlignment="1">
      <alignment horizontal="right"/>
    </xf>
    <xf numFmtId="1" fontId="103" fillId="32" borderId="21" xfId="236" applyNumberFormat="1" applyFont="1" applyFill="1" applyBorder="1" applyAlignment="1">
      <alignment horizontal="center"/>
    </xf>
    <xf numFmtId="0" fontId="103" fillId="32" borderId="21" xfId="236" applyFont="1" applyFill="1" applyBorder="1" applyAlignment="1">
      <alignment horizontal="center"/>
    </xf>
    <xf numFmtId="44" fontId="127" fillId="0" borderId="0" xfId="55" applyFont="1" applyAlignment="1">
      <alignment horizontal="right"/>
    </xf>
    <xf numFmtId="44" fontId="127" fillId="0" borderId="0" xfId="55" applyFont="1" applyAlignment="1">
      <alignment horizontal="center"/>
    </xf>
    <xf numFmtId="44" fontId="127" fillId="0" borderId="0" xfId="55" applyFont="1" applyAlignment="1">
      <alignment horizontal="center" wrapText="1"/>
    </xf>
    <xf numFmtId="44" fontId="127" fillId="0" borderId="0" xfId="55" applyFont="1" applyFill="1" applyAlignment="1">
      <alignment horizontal="center"/>
    </xf>
    <xf numFmtId="44" fontId="127" fillId="0" borderId="0" xfId="55" applyFont="1"/>
    <xf numFmtId="10" fontId="127" fillId="0" borderId="0" xfId="252" applyNumberFormat="1" applyFont="1" applyAlignment="1">
      <alignment horizontal="right"/>
    </xf>
    <xf numFmtId="0" fontId="127" fillId="0" borderId="0" xfId="0" applyFont="1" applyAlignment="1">
      <alignment horizontal="center" wrapText="1"/>
    </xf>
    <xf numFmtId="0" fontId="2" fillId="0" borderId="15" xfId="0" applyFont="1" applyBorder="1"/>
    <xf numFmtId="0" fontId="2" fillId="0" borderId="16" xfId="0" applyFont="1" applyBorder="1" applyAlignment="1">
      <alignment horizontal="center"/>
    </xf>
    <xf numFmtId="0" fontId="154" fillId="0" borderId="10" xfId="0" applyFont="1" applyBorder="1"/>
    <xf numFmtId="44" fontId="1" fillId="0" borderId="0" xfId="55" applyFont="1" applyFill="1" applyBorder="1"/>
    <xf numFmtId="44" fontId="1" fillId="0" borderId="20" xfId="55" applyFont="1" applyFill="1" applyBorder="1"/>
    <xf numFmtId="10" fontId="1" fillId="0" borderId="0" xfId="252" applyNumberFormat="1" applyFont="1" applyFill="1"/>
    <xf numFmtId="10" fontId="1" fillId="0" borderId="0" xfId="252" applyNumberFormat="1" applyFont="1" applyAlignment="1">
      <alignment horizontal="center"/>
    </xf>
    <xf numFmtId="43" fontId="126" fillId="0" borderId="0" xfId="32" applyFont="1" applyFill="1" applyBorder="1" applyAlignment="1">
      <alignment horizontal="center" vertical="center" wrapText="1"/>
    </xf>
    <xf numFmtId="10" fontId="103" fillId="0" borderId="0" xfId="252" applyNumberFormat="1" applyFont="1"/>
    <xf numFmtId="43" fontId="126" fillId="0" borderId="0" xfId="32" applyFont="1" applyFill="1" applyBorder="1" applyAlignment="1">
      <alignment horizontal="center" vertical="center"/>
    </xf>
    <xf numFmtId="3" fontId="126" fillId="0" borderId="0" xfId="0" applyNumberFormat="1" applyFont="1"/>
    <xf numFmtId="43" fontId="126" fillId="0" borderId="51" xfId="32" applyFont="1" applyFill="1" applyBorder="1" applyAlignment="1">
      <alignment horizontal="center"/>
    </xf>
    <xf numFmtId="43" fontId="126" fillId="0" borderId="0" xfId="32" applyFont="1" applyFill="1" applyBorder="1" applyAlignment="1">
      <alignment horizontal="center"/>
    </xf>
    <xf numFmtId="0" fontId="126" fillId="0" borderId="15" xfId="0" applyFont="1" applyBorder="1"/>
    <xf numFmtId="0" fontId="126" fillId="0" borderId="16" xfId="0" applyFont="1" applyBorder="1" applyAlignment="1">
      <alignment horizontal="center"/>
    </xf>
    <xf numFmtId="43" fontId="103" fillId="0" borderId="48" xfId="32" applyFont="1" applyFill="1" applyBorder="1"/>
    <xf numFmtId="43" fontId="103" fillId="0" borderId="0" xfId="32" applyFont="1" applyFill="1" applyBorder="1"/>
    <xf numFmtId="3" fontId="103" fillId="0" borderId="11" xfId="0" applyNumberFormat="1" applyFont="1" applyBorder="1" applyAlignment="1">
      <alignment horizontal="right"/>
    </xf>
    <xf numFmtId="0" fontId="103" fillId="0" borderId="10" xfId="0" applyFont="1" applyBorder="1" applyAlignment="1">
      <alignment wrapText="1"/>
    </xf>
    <xf numFmtId="0" fontId="151" fillId="0" borderId="10" xfId="0" applyFont="1" applyBorder="1"/>
    <xf numFmtId="0" fontId="126" fillId="0" borderId="23" xfId="0" applyFont="1" applyBorder="1" applyAlignment="1">
      <alignment horizontal="center"/>
    </xf>
    <xf numFmtId="4" fontId="126" fillId="0" borderId="23" xfId="0" applyNumberFormat="1" applyFont="1" applyBorder="1" applyAlignment="1">
      <alignment horizontal="center"/>
    </xf>
    <xf numFmtId="3" fontId="126" fillId="0" borderId="23" xfId="0" applyNumberFormat="1" applyFont="1" applyBorder="1" applyAlignment="1">
      <alignment horizontal="right"/>
    </xf>
    <xf numFmtId="10" fontId="103" fillId="0" borderId="0" xfId="0" applyNumberFormat="1" applyFont="1" applyAlignment="1">
      <alignment horizontal="center"/>
    </xf>
    <xf numFmtId="0" fontId="128" fillId="0" borderId="0" xfId="0" applyFont="1"/>
    <xf numFmtId="42" fontId="126" fillId="0" borderId="23" xfId="0" applyNumberFormat="1" applyFont="1" applyBorder="1"/>
    <xf numFmtId="0" fontId="134" fillId="0" borderId="10" xfId="0" applyFont="1" applyBorder="1"/>
    <xf numFmtId="0" fontId="103" fillId="0" borderId="41" xfId="0" applyFont="1" applyBorder="1" applyAlignment="1">
      <alignment horizontal="center"/>
    </xf>
    <xf numFmtId="43" fontId="103" fillId="28" borderId="0" xfId="32" applyFont="1" applyFill="1" applyBorder="1"/>
    <xf numFmtId="2" fontId="103" fillId="0" borderId="0" xfId="0" applyNumberFormat="1" applyFont="1"/>
    <xf numFmtId="42" fontId="126" fillId="0" borderId="26" xfId="0" applyNumberFormat="1" applyFont="1" applyBorder="1"/>
    <xf numFmtId="165" fontId="103" fillId="0" borderId="0" xfId="55" applyNumberFormat="1" applyFont="1" applyFill="1" applyBorder="1"/>
    <xf numFmtId="44" fontId="103" fillId="0" borderId="0" xfId="55" applyFont="1" applyFill="1" applyBorder="1"/>
    <xf numFmtId="0" fontId="103" fillId="0" borderId="20" xfId="0" applyFont="1" applyBorder="1" applyAlignment="1">
      <alignment horizontal="center"/>
    </xf>
    <xf numFmtId="44" fontId="103" fillId="0" borderId="20" xfId="55" applyFont="1" applyFill="1" applyBorder="1"/>
    <xf numFmtId="165" fontId="126" fillId="0" borderId="20" xfId="55" applyNumberFormat="1" applyFont="1" applyFill="1" applyBorder="1"/>
    <xf numFmtId="165" fontId="126" fillId="28" borderId="31" xfId="32" applyNumberFormat="1" applyFont="1" applyFill="1" applyBorder="1" applyAlignment="1">
      <alignment horizontal="center"/>
    </xf>
    <xf numFmtId="168" fontId="103" fillId="0" borderId="0" xfId="0" applyNumberFormat="1" applyFont="1"/>
    <xf numFmtId="9" fontId="103" fillId="0" borderId="0" xfId="0" applyNumberFormat="1" applyFont="1" applyAlignment="1">
      <alignment horizontal="center"/>
    </xf>
    <xf numFmtId="164" fontId="103" fillId="0" borderId="0" xfId="0" applyNumberFormat="1" applyFont="1"/>
    <xf numFmtId="44" fontId="103" fillId="0" borderId="0" xfId="55" applyFont="1" applyFill="1" applyBorder="1" applyAlignment="1"/>
    <xf numFmtId="44" fontId="103" fillId="0" borderId="0" xfId="55" applyFont="1" applyFill="1" applyBorder="1" applyAlignment="1">
      <alignment horizontal="right"/>
    </xf>
    <xf numFmtId="179" fontId="126" fillId="0" borderId="31" xfId="32" applyNumberFormat="1" applyFont="1" applyFill="1" applyBorder="1"/>
    <xf numFmtId="179" fontId="126" fillId="0" borderId="0" xfId="32" applyNumberFormat="1" applyFont="1" applyFill="1" applyBorder="1"/>
    <xf numFmtId="43" fontId="126" fillId="0" borderId="0" xfId="32" applyFont="1" applyFill="1" applyBorder="1"/>
    <xf numFmtId="10" fontId="103" fillId="0" borderId="0" xfId="252" applyNumberFormat="1" applyFont="1" applyFill="1" applyBorder="1"/>
    <xf numFmtId="179" fontId="103" fillId="0" borderId="0" xfId="32" applyNumberFormat="1" applyFont="1" applyFill="1" applyBorder="1"/>
    <xf numFmtId="9" fontId="103" fillId="0" borderId="0" xfId="252" applyFont="1" applyFill="1" applyAlignment="1">
      <alignment horizontal="center"/>
    </xf>
    <xf numFmtId="165" fontId="126" fillId="0" borderId="0" xfId="32" applyNumberFormat="1" applyFont="1" applyFill="1" applyBorder="1" applyAlignment="1">
      <alignment horizontal="center"/>
    </xf>
    <xf numFmtId="179" fontId="126" fillId="0" borderId="0" xfId="32" applyNumberFormat="1" applyFont="1" applyFill="1" applyBorder="1" applyAlignment="1">
      <alignment horizontal="center"/>
    </xf>
    <xf numFmtId="0" fontId="103" fillId="0" borderId="0" xfId="0" applyFont="1" applyAlignment="1">
      <alignment horizontal="right"/>
    </xf>
    <xf numFmtId="43" fontId="103" fillId="0" borderId="0" xfId="32" applyFont="1" applyFill="1"/>
    <xf numFmtId="10" fontId="103" fillId="0" borderId="0" xfId="252" applyNumberFormat="1" applyFont="1" applyFill="1"/>
    <xf numFmtId="10" fontId="126" fillId="0" borderId="0" xfId="252" applyNumberFormat="1" applyFont="1" applyFill="1" applyBorder="1" applyAlignment="1">
      <alignment horizontal="center"/>
    </xf>
    <xf numFmtId="10" fontId="126" fillId="0" borderId="0" xfId="252" applyNumberFormat="1" applyFont="1" applyFill="1" applyAlignment="1">
      <alignment horizontal="center"/>
    </xf>
    <xf numFmtId="10" fontId="79" fillId="0" borderId="0" xfId="252" applyNumberFormat="1" applyFont="1" applyFill="1" applyAlignment="1">
      <alignment horizontal="center"/>
    </xf>
    <xf numFmtId="167" fontId="103" fillId="0" borderId="0" xfId="252" applyNumberFormat="1" applyFont="1" applyFill="1"/>
    <xf numFmtId="10" fontId="103" fillId="0" borderId="0" xfId="252" applyNumberFormat="1" applyFont="1" applyAlignment="1">
      <alignment horizontal="center"/>
    </xf>
    <xf numFmtId="10" fontId="103" fillId="0" borderId="0" xfId="252" applyNumberFormat="1" applyFont="1" applyFill="1" applyBorder="1" applyAlignment="1">
      <alignment horizontal="left"/>
    </xf>
    <xf numFmtId="10" fontId="110" fillId="0" borderId="0" xfId="254" applyNumberFormat="1" applyFont="1"/>
    <xf numFmtId="0" fontId="110" fillId="0" borderId="26" xfId="241" applyFont="1" applyBorder="1"/>
    <xf numFmtId="10" fontId="110" fillId="0" borderId="0" xfId="252" applyNumberFormat="1" applyFont="1"/>
    <xf numFmtId="170" fontId="110" fillId="0" borderId="0" xfId="241" applyNumberFormat="1" applyFont="1"/>
    <xf numFmtId="44" fontId="110" fillId="0" borderId="0" xfId="241" applyNumberFormat="1" applyFont="1"/>
    <xf numFmtId="8" fontId="110" fillId="0" borderId="0" xfId="241" applyNumberFormat="1" applyFont="1"/>
    <xf numFmtId="0" fontId="110" fillId="0" borderId="0" xfId="241" applyFont="1" applyAlignment="1">
      <alignment horizontal="center"/>
    </xf>
    <xf numFmtId="3" fontId="110" fillId="0" borderId="0" xfId="241" applyNumberFormat="1" applyFont="1" applyAlignment="1">
      <alignment horizontal="center"/>
    </xf>
    <xf numFmtId="43" fontId="110" fillId="0" borderId="0" xfId="32" applyFont="1"/>
    <xf numFmtId="4" fontId="110" fillId="0" borderId="0" xfId="241" applyNumberFormat="1" applyFont="1" applyAlignment="1">
      <alignment horizontal="center"/>
    </xf>
    <xf numFmtId="44" fontId="110" fillId="0" borderId="0" xfId="69" applyFont="1"/>
    <xf numFmtId="0" fontId="110" fillId="0" borderId="0" xfId="241" applyFont="1" applyAlignment="1">
      <alignment horizontal="center" wrapText="1"/>
    </xf>
    <xf numFmtId="0" fontId="103" fillId="0" borderId="0" xfId="179" applyFont="1"/>
    <xf numFmtId="14" fontId="151" fillId="0" borderId="0" xfId="179" applyNumberFormat="1" applyFont="1" applyAlignment="1">
      <alignment horizontal="left"/>
    </xf>
    <xf numFmtId="0" fontId="126" fillId="0" borderId="32" xfId="179" applyFont="1" applyBorder="1" applyAlignment="1">
      <alignment horizontal="center"/>
    </xf>
    <xf numFmtId="0" fontId="126" fillId="0" borderId="33" xfId="179" applyFont="1" applyBorder="1" applyAlignment="1">
      <alignment horizontal="center"/>
    </xf>
    <xf numFmtId="0" fontId="126" fillId="0" borderId="34" xfId="179" applyFont="1" applyBorder="1" applyAlignment="1">
      <alignment horizontal="center"/>
    </xf>
    <xf numFmtId="1" fontId="126" fillId="0" borderId="10" xfId="179" applyNumberFormat="1" applyFont="1" applyBorder="1" applyAlignment="1">
      <alignment horizontal="center"/>
    </xf>
    <xf numFmtId="3" fontId="126" fillId="0" borderId="0" xfId="179" applyNumberFormat="1" applyFont="1" applyAlignment="1">
      <alignment horizontal="center"/>
    </xf>
    <xf numFmtId="164" fontId="126" fillId="0" borderId="0" xfId="179" applyNumberFormat="1" applyFont="1" applyAlignment="1">
      <alignment horizontal="right"/>
    </xf>
    <xf numFmtId="3" fontId="126" fillId="0" borderId="11" xfId="179" applyNumberFormat="1" applyFont="1" applyBorder="1" applyAlignment="1">
      <alignment horizontal="center"/>
    </xf>
    <xf numFmtId="0" fontId="127" fillId="0" borderId="10" xfId="0" applyFont="1" applyBorder="1"/>
    <xf numFmtId="170" fontId="103" fillId="0" borderId="0" xfId="179" applyNumberFormat="1" applyFont="1" applyAlignment="1">
      <alignment horizontal="center"/>
    </xf>
    <xf numFmtId="0" fontId="103" fillId="0" borderId="0" xfId="241" applyFont="1"/>
    <xf numFmtId="0" fontId="126" fillId="0" borderId="0" xfId="179" applyFont="1" applyAlignment="1">
      <alignment horizontal="center"/>
    </xf>
    <xf numFmtId="0" fontId="126" fillId="0" borderId="11" xfId="179" applyFont="1" applyBorder="1" applyAlignment="1">
      <alignment horizontal="center"/>
    </xf>
    <xf numFmtId="1" fontId="126" fillId="0" borderId="18" xfId="179" applyNumberFormat="1" applyFont="1" applyBorder="1"/>
    <xf numFmtId="164" fontId="126" fillId="0" borderId="28" xfId="179" applyNumberFormat="1" applyFont="1" applyBorder="1" applyAlignment="1">
      <alignment horizontal="center"/>
    </xf>
    <xf numFmtId="1" fontId="126" fillId="0" borderId="28" xfId="179" applyNumberFormat="1" applyFont="1" applyBorder="1" applyAlignment="1">
      <alignment horizontal="center"/>
    </xf>
    <xf numFmtId="164" fontId="126" fillId="0" borderId="99" xfId="179" applyNumberFormat="1" applyFont="1" applyBorder="1" applyAlignment="1">
      <alignment horizontal="center"/>
    </xf>
    <xf numFmtId="0" fontId="127" fillId="0" borderId="12" xfId="0" applyFont="1" applyBorder="1"/>
    <xf numFmtId="164" fontId="103" fillId="0" borderId="13" xfId="179" applyNumberFormat="1" applyFont="1" applyBorder="1" applyAlignment="1">
      <alignment horizontal="center"/>
    </xf>
    <xf numFmtId="2" fontId="103" fillId="0" borderId="13" xfId="179" applyNumberFormat="1" applyFont="1" applyBorder="1" applyAlignment="1">
      <alignment horizontal="center"/>
    </xf>
    <xf numFmtId="164" fontId="103" fillId="0" borderId="14" xfId="179" applyNumberFormat="1" applyFont="1" applyBorder="1" applyAlignment="1">
      <alignment horizontal="center"/>
    </xf>
    <xf numFmtId="164" fontId="103" fillId="0" borderId="0" xfId="179" applyNumberFormat="1" applyFont="1" applyAlignment="1">
      <alignment horizontal="center"/>
    </xf>
    <xf numFmtId="2" fontId="103" fillId="0" borderId="0" xfId="179" applyNumberFormat="1" applyFont="1" applyAlignment="1">
      <alignment horizontal="center"/>
    </xf>
    <xf numFmtId="164" fontId="103" fillId="0" borderId="11" xfId="179" applyNumberFormat="1" applyFont="1" applyBorder="1" applyAlignment="1">
      <alignment horizontal="center"/>
    </xf>
    <xf numFmtId="44" fontId="127" fillId="0" borderId="10" xfId="69" applyFont="1" applyFill="1" applyBorder="1" applyAlignment="1">
      <alignment horizontal="left"/>
    </xf>
    <xf numFmtId="44" fontId="127" fillId="47" borderId="10" xfId="69" applyFont="1" applyFill="1" applyBorder="1" applyAlignment="1">
      <alignment horizontal="left"/>
    </xf>
    <xf numFmtId="164" fontId="103" fillId="47" borderId="0" xfId="179" applyNumberFormat="1" applyFont="1" applyFill="1" applyAlignment="1">
      <alignment horizontal="center"/>
    </xf>
    <xf numFmtId="2" fontId="103" fillId="47" borderId="0" xfId="179" applyNumberFormat="1" applyFont="1" applyFill="1" applyAlignment="1">
      <alignment horizontal="center"/>
    </xf>
    <xf numFmtId="164" fontId="103" fillId="47" borderId="11" xfId="179" applyNumberFormat="1" applyFont="1" applyFill="1" applyBorder="1" applyAlignment="1">
      <alignment horizontal="center"/>
    </xf>
    <xf numFmtId="0" fontId="103" fillId="0" borderId="11" xfId="179" applyFont="1" applyBorder="1"/>
    <xf numFmtId="0" fontId="103" fillId="0" borderId="39" xfId="241" applyFont="1" applyBorder="1"/>
    <xf numFmtId="2" fontId="103" fillId="0" borderId="0" xfId="179" applyNumberFormat="1" applyFont="1" applyAlignment="1">
      <alignment horizontal="right"/>
    </xf>
    <xf numFmtId="0" fontId="127" fillId="0" borderId="19" xfId="0" applyFont="1" applyBorder="1"/>
    <xf numFmtId="164" fontId="103" fillId="0" borderId="20" xfId="179" applyNumberFormat="1" applyFont="1" applyBorder="1" applyAlignment="1">
      <alignment horizontal="center"/>
    </xf>
    <xf numFmtId="2" fontId="103" fillId="0" borderId="20" xfId="179" applyNumberFormat="1" applyFont="1" applyBorder="1" applyAlignment="1">
      <alignment horizontal="center"/>
    </xf>
    <xf numFmtId="164" fontId="103" fillId="0" borderId="21" xfId="179" applyNumberFormat="1" applyFont="1" applyBorder="1" applyAlignment="1">
      <alignment horizontal="center"/>
    </xf>
    <xf numFmtId="2" fontId="126" fillId="0" borderId="100" xfId="179" applyNumberFormat="1" applyFont="1" applyBorder="1" applyAlignment="1">
      <alignment horizontal="left"/>
    </xf>
    <xf numFmtId="164" fontId="126" fillId="0" borderId="101" xfId="179" applyNumberFormat="1" applyFont="1" applyBorder="1" applyAlignment="1">
      <alignment horizontal="center"/>
    </xf>
    <xf numFmtId="4" fontId="126" fillId="0" borderId="101" xfId="179" applyNumberFormat="1" applyFont="1" applyBorder="1" applyAlignment="1">
      <alignment horizontal="center"/>
    </xf>
    <xf numFmtId="170" fontId="126" fillId="0" borderId="102" xfId="179" applyNumberFormat="1" applyFont="1" applyBorder="1" applyAlignment="1">
      <alignment horizontal="center"/>
    </xf>
    <xf numFmtId="2" fontId="127" fillId="0" borderId="0" xfId="0" applyNumberFormat="1" applyFont="1" applyAlignment="1">
      <alignment horizontal="right"/>
    </xf>
    <xf numFmtId="2" fontId="103" fillId="0" borderId="10" xfId="179" applyNumberFormat="1" applyFont="1" applyBorder="1"/>
    <xf numFmtId="10" fontId="103" fillId="0" borderId="0" xfId="254" applyNumberFormat="1" applyFont="1" applyFill="1" applyBorder="1" applyAlignment="1">
      <alignment horizontal="center"/>
    </xf>
    <xf numFmtId="4" fontId="103" fillId="0" borderId="0" xfId="179" applyNumberFormat="1" applyFont="1" applyAlignment="1">
      <alignment horizontal="center"/>
    </xf>
    <xf numFmtId="170" fontId="103" fillId="0" borderId="11" xfId="179" applyNumberFormat="1" applyFont="1" applyBorder="1" applyAlignment="1">
      <alignment horizontal="right"/>
    </xf>
    <xf numFmtId="0" fontId="127" fillId="0" borderId="0" xfId="69" applyNumberFormat="1" applyFont="1" applyFill="1" applyBorder="1" applyAlignment="1">
      <alignment horizontal="right"/>
    </xf>
    <xf numFmtId="1" fontId="103" fillId="0" borderId="10" xfId="179" applyNumberFormat="1" applyFont="1" applyBorder="1"/>
    <xf numFmtId="10" fontId="103" fillId="0" borderId="0" xfId="179" applyNumberFormat="1" applyFont="1" applyAlignment="1">
      <alignment horizontal="center"/>
    </xf>
    <xf numFmtId="10" fontId="103" fillId="0" borderId="0" xfId="179" applyNumberFormat="1" applyFont="1"/>
    <xf numFmtId="0" fontId="126" fillId="0" borderId="0" xfId="179" applyFont="1"/>
    <xf numFmtId="2" fontId="126" fillId="0" borderId="52" xfId="179" applyNumberFormat="1" applyFont="1" applyBorder="1" applyAlignment="1">
      <alignment horizontal="left"/>
    </xf>
    <xf numFmtId="164" fontId="126" fillId="0" borderId="103" xfId="179" applyNumberFormat="1" applyFont="1" applyBorder="1" applyAlignment="1">
      <alignment horizontal="center"/>
    </xf>
    <xf numFmtId="164" fontId="126" fillId="0" borderId="103" xfId="179" applyNumberFormat="1" applyFont="1" applyBorder="1"/>
    <xf numFmtId="170" fontId="126" fillId="0" borderId="104" xfId="179" applyNumberFormat="1" applyFont="1" applyBorder="1" applyAlignment="1">
      <alignment horizontal="right"/>
    </xf>
    <xf numFmtId="0" fontId="103" fillId="0" borderId="10" xfId="179" applyFont="1" applyBorder="1"/>
    <xf numFmtId="168" fontId="103" fillId="0" borderId="0" xfId="179" applyNumberFormat="1" applyFont="1" applyAlignment="1">
      <alignment horizontal="center"/>
    </xf>
    <xf numFmtId="44" fontId="103" fillId="0" borderId="10" xfId="304" applyFont="1" applyFill="1" applyBorder="1" applyAlignment="1"/>
    <xf numFmtId="0" fontId="103" fillId="0" borderId="0" xfId="179" applyFont="1" applyAlignment="1">
      <alignment horizontal="center"/>
    </xf>
    <xf numFmtId="10" fontId="103" fillId="0" borderId="0" xfId="264" applyNumberFormat="1" applyFont="1" applyFill="1" applyBorder="1" applyAlignment="1">
      <alignment horizontal="center"/>
    </xf>
    <xf numFmtId="44" fontId="126" fillId="0" borderId="59" xfId="304" applyFont="1" applyFill="1" applyBorder="1" applyAlignment="1"/>
    <xf numFmtId="0" fontId="103" fillId="0" borderId="23" xfId="179" applyFont="1" applyBorder="1" applyAlignment="1">
      <alignment horizontal="center"/>
    </xf>
    <xf numFmtId="10" fontId="103" fillId="0" borderId="23" xfId="264" applyNumberFormat="1" applyFont="1" applyFill="1" applyBorder="1" applyAlignment="1">
      <alignment horizontal="center"/>
    </xf>
    <xf numFmtId="170" fontId="126" fillId="0" borderId="50" xfId="179" applyNumberFormat="1" applyFont="1" applyBorder="1" applyAlignment="1">
      <alignment horizontal="right"/>
    </xf>
    <xf numFmtId="44" fontId="103" fillId="0" borderId="25" xfId="304" applyFont="1" applyFill="1" applyBorder="1" applyAlignment="1"/>
    <xf numFmtId="0" fontId="103" fillId="0" borderId="26" xfId="179" applyFont="1" applyBorder="1" applyAlignment="1">
      <alignment horizontal="center"/>
    </xf>
    <xf numFmtId="10" fontId="103" fillId="0" borderId="26" xfId="264" applyNumberFormat="1" applyFont="1" applyFill="1" applyBorder="1" applyAlignment="1">
      <alignment horizontal="center"/>
    </xf>
    <xf numFmtId="170" fontId="103" fillId="0" borderId="27" xfId="179" applyNumberFormat="1" applyFont="1" applyBorder="1" applyAlignment="1">
      <alignment horizontal="right"/>
    </xf>
    <xf numFmtId="44" fontId="126" fillId="0" borderId="10" xfId="304" applyFont="1" applyFill="1" applyBorder="1" applyAlignment="1"/>
    <xf numFmtId="164" fontId="126" fillId="0" borderId="0" xfId="179" applyNumberFormat="1" applyFont="1" applyAlignment="1">
      <alignment horizontal="center"/>
    </xf>
    <xf numFmtId="164" fontId="126" fillId="0" borderId="0" xfId="179" applyNumberFormat="1" applyFont="1"/>
    <xf numFmtId="170" fontId="126" fillId="0" borderId="11" xfId="179" applyNumberFormat="1" applyFont="1" applyBorder="1" applyAlignment="1">
      <alignment horizontal="right"/>
    </xf>
    <xf numFmtId="168" fontId="103" fillId="0" borderId="32" xfId="0" applyNumberFormat="1" applyFont="1" applyBorder="1"/>
    <xf numFmtId="9" fontId="103" fillId="0" borderId="33" xfId="179" applyNumberFormat="1" applyFont="1" applyBorder="1" applyAlignment="1">
      <alignment horizontal="center"/>
    </xf>
    <xf numFmtId="10" fontId="103" fillId="0" borderId="33" xfId="179" applyNumberFormat="1" applyFont="1" applyBorder="1" applyAlignment="1">
      <alignment horizontal="center"/>
    </xf>
    <xf numFmtId="171" fontId="126" fillId="0" borderId="34" xfId="179" applyNumberFormat="1" applyFont="1" applyBorder="1" applyAlignment="1">
      <alignment horizontal="right"/>
    </xf>
    <xf numFmtId="168" fontId="103" fillId="0" borderId="19" xfId="0" applyNumberFormat="1" applyFont="1" applyBorder="1"/>
    <xf numFmtId="9" fontId="103" fillId="0" borderId="20" xfId="179" applyNumberFormat="1" applyFont="1" applyBorder="1" applyAlignment="1">
      <alignment horizontal="center"/>
    </xf>
    <xf numFmtId="10" fontId="103" fillId="0" borderId="20" xfId="179" applyNumberFormat="1" applyFont="1" applyBorder="1" applyAlignment="1">
      <alignment horizontal="center"/>
    </xf>
    <xf numFmtId="171" fontId="126" fillId="0" borderId="21" xfId="179" applyNumberFormat="1" applyFont="1" applyBorder="1" applyAlignment="1">
      <alignment horizontal="right"/>
    </xf>
    <xf numFmtId="0" fontId="103" fillId="0" borderId="12" xfId="179" applyFont="1" applyBorder="1"/>
    <xf numFmtId="10" fontId="103" fillId="0" borderId="13" xfId="179" applyNumberFormat="1" applyFont="1" applyBorder="1" applyAlignment="1">
      <alignment horizontal="center"/>
    </xf>
    <xf numFmtId="0" fontId="103" fillId="0" borderId="13" xfId="179" applyFont="1" applyBorder="1"/>
    <xf numFmtId="0" fontId="103" fillId="0" borderId="14" xfId="179" applyFont="1" applyBorder="1"/>
    <xf numFmtId="171" fontId="126" fillId="28" borderId="21" xfId="179" applyNumberFormat="1" applyFont="1" applyFill="1" applyBorder="1" applyAlignment="1">
      <alignment horizontal="right"/>
    </xf>
    <xf numFmtId="168" fontId="103" fillId="56" borderId="0" xfId="179" applyNumberFormat="1" applyFont="1" applyFill="1" applyAlignment="1">
      <alignment horizontal="center"/>
    </xf>
    <xf numFmtId="8" fontId="103" fillId="0" borderId="0" xfId="179" applyNumberFormat="1" applyFont="1" applyAlignment="1">
      <alignment horizontal="right"/>
    </xf>
    <xf numFmtId="10" fontId="103" fillId="0" borderId="0" xfId="254" applyNumberFormat="1" applyFont="1" applyAlignment="1"/>
    <xf numFmtId="0" fontId="103" fillId="0" borderId="19" xfId="179" applyFont="1" applyBorder="1"/>
    <xf numFmtId="0" fontId="103" fillId="0" borderId="20" xfId="179" applyFont="1" applyBorder="1"/>
    <xf numFmtId="0" fontId="103" fillId="0" borderId="21" xfId="179" applyFont="1" applyBorder="1"/>
    <xf numFmtId="49" fontId="155" fillId="0" borderId="0" xfId="179" applyNumberFormat="1" applyFont="1" applyAlignment="1">
      <alignment horizontal="center" vertical="center"/>
    </xf>
    <xf numFmtId="44" fontId="103" fillId="0" borderId="0" xfId="69" applyFont="1" applyAlignment="1"/>
    <xf numFmtId="10" fontId="103" fillId="0" borderId="0" xfId="254" applyNumberFormat="1" applyFont="1" applyBorder="1" applyAlignment="1"/>
    <xf numFmtId="0" fontId="126" fillId="0" borderId="32" xfId="241" applyFont="1" applyBorder="1" applyAlignment="1">
      <alignment horizontal="center" vertical="center"/>
    </xf>
    <xf numFmtId="0" fontId="126" fillId="0" borderId="34" xfId="241" applyFont="1" applyBorder="1" applyAlignment="1">
      <alignment horizontal="center" vertical="center"/>
    </xf>
    <xf numFmtId="0" fontId="126" fillId="0" borderId="33" xfId="241" applyFont="1" applyBorder="1" applyAlignment="1">
      <alignment horizontal="center" vertical="center"/>
    </xf>
    <xf numFmtId="165" fontId="103" fillId="0" borderId="97" xfId="69" applyNumberFormat="1" applyFont="1" applyFill="1" applyBorder="1"/>
    <xf numFmtId="0" fontId="103" fillId="0" borderId="11" xfId="241" applyFont="1" applyBorder="1"/>
    <xf numFmtId="0" fontId="103" fillId="0" borderId="11" xfId="241" applyFont="1" applyBorder="1" applyAlignment="1">
      <alignment horizontal="left"/>
    </xf>
    <xf numFmtId="165" fontId="103" fillId="0" borderId="89" xfId="69" applyNumberFormat="1" applyFont="1" applyFill="1" applyBorder="1"/>
    <xf numFmtId="0" fontId="126" fillId="0" borderId="12" xfId="241" applyFont="1" applyBorder="1" applyAlignment="1">
      <alignment horizontal="right"/>
    </xf>
    <xf numFmtId="0" fontId="126" fillId="0" borderId="13" xfId="241" applyFont="1" applyBorder="1" applyAlignment="1">
      <alignment horizontal="center"/>
    </xf>
    <xf numFmtId="0" fontId="126" fillId="0" borderId="13" xfId="241" applyFont="1" applyBorder="1" applyAlignment="1">
      <alignment horizontal="right"/>
    </xf>
    <xf numFmtId="3" fontId="126" fillId="0" borderId="14" xfId="241" applyNumberFormat="1" applyFont="1" applyBorder="1" applyAlignment="1">
      <alignment horizontal="center"/>
    </xf>
    <xf numFmtId="0" fontId="126" fillId="0" borderId="10" xfId="241" applyFont="1" applyBorder="1"/>
    <xf numFmtId="0" fontId="126" fillId="0" borderId="0" xfId="241" applyFont="1" applyAlignment="1">
      <alignment horizontal="center"/>
    </xf>
    <xf numFmtId="0" fontId="126" fillId="0" borderId="11" xfId="241" applyFont="1" applyBorder="1" applyAlignment="1">
      <alignment horizontal="center"/>
    </xf>
    <xf numFmtId="0" fontId="103" fillId="0" borderId="37" xfId="241" applyFont="1" applyBorder="1"/>
    <xf numFmtId="44" fontId="103" fillId="0" borderId="28" xfId="241" applyNumberFormat="1" applyFont="1" applyBorder="1"/>
    <xf numFmtId="4" fontId="103" fillId="0" borderId="28" xfId="241" applyNumberFormat="1" applyFont="1" applyBorder="1"/>
    <xf numFmtId="170" fontId="103" fillId="0" borderId="38" xfId="241" applyNumberFormat="1" applyFont="1" applyBorder="1"/>
    <xf numFmtId="44" fontId="103" fillId="0" borderId="0" xfId="241" applyNumberFormat="1" applyFont="1"/>
    <xf numFmtId="4" fontId="103" fillId="0" borderId="0" xfId="241" applyNumberFormat="1" applyFont="1"/>
    <xf numFmtId="170" fontId="103" fillId="0" borderId="40" xfId="241" applyNumberFormat="1" applyFont="1" applyBorder="1"/>
    <xf numFmtId="0" fontId="103" fillId="47" borderId="39" xfId="241" applyFont="1" applyFill="1" applyBorder="1"/>
    <xf numFmtId="44" fontId="103" fillId="47" borderId="0" xfId="241" applyNumberFormat="1" applyFont="1" applyFill="1"/>
    <xf numFmtId="4" fontId="103" fillId="47" borderId="0" xfId="241" applyNumberFormat="1" applyFont="1" applyFill="1"/>
    <xf numFmtId="170" fontId="103" fillId="47" borderId="40" xfId="241" applyNumberFormat="1" applyFont="1" applyFill="1" applyBorder="1"/>
    <xf numFmtId="165" fontId="103" fillId="0" borderId="92" xfId="69" applyNumberFormat="1" applyFont="1" applyFill="1" applyBorder="1"/>
    <xf numFmtId="0" fontId="103" fillId="0" borderId="33" xfId="241" applyFont="1" applyBorder="1"/>
    <xf numFmtId="0" fontId="103" fillId="0" borderId="34" xfId="241" applyFont="1" applyBorder="1"/>
    <xf numFmtId="0" fontId="103" fillId="0" borderId="34" xfId="241" applyFont="1" applyBorder="1" applyAlignment="1">
      <alignment horizontal="left"/>
    </xf>
    <xf numFmtId="2" fontId="103" fillId="0" borderId="97" xfId="0" applyNumberFormat="1" applyFont="1" applyBorder="1"/>
    <xf numFmtId="0" fontId="103" fillId="0" borderId="97" xfId="241" applyFont="1" applyBorder="1"/>
    <xf numFmtId="2" fontId="103" fillId="0" borderId="39" xfId="0" applyNumberFormat="1" applyFont="1" applyBorder="1"/>
    <xf numFmtId="0" fontId="103" fillId="0" borderId="36" xfId="241" applyFont="1" applyBorder="1"/>
    <xf numFmtId="44" fontId="103" fillId="0" borderId="16" xfId="241" applyNumberFormat="1" applyFont="1" applyBorder="1"/>
    <xf numFmtId="4" fontId="103" fillId="0" borderId="16" xfId="241" applyNumberFormat="1" applyFont="1" applyBorder="1"/>
    <xf numFmtId="170" fontId="103" fillId="0" borderId="35" xfId="241" applyNumberFormat="1" applyFont="1" applyBorder="1"/>
    <xf numFmtId="0" fontId="126" fillId="0" borderId="15" xfId="241" applyFont="1" applyBorder="1"/>
    <xf numFmtId="0" fontId="126" fillId="0" borderId="16" xfId="241" applyFont="1" applyBorder="1"/>
    <xf numFmtId="4" fontId="126" fillId="0" borderId="16" xfId="241" applyNumberFormat="1" applyFont="1" applyBorder="1"/>
    <xf numFmtId="170" fontId="126" fillId="0" borderId="17" xfId="241" applyNumberFormat="1" applyFont="1" applyBorder="1"/>
    <xf numFmtId="0" fontId="103" fillId="0" borderId="10" xfId="241" applyFont="1" applyBorder="1"/>
    <xf numFmtId="0" fontId="126" fillId="0" borderId="0" xfId="241" applyFont="1"/>
    <xf numFmtId="170" fontId="103" fillId="0" borderId="11" xfId="241" applyNumberFormat="1" applyFont="1" applyBorder="1"/>
    <xf numFmtId="10" fontId="103" fillId="0" borderId="0" xfId="241" applyNumberFormat="1" applyFont="1" applyAlignment="1">
      <alignment horizontal="center"/>
    </xf>
    <xf numFmtId="0" fontId="126" fillId="0" borderId="22" xfId="241" applyFont="1" applyBorder="1"/>
    <xf numFmtId="0" fontId="126" fillId="0" borderId="23" xfId="241" applyFont="1" applyBorder="1"/>
    <xf numFmtId="44" fontId="126" fillId="0" borderId="23" xfId="241" applyNumberFormat="1" applyFont="1" applyBorder="1"/>
    <xf numFmtId="170" fontId="126" fillId="0" borderId="24" xfId="241" applyNumberFormat="1" applyFont="1" applyBorder="1"/>
    <xf numFmtId="0" fontId="126" fillId="0" borderId="25" xfId="241" applyFont="1" applyBorder="1"/>
    <xf numFmtId="0" fontId="103" fillId="0" borderId="26" xfId="241" applyFont="1" applyBorder="1"/>
    <xf numFmtId="170" fontId="126" fillId="0" borderId="27" xfId="241" applyNumberFormat="1" applyFont="1" applyBorder="1"/>
    <xf numFmtId="2" fontId="103" fillId="0" borderId="98" xfId="0" applyNumberFormat="1" applyFont="1" applyBorder="1"/>
    <xf numFmtId="0" fontId="103" fillId="0" borderId="98" xfId="241" applyFont="1" applyBorder="1"/>
    <xf numFmtId="170" fontId="103" fillId="0" borderId="11" xfId="102" applyNumberFormat="1" applyFont="1" applyFill="1" applyBorder="1"/>
    <xf numFmtId="0" fontId="103" fillId="0" borderId="13" xfId="241" applyFont="1" applyBorder="1"/>
    <xf numFmtId="0" fontId="103" fillId="0" borderId="14" xfId="241" applyFont="1" applyBorder="1"/>
    <xf numFmtId="0" fontId="103" fillId="0" borderId="14" xfId="241" applyFont="1" applyBorder="1" applyAlignment="1">
      <alignment horizontal="left"/>
    </xf>
    <xf numFmtId="0" fontId="103" fillId="0" borderId="18" xfId="241" applyFont="1" applyBorder="1"/>
    <xf numFmtId="10" fontId="103" fillId="0" borderId="28" xfId="273" applyNumberFormat="1" applyFont="1" applyFill="1" applyBorder="1" applyAlignment="1">
      <alignment horizontal="center"/>
    </xf>
    <xf numFmtId="0" fontId="103" fillId="0" borderId="28" xfId="241" applyFont="1" applyBorder="1"/>
    <xf numFmtId="0" fontId="103" fillId="0" borderId="99" xfId="241" applyFont="1" applyBorder="1"/>
    <xf numFmtId="0" fontId="103" fillId="0" borderId="99" xfId="241" applyFont="1" applyBorder="1" applyAlignment="1">
      <alignment horizontal="left"/>
    </xf>
    <xf numFmtId="0" fontId="103" fillId="0" borderId="0" xfId="241" applyFont="1" applyAlignment="1">
      <alignment horizontal="center"/>
    </xf>
    <xf numFmtId="44" fontId="103" fillId="0" borderId="0" xfId="102" applyFont="1" applyFill="1" applyBorder="1"/>
    <xf numFmtId="171" fontId="103" fillId="0" borderId="11" xfId="102" applyNumberFormat="1" applyFont="1" applyFill="1" applyBorder="1"/>
    <xf numFmtId="44" fontId="103" fillId="0" borderId="0" xfId="69" applyFont="1" applyFill="1" applyBorder="1" applyAlignment="1">
      <alignment horizontal="center"/>
    </xf>
    <xf numFmtId="168" fontId="126" fillId="0" borderId="32" xfId="241" applyNumberFormat="1" applyFont="1" applyBorder="1"/>
    <xf numFmtId="9" fontId="126" fillId="0" borderId="33" xfId="254" applyFont="1" applyFill="1" applyBorder="1" applyAlignment="1">
      <alignment horizontal="center"/>
    </xf>
    <xf numFmtId="44" fontId="103" fillId="0" borderId="33" xfId="102" applyFont="1" applyFill="1" applyBorder="1"/>
    <xf numFmtId="171" fontId="126" fillId="57" borderId="34" xfId="102" applyNumberFormat="1" applyFont="1" applyFill="1" applyBorder="1" applyAlignment="1"/>
    <xf numFmtId="171" fontId="126" fillId="28" borderId="34" xfId="102" applyNumberFormat="1" applyFont="1" applyFill="1" applyBorder="1" applyAlignment="1"/>
    <xf numFmtId="44" fontId="103" fillId="0" borderId="33" xfId="102" applyFont="1" applyFill="1" applyBorder="1" applyAlignment="1"/>
    <xf numFmtId="171" fontId="126" fillId="0" borderId="34" xfId="102" applyNumberFormat="1" applyFont="1" applyFill="1" applyBorder="1" applyAlignment="1"/>
    <xf numFmtId="10" fontId="103" fillId="0" borderId="0" xfId="273" applyNumberFormat="1" applyFont="1" applyFill="1" applyBorder="1" applyAlignment="1">
      <alignment horizontal="center"/>
    </xf>
    <xf numFmtId="0" fontId="103" fillId="0" borderId="19" xfId="241" applyFont="1" applyBorder="1"/>
    <xf numFmtId="10" fontId="103" fillId="0" borderId="20" xfId="273" applyNumberFormat="1" applyFont="1" applyFill="1" applyBorder="1" applyAlignment="1">
      <alignment horizontal="center"/>
    </xf>
    <xf numFmtId="0" fontId="103" fillId="0" borderId="21" xfId="241" applyFont="1" applyBorder="1"/>
    <xf numFmtId="0" fontId="103" fillId="0" borderId="20" xfId="241" applyFont="1" applyBorder="1"/>
    <xf numFmtId="0" fontId="103" fillId="0" borderId="21" xfId="241" applyFont="1" applyBorder="1" applyAlignment="1">
      <alignment horizontal="left"/>
    </xf>
    <xf numFmtId="7" fontId="103" fillId="0" borderId="0" xfId="69" applyNumberFormat="1" applyFont="1" applyFill="1" applyBorder="1" applyAlignment="1">
      <alignment horizontal="center"/>
    </xf>
    <xf numFmtId="7" fontId="103" fillId="0" borderId="39" xfId="69" applyNumberFormat="1" applyFont="1" applyFill="1" applyBorder="1" applyAlignment="1">
      <alignment horizontal="center"/>
    </xf>
    <xf numFmtId="0" fontId="2" fillId="0" borderId="16" xfId="0" applyFont="1" applyBorder="1"/>
    <xf numFmtId="0" fontId="2" fillId="0" borderId="17" xfId="0" applyFont="1" applyBorder="1" applyAlignment="1">
      <alignment horizontal="center"/>
    </xf>
    <xf numFmtId="0" fontId="154" fillId="0" borderId="0" xfId="0" applyFont="1"/>
    <xf numFmtId="4" fontId="154" fillId="0" borderId="0" xfId="0" applyNumberFormat="1" applyFont="1"/>
    <xf numFmtId="42" fontId="154" fillId="0" borderId="11" xfId="0" applyNumberFormat="1" applyFont="1" applyBorder="1"/>
    <xf numFmtId="4" fontId="2" fillId="0" borderId="23" xfId="0" applyNumberFormat="1" applyFont="1" applyBorder="1"/>
    <xf numFmtId="44" fontId="1" fillId="0" borderId="11" xfId="0" applyNumberFormat="1" applyFont="1" applyBorder="1"/>
    <xf numFmtId="165" fontId="1" fillId="0" borderId="11" xfId="55" applyNumberFormat="1" applyFont="1" applyFill="1" applyBorder="1"/>
    <xf numFmtId="0" fontId="4" fillId="0" borderId="11" xfId="0" applyFont="1" applyBorder="1" applyAlignment="1">
      <alignment horizontal="right"/>
    </xf>
    <xf numFmtId="14" fontId="103" fillId="0" borderId="0" xfId="0" applyNumberFormat="1" applyFont="1"/>
    <xf numFmtId="0" fontId="126" fillId="0" borderId="16" xfId="0" applyFont="1" applyBorder="1"/>
    <xf numFmtId="0" fontId="126" fillId="0" borderId="17" xfId="0" applyFont="1" applyBorder="1" applyAlignment="1">
      <alignment horizontal="center"/>
    </xf>
    <xf numFmtId="0" fontId="126" fillId="0" borderId="10" xfId="0" applyFont="1" applyBorder="1" applyAlignment="1">
      <alignment horizontal="left"/>
    </xf>
    <xf numFmtId="0" fontId="126" fillId="0" borderId="11" xfId="0" applyFont="1" applyBorder="1" applyAlignment="1">
      <alignment horizontal="left"/>
    </xf>
    <xf numFmtId="0" fontId="103" fillId="57" borderId="10" xfId="0" applyFont="1" applyFill="1" applyBorder="1"/>
    <xf numFmtId="0" fontId="103" fillId="57" borderId="0" xfId="0" applyFont="1" applyFill="1"/>
    <xf numFmtId="42" fontId="103" fillId="57" borderId="0" xfId="0" applyNumberFormat="1" applyFont="1" applyFill="1"/>
    <xf numFmtId="4" fontId="103" fillId="57" borderId="0" xfId="0" applyNumberFormat="1" applyFont="1" applyFill="1"/>
    <xf numFmtId="42" fontId="103" fillId="57" borderId="11" xfId="0" applyNumberFormat="1" applyFont="1" applyFill="1" applyBorder="1"/>
    <xf numFmtId="0" fontId="151" fillId="57" borderId="0" xfId="0" applyFont="1" applyFill="1"/>
    <xf numFmtId="4" fontId="151" fillId="57" borderId="0" xfId="0" applyNumberFormat="1" applyFont="1" applyFill="1"/>
    <xf numFmtId="0" fontId="151" fillId="0" borderId="0" xfId="0" applyFont="1"/>
    <xf numFmtId="4" fontId="151" fillId="0" borderId="0" xfId="0" applyNumberFormat="1" applyFont="1"/>
    <xf numFmtId="42" fontId="151" fillId="0" borderId="11" xfId="0" applyNumberFormat="1" applyFont="1" applyBorder="1"/>
    <xf numFmtId="4" fontId="126" fillId="0" borderId="23" xfId="0" applyNumberFormat="1" applyFont="1" applyBorder="1"/>
    <xf numFmtId="44" fontId="103" fillId="0" borderId="0" xfId="55" applyFont="1"/>
    <xf numFmtId="44" fontId="103" fillId="0" borderId="11" xfId="0" applyNumberFormat="1" applyFont="1" applyBorder="1"/>
    <xf numFmtId="165" fontId="103" fillId="57" borderId="11" xfId="0" applyNumberFormat="1" applyFont="1" applyFill="1" applyBorder="1"/>
    <xf numFmtId="165" fontId="103" fillId="0" borderId="11" xfId="55" applyNumberFormat="1" applyFont="1" applyFill="1" applyBorder="1"/>
    <xf numFmtId="0" fontId="79" fillId="0" borderId="11" xfId="0" applyFont="1" applyBorder="1" applyAlignment="1">
      <alignment horizontal="right"/>
    </xf>
    <xf numFmtId="44" fontId="103" fillId="0" borderId="11" xfId="55" applyFont="1" applyFill="1" applyBorder="1"/>
    <xf numFmtId="9" fontId="103" fillId="0" borderId="20" xfId="0" applyNumberFormat="1" applyFont="1" applyBorder="1"/>
    <xf numFmtId="164" fontId="103" fillId="0" borderId="20" xfId="0" applyNumberFormat="1" applyFont="1" applyBorder="1"/>
    <xf numFmtId="44" fontId="103" fillId="0" borderId="20" xfId="55" applyFont="1" applyFill="1" applyBorder="1" applyAlignment="1"/>
    <xf numFmtId="44" fontId="126" fillId="28" borderId="34" xfId="55" applyFont="1" applyFill="1" applyBorder="1" applyAlignment="1"/>
    <xf numFmtId="171" fontId="126" fillId="28" borderId="34" xfId="55" applyNumberFormat="1" applyFont="1" applyFill="1" applyBorder="1" applyAlignment="1"/>
    <xf numFmtId="44" fontId="126" fillId="0" borderId="34" xfId="55" applyFont="1" applyFill="1" applyBorder="1" applyAlignment="1"/>
    <xf numFmtId="9" fontId="103" fillId="0" borderId="33" xfId="0" applyNumberFormat="1" applyFont="1" applyBorder="1"/>
    <xf numFmtId="164" fontId="103" fillId="0" borderId="33" xfId="0" applyNumberFormat="1" applyFont="1" applyBorder="1"/>
    <xf numFmtId="44" fontId="103" fillId="0" borderId="33" xfId="55" applyFont="1" applyFill="1" applyBorder="1" applyAlignment="1"/>
    <xf numFmtId="0" fontId="126" fillId="0" borderId="13" xfId="0" applyFont="1" applyBorder="1" applyAlignment="1">
      <alignment horizontal="center"/>
    </xf>
    <xf numFmtId="10" fontId="126" fillId="0" borderId="13" xfId="0" applyNumberFormat="1" applyFont="1" applyBorder="1"/>
    <xf numFmtId="44" fontId="103" fillId="0" borderId="13" xfId="55" applyFont="1" applyFill="1" applyBorder="1" applyAlignment="1"/>
    <xf numFmtId="44" fontId="126" fillId="0" borderId="13" xfId="55" applyFont="1" applyFill="1" applyBorder="1" applyAlignment="1"/>
    <xf numFmtId="9" fontId="103" fillId="0" borderId="0" xfId="0" applyNumberFormat="1" applyFont="1"/>
    <xf numFmtId="171" fontId="126" fillId="0" borderId="0" xfId="55" applyNumberFormat="1" applyFont="1" applyFill="1" applyBorder="1" applyAlignment="1"/>
    <xf numFmtId="0" fontId="156" fillId="0" borderId="0" xfId="0" applyFont="1"/>
    <xf numFmtId="168" fontId="126" fillId="0" borderId="19" xfId="0" applyNumberFormat="1" applyFont="1" applyBorder="1"/>
    <xf numFmtId="168" fontId="126" fillId="0" borderId="32" xfId="0" applyNumberFormat="1" applyFont="1" applyBorder="1"/>
    <xf numFmtId="0" fontId="157" fillId="0" borderId="10" xfId="0" applyFont="1" applyBorder="1"/>
    <xf numFmtId="165" fontId="103" fillId="57" borderId="0" xfId="0" applyNumberFormat="1" applyFont="1" applyFill="1"/>
    <xf numFmtId="44" fontId="126" fillId="28" borderId="0" xfId="55" applyFont="1" applyFill="1" applyBorder="1" applyAlignment="1"/>
    <xf numFmtId="44" fontId="126" fillId="0" borderId="0" xfId="55" applyFont="1" applyFill="1" applyBorder="1" applyAlignment="1"/>
    <xf numFmtId="42" fontId="126" fillId="0" borderId="0" xfId="0" applyNumberFormat="1" applyFont="1"/>
    <xf numFmtId="0" fontId="79" fillId="0" borderId="0" xfId="0" applyFont="1" applyAlignment="1">
      <alignment horizontal="right"/>
    </xf>
    <xf numFmtId="10" fontId="103" fillId="0" borderId="0" xfId="252" applyNumberFormat="1" applyFont="1" applyAlignment="1">
      <alignment horizontal="left"/>
    </xf>
    <xf numFmtId="10" fontId="103" fillId="0" borderId="0" xfId="252" applyNumberFormat="1" applyFont="1" applyFill="1" applyAlignment="1">
      <alignment horizontal="left"/>
    </xf>
    <xf numFmtId="0" fontId="157" fillId="0" borderId="0" xfId="0" applyFont="1"/>
    <xf numFmtId="171" fontId="126" fillId="60" borderId="34" xfId="55" applyNumberFormat="1" applyFont="1" applyFill="1" applyBorder="1" applyAlignment="1"/>
    <xf numFmtId="171" fontId="126" fillId="60" borderId="35" xfId="55" applyNumberFormat="1" applyFont="1" applyFill="1" applyBorder="1" applyAlignment="1"/>
    <xf numFmtId="165" fontId="1" fillId="0" borderId="0" xfId="55" applyNumberFormat="1" applyFont="1" applyFill="1" applyBorder="1" applyAlignment="1">
      <alignment horizontal="center"/>
    </xf>
    <xf numFmtId="0" fontId="2" fillId="0" borderId="18" xfId="0" applyFont="1" applyBorder="1"/>
    <xf numFmtId="165" fontId="103" fillId="0" borderId="0" xfId="55" applyNumberFormat="1" applyFont="1" applyFill="1" applyBorder="1" applyAlignment="1">
      <alignment horizontal="center"/>
    </xf>
    <xf numFmtId="0" fontId="126" fillId="0" borderId="18" xfId="0" applyFont="1" applyBorder="1"/>
    <xf numFmtId="0" fontId="134" fillId="0" borderId="0" xfId="0" applyFont="1" applyAlignment="1">
      <alignment horizontal="center"/>
    </xf>
    <xf numFmtId="42" fontId="134" fillId="0" borderId="0" xfId="0" applyNumberFormat="1" applyFont="1" applyAlignment="1">
      <alignment horizontal="center"/>
    </xf>
    <xf numFmtId="42" fontId="103" fillId="0" borderId="0" xfId="0" applyNumberFormat="1" applyFont="1" applyAlignment="1">
      <alignment horizontal="center"/>
    </xf>
    <xf numFmtId="10" fontId="103" fillId="0" borderId="0" xfId="252" applyNumberFormat="1" applyFont="1" applyFill="1" applyBorder="1" applyAlignment="1">
      <alignment horizontal="center"/>
    </xf>
    <xf numFmtId="0" fontId="103" fillId="0" borderId="16" xfId="0" applyFont="1" applyBorder="1"/>
    <xf numFmtId="10" fontId="126" fillId="0" borderId="23" xfId="0" applyNumberFormat="1" applyFont="1" applyBorder="1"/>
    <xf numFmtId="10" fontId="103" fillId="0" borderId="26" xfId="0" applyNumberFormat="1" applyFont="1" applyBorder="1"/>
    <xf numFmtId="10" fontId="103" fillId="0" borderId="0" xfId="252" applyNumberFormat="1" applyFont="1" applyFill="1" applyAlignment="1">
      <alignment horizontal="center"/>
    </xf>
    <xf numFmtId="43" fontId="103" fillId="0" borderId="0" xfId="32" applyFont="1"/>
    <xf numFmtId="9" fontId="126" fillId="0" borderId="28" xfId="0" applyNumberFormat="1" applyFont="1" applyBorder="1" applyAlignment="1">
      <alignment horizontal="center"/>
    </xf>
    <xf numFmtId="164" fontId="103" fillId="0" borderId="28" xfId="0" applyNumberFormat="1" applyFont="1" applyBorder="1"/>
    <xf numFmtId="44" fontId="103" fillId="0" borderId="28" xfId="55" applyFont="1" applyFill="1" applyBorder="1" applyAlignment="1"/>
    <xf numFmtId="44" fontId="126" fillId="28" borderId="14" xfId="55" applyFont="1" applyFill="1" applyBorder="1" applyAlignment="1"/>
    <xf numFmtId="44" fontId="103" fillId="0" borderId="34" xfId="0" applyNumberFormat="1" applyFont="1" applyBorder="1"/>
    <xf numFmtId="9" fontId="126" fillId="0" borderId="33" xfId="0" applyNumberFormat="1" applyFont="1" applyBorder="1" applyAlignment="1">
      <alignment horizontal="center"/>
    </xf>
    <xf numFmtId="44" fontId="126" fillId="0" borderId="34" xfId="0" applyNumberFormat="1" applyFont="1" applyBorder="1"/>
    <xf numFmtId="10" fontId="126" fillId="0" borderId="0" xfId="252" applyNumberFormat="1" applyFont="1" applyFill="1" applyBorder="1" applyAlignment="1"/>
    <xf numFmtId="168" fontId="126" fillId="0" borderId="10" xfId="0" applyNumberFormat="1" applyFont="1" applyBorder="1"/>
    <xf numFmtId="14" fontId="103" fillId="57" borderId="0" xfId="0" applyNumberFormat="1" applyFont="1" applyFill="1"/>
    <xf numFmtId="0" fontId="126" fillId="57" borderId="0" xfId="0" applyFont="1" applyFill="1" applyAlignment="1">
      <alignment horizontal="center"/>
    </xf>
    <xf numFmtId="0" fontId="126" fillId="57" borderId="0" xfId="0" applyFont="1" applyFill="1" applyAlignment="1">
      <alignment horizontal="center" vertical="center"/>
    </xf>
    <xf numFmtId="3" fontId="126" fillId="57" borderId="0" xfId="0" applyNumberFormat="1" applyFont="1" applyFill="1"/>
    <xf numFmtId="42" fontId="126" fillId="57" borderId="0" xfId="0" applyNumberFormat="1" applyFont="1" applyFill="1"/>
    <xf numFmtId="44" fontId="103" fillId="57" borderId="0" xfId="0" applyNumberFormat="1" applyFont="1" applyFill="1"/>
    <xf numFmtId="165" fontId="103" fillId="57" borderId="0" xfId="55" applyNumberFormat="1" applyFont="1" applyFill="1" applyBorder="1"/>
    <xf numFmtId="0" fontId="79" fillId="57" borderId="0" xfId="0" applyFont="1" applyFill="1" applyAlignment="1">
      <alignment horizontal="right"/>
    </xf>
    <xf numFmtId="44" fontId="103" fillId="57" borderId="0" xfId="55" applyFont="1" applyFill="1" applyBorder="1"/>
    <xf numFmtId="44" fontId="126" fillId="57" borderId="0" xfId="55" applyFont="1" applyFill="1" applyBorder="1" applyAlignment="1"/>
    <xf numFmtId="10" fontId="126" fillId="57" borderId="0" xfId="252" applyNumberFormat="1" applyFont="1" applyFill="1" applyBorder="1" applyAlignment="1"/>
    <xf numFmtId="0" fontId="127" fillId="57" borderId="0" xfId="0" applyFont="1" applyFill="1"/>
    <xf numFmtId="0" fontId="103" fillId="0" borderId="0" xfId="0" applyFont="1" applyAlignment="1">
      <alignment vertical="center"/>
    </xf>
    <xf numFmtId="0" fontId="134" fillId="0" borderId="0" xfId="0" applyFont="1"/>
    <xf numFmtId="0" fontId="103" fillId="0" borderId="0" xfId="0" applyFont="1" applyAlignment="1">
      <alignment wrapText="1"/>
    </xf>
    <xf numFmtId="0" fontId="103" fillId="0" borderId="10" xfId="0" applyFont="1" applyBorder="1" applyAlignment="1">
      <alignment horizontal="left"/>
    </xf>
    <xf numFmtId="10" fontId="103" fillId="0" borderId="10" xfId="0" applyNumberFormat="1" applyFont="1" applyBorder="1"/>
    <xf numFmtId="44" fontId="103" fillId="0" borderId="0" xfId="0" applyNumberFormat="1" applyFont="1" applyAlignment="1">
      <alignment horizontal="center"/>
    </xf>
    <xf numFmtId="9" fontId="126" fillId="0" borderId="20" xfId="0" applyNumberFormat="1" applyFont="1" applyBorder="1" applyAlignment="1">
      <alignment horizontal="center"/>
    </xf>
    <xf numFmtId="0" fontId="103" fillId="0" borderId="12" xfId="0" applyFont="1" applyBorder="1"/>
    <xf numFmtId="0" fontId="103" fillId="0" borderId="13" xfId="0" applyFont="1" applyBorder="1" applyAlignment="1">
      <alignment horizontal="center"/>
    </xf>
    <xf numFmtId="0" fontId="103" fillId="0" borderId="14" xfId="0" applyFont="1" applyBorder="1" applyAlignment="1">
      <alignment horizontal="center"/>
    </xf>
    <xf numFmtId="0" fontId="103" fillId="0" borderId="21" xfId="0" applyFont="1" applyBorder="1" applyAlignment="1">
      <alignment horizontal="center"/>
    </xf>
    <xf numFmtId="10" fontId="103" fillId="0" borderId="0" xfId="252" applyNumberFormat="1" applyFont="1" applyBorder="1" applyAlignment="1">
      <alignment horizontal="left"/>
    </xf>
    <xf numFmtId="42" fontId="154" fillId="0" borderId="0" xfId="0" applyNumberFormat="1" applyFont="1"/>
    <xf numFmtId="10" fontId="1" fillId="0" borderId="0" xfId="252" applyNumberFormat="1" applyFont="1" applyFill="1" applyBorder="1" applyAlignment="1">
      <alignment horizontal="left"/>
    </xf>
    <xf numFmtId="0" fontId="130" fillId="0" borderId="0" xfId="0" applyFont="1"/>
    <xf numFmtId="165" fontId="103" fillId="0" borderId="0" xfId="69" applyNumberFormat="1" applyFont="1" applyFill="1" applyBorder="1" applyAlignment="1">
      <alignment horizontal="center"/>
    </xf>
    <xf numFmtId="42" fontId="151" fillId="0" borderId="0" xfId="0" applyNumberFormat="1" applyFont="1"/>
    <xf numFmtId="165" fontId="103" fillId="0" borderId="11" xfId="69" applyNumberFormat="1" applyFont="1" applyFill="1" applyBorder="1"/>
    <xf numFmtId="165" fontId="103" fillId="0" borderId="0" xfId="69" applyNumberFormat="1" applyFont="1" applyFill="1" applyBorder="1"/>
    <xf numFmtId="44" fontId="103" fillId="0" borderId="11" xfId="69" applyFont="1" applyFill="1" applyBorder="1"/>
    <xf numFmtId="44" fontId="103" fillId="0" borderId="20" xfId="69" applyFont="1" applyFill="1" applyBorder="1" applyAlignment="1"/>
    <xf numFmtId="44" fontId="103" fillId="0" borderId="33" xfId="69" applyFont="1" applyFill="1" applyBorder="1" applyAlignment="1"/>
    <xf numFmtId="10" fontId="134" fillId="0" borderId="0" xfId="252" applyNumberFormat="1" applyFont="1" applyBorder="1" applyAlignment="1">
      <alignment horizontal="center"/>
    </xf>
    <xf numFmtId="10" fontId="103" fillId="0" borderId="0" xfId="252" applyNumberFormat="1" applyFont="1" applyBorder="1" applyAlignment="1">
      <alignment horizontal="center"/>
    </xf>
    <xf numFmtId="0" fontId="126" fillId="0" borderId="0" xfId="0" applyFont="1" applyAlignment="1">
      <alignment horizontal="center" vertical="center"/>
    </xf>
    <xf numFmtId="0" fontId="126" fillId="0" borderId="0" xfId="0" applyFont="1" applyAlignment="1">
      <alignment horizontal="center" vertical="center" wrapText="1"/>
    </xf>
    <xf numFmtId="22" fontId="1" fillId="0" borderId="0" xfId="0" applyNumberFormat="1" applyFont="1"/>
    <xf numFmtId="0" fontId="2" fillId="0" borderId="19" xfId="0" applyFont="1" applyBorder="1"/>
    <xf numFmtId="44" fontId="2" fillId="28" borderId="21" xfId="55" applyFont="1" applyFill="1" applyBorder="1"/>
    <xf numFmtId="44" fontId="2" fillId="0" borderId="0" xfId="55" applyFont="1" applyFill="1" applyBorder="1"/>
    <xf numFmtId="0" fontId="103" fillId="0" borderId="105" xfId="0" applyFont="1" applyBorder="1"/>
    <xf numFmtId="0" fontId="103" fillId="0" borderId="106" xfId="0" applyFont="1" applyBorder="1"/>
    <xf numFmtId="10" fontId="103" fillId="0" borderId="106" xfId="0" applyNumberFormat="1" applyFont="1" applyBorder="1"/>
    <xf numFmtId="165" fontId="103" fillId="0" borderId="107" xfId="55" applyNumberFormat="1" applyFont="1" applyFill="1" applyBorder="1"/>
    <xf numFmtId="0" fontId="126" fillId="0" borderId="19" xfId="0" applyFont="1" applyBorder="1"/>
    <xf numFmtId="44" fontId="126" fillId="28" borderId="21" xfId="55" applyFont="1" applyFill="1" applyBorder="1"/>
    <xf numFmtId="44" fontId="126" fillId="0" borderId="0" xfId="55" applyFont="1" applyFill="1" applyBorder="1"/>
    <xf numFmtId="165" fontId="103" fillId="0" borderId="0" xfId="55" applyNumberFormat="1" applyFont="1" applyFill="1" applyBorder="1" applyAlignment="1"/>
    <xf numFmtId="44" fontId="126" fillId="28" borderId="11" xfId="55" applyFont="1" applyFill="1" applyBorder="1"/>
    <xf numFmtId="0" fontId="103" fillId="0" borderId="36" xfId="0" applyFont="1" applyBorder="1"/>
    <xf numFmtId="9" fontId="103" fillId="0" borderId="16" xfId="0" applyNumberFormat="1" applyFont="1" applyBorder="1"/>
    <xf numFmtId="44" fontId="103" fillId="0" borderId="16" xfId="55" applyFont="1" applyFill="1" applyBorder="1" applyAlignment="1"/>
    <xf numFmtId="44" fontId="103" fillId="0" borderId="35" xfId="55" applyFont="1" applyFill="1" applyBorder="1" applyAlignment="1"/>
    <xf numFmtId="44" fontId="126" fillId="0" borderId="11" xfId="55" applyFont="1" applyFill="1" applyBorder="1"/>
    <xf numFmtId="0" fontId="103" fillId="0" borderId="0" xfId="0" applyFont="1" applyAlignment="1">
      <alignment horizontal="left"/>
    </xf>
    <xf numFmtId="3" fontId="103" fillId="0" borderId="11" xfId="0" applyNumberFormat="1" applyFont="1" applyBorder="1"/>
    <xf numFmtId="0" fontId="103" fillId="0" borderId="15" xfId="0" applyFont="1" applyBorder="1"/>
    <xf numFmtId="0" fontId="103" fillId="0" borderId="16" xfId="0" applyFont="1" applyBorder="1" applyAlignment="1">
      <alignment horizontal="center"/>
    </xf>
    <xf numFmtId="0" fontId="103" fillId="0" borderId="17" xfId="0" applyFont="1" applyBorder="1" applyAlignment="1">
      <alignment horizontal="center"/>
    </xf>
    <xf numFmtId="0" fontId="103" fillId="0" borderId="0" xfId="0" applyFont="1" applyAlignment="1">
      <alignment horizontal="center" wrapText="1"/>
    </xf>
    <xf numFmtId="0" fontId="103" fillId="0" borderId="22" xfId="0" applyFont="1" applyBorder="1"/>
    <xf numFmtId="0" fontId="103" fillId="0" borderId="23" xfId="0" applyFont="1" applyBorder="1"/>
    <xf numFmtId="4" fontId="103" fillId="0" borderId="23" xfId="0" applyNumberFormat="1" applyFont="1" applyBorder="1"/>
    <xf numFmtId="42" fontId="103" fillId="0" borderId="24" xfId="0" applyNumberFormat="1" applyFont="1" applyBorder="1"/>
    <xf numFmtId="44" fontId="103" fillId="0" borderId="23" xfId="0" applyNumberFormat="1" applyFont="1" applyBorder="1"/>
    <xf numFmtId="0" fontId="103" fillId="0" borderId="25" xfId="0" applyFont="1" applyBorder="1"/>
    <xf numFmtId="42" fontId="103" fillId="0" borderId="27" xfId="0" applyNumberFormat="1" applyFont="1" applyBorder="1"/>
    <xf numFmtId="0" fontId="128" fillId="0" borderId="11" xfId="0" applyFont="1" applyBorder="1" applyAlignment="1">
      <alignment horizontal="right"/>
    </xf>
    <xf numFmtId="9" fontId="126" fillId="0" borderId="30" xfId="0" applyNumberFormat="1" applyFont="1" applyBorder="1" applyAlignment="1">
      <alignment horizontal="center"/>
    </xf>
    <xf numFmtId="164" fontId="103" fillId="0" borderId="30" xfId="0" applyNumberFormat="1" applyFont="1" applyBorder="1"/>
    <xf numFmtId="44" fontId="103" fillId="0" borderId="30" xfId="55" applyFont="1" applyFill="1" applyBorder="1" applyAlignment="1"/>
    <xf numFmtId="10" fontId="103" fillId="0" borderId="33" xfId="0" applyNumberFormat="1" applyFont="1" applyBorder="1"/>
    <xf numFmtId="44" fontId="126" fillId="0" borderId="35" xfId="55" applyFont="1" applyFill="1" applyBorder="1" applyAlignment="1"/>
    <xf numFmtId="49" fontId="103" fillId="0" borderId="0" xfId="0" applyNumberFormat="1" applyFont="1"/>
    <xf numFmtId="8" fontId="126" fillId="0" borderId="0" xfId="55" applyNumberFormat="1" applyFont="1" applyFill="1" applyBorder="1" applyAlignment="1"/>
    <xf numFmtId="0" fontId="103" fillId="0" borderId="31" xfId="0" applyFont="1" applyBorder="1"/>
    <xf numFmtId="2" fontId="103" fillId="0" borderId="11" xfId="0" applyNumberFormat="1" applyFont="1" applyBorder="1"/>
    <xf numFmtId="2" fontId="103" fillId="0" borderId="16" xfId="0" applyNumberFormat="1" applyFont="1" applyBorder="1"/>
    <xf numFmtId="4" fontId="103" fillId="0" borderId="16" xfId="0" applyNumberFormat="1" applyFont="1" applyBorder="1"/>
    <xf numFmtId="2" fontId="103" fillId="0" borderId="17" xfId="0" applyNumberFormat="1" applyFont="1" applyBorder="1"/>
    <xf numFmtId="2" fontId="103" fillId="0" borderId="21" xfId="0" applyNumberFormat="1" applyFont="1" applyBorder="1"/>
    <xf numFmtId="0" fontId="103" fillId="28" borderId="32" xfId="0" applyFont="1" applyFill="1" applyBorder="1"/>
    <xf numFmtId="0" fontId="103" fillId="28" borderId="33" xfId="0" applyFont="1" applyFill="1" applyBorder="1"/>
    <xf numFmtId="0" fontId="103" fillId="28" borderId="34" xfId="0" applyFont="1" applyFill="1" applyBorder="1"/>
    <xf numFmtId="44" fontId="126" fillId="0" borderId="40" xfId="55" applyFont="1" applyFill="1" applyBorder="1" applyAlignment="1"/>
    <xf numFmtId="167" fontId="103" fillId="0" borderId="0" xfId="252" applyNumberFormat="1" applyFont="1" applyFill="1" applyAlignment="1">
      <alignment horizontal="center"/>
    </xf>
    <xf numFmtId="44" fontId="126" fillId="0" borderId="47" xfId="55" applyFont="1" applyFill="1" applyBorder="1" applyAlignment="1"/>
    <xf numFmtId="0" fontId="103" fillId="0" borderId="10" xfId="0" applyFont="1" applyBorder="1" applyAlignment="1">
      <alignment horizontal="center"/>
    </xf>
    <xf numFmtId="44" fontId="103" fillId="0" borderId="21" xfId="55" applyFont="1" applyFill="1" applyBorder="1"/>
    <xf numFmtId="44" fontId="126" fillId="28" borderId="21" xfId="55" applyFont="1" applyFill="1" applyBorder="1" applyAlignment="1"/>
    <xf numFmtId="169" fontId="103" fillId="0" borderId="0" xfId="0" applyNumberFormat="1" applyFont="1" applyAlignment="1">
      <alignment horizontal="right"/>
    </xf>
    <xf numFmtId="165" fontId="103" fillId="0" borderId="11" xfId="0" applyNumberFormat="1" applyFont="1" applyBorder="1" applyAlignment="1">
      <alignment horizontal="center"/>
    </xf>
    <xf numFmtId="165" fontId="103" fillId="0" borderId="0" xfId="0" applyNumberFormat="1" applyFont="1" applyAlignment="1">
      <alignment horizontal="center"/>
    </xf>
    <xf numFmtId="182" fontId="103" fillId="0" borderId="0" xfId="0" applyNumberFormat="1" applyFont="1" applyAlignment="1">
      <alignment horizontal="center"/>
    </xf>
    <xf numFmtId="9" fontId="103" fillId="0" borderId="0" xfId="252" applyFont="1" applyFill="1" applyBorder="1"/>
    <xf numFmtId="10" fontId="126" fillId="0" borderId="0" xfId="252" applyNumberFormat="1" applyFont="1" applyFill="1" applyAlignment="1">
      <alignment horizontal="left" wrapText="1"/>
    </xf>
    <xf numFmtId="16" fontId="126" fillId="0" borderId="0" xfId="0" quotePrefix="1" applyNumberFormat="1" applyFont="1"/>
    <xf numFmtId="171" fontId="0" fillId="0" borderId="43" xfId="0" applyNumberFormat="1" applyBorder="1" applyAlignment="1">
      <alignment horizontal="right" vertical="center"/>
    </xf>
    <xf numFmtId="171" fontId="0" fillId="0" borderId="44" xfId="0" applyNumberFormat="1" applyBorder="1" applyAlignment="1">
      <alignment horizontal="right" vertical="center"/>
    </xf>
    <xf numFmtId="0" fontId="76" fillId="0" borderId="14" xfId="0" applyFont="1" applyBorder="1" applyAlignment="1">
      <alignment horizontal="left" vertical="center" wrapText="1"/>
    </xf>
    <xf numFmtId="0" fontId="76" fillId="0" borderId="21" xfId="0" applyFont="1" applyBorder="1" applyAlignment="1">
      <alignment horizontal="left" vertical="center" wrapText="1"/>
    </xf>
    <xf numFmtId="0" fontId="76" fillId="0" borderId="11" xfId="0" applyFont="1" applyBorder="1" applyAlignment="1">
      <alignment horizontal="left" vertical="center" wrapText="1"/>
    </xf>
    <xf numFmtId="0" fontId="76" fillId="0" borderId="13" xfId="0" applyFont="1" applyBorder="1" applyAlignment="1">
      <alignment vertical="top" wrapText="1"/>
    </xf>
    <xf numFmtId="0" fontId="76" fillId="0" borderId="20" xfId="0" applyFont="1" applyBorder="1" applyAlignment="1">
      <alignment vertical="top" wrapText="1"/>
    </xf>
    <xf numFmtId="0" fontId="76" fillId="0" borderId="13" xfId="0" applyFont="1" applyBorder="1" applyAlignment="1">
      <alignment horizontal="left" vertical="top" wrapText="1"/>
    </xf>
    <xf numFmtId="0" fontId="76" fillId="0" borderId="20" xfId="0" applyFont="1" applyBorder="1" applyAlignment="1">
      <alignment horizontal="left" vertical="top" wrapText="1"/>
    </xf>
    <xf numFmtId="0" fontId="120" fillId="0" borderId="32" xfId="0" applyFont="1" applyBorder="1" applyAlignment="1">
      <alignment horizontal="center" vertical="center" wrapText="1"/>
    </xf>
    <xf numFmtId="0" fontId="120" fillId="0" borderId="33" xfId="0" applyFont="1" applyBorder="1" applyAlignment="1">
      <alignment horizontal="center" vertical="center" wrapText="1"/>
    </xf>
    <xf numFmtId="0" fontId="120" fillId="0" borderId="14" xfId="0" applyFont="1" applyBorder="1" applyAlignment="1">
      <alignment horizontal="center" vertical="center" wrapText="1"/>
    </xf>
    <xf numFmtId="0" fontId="120" fillId="0" borderId="34" xfId="0" applyFont="1" applyBorder="1" applyAlignment="1">
      <alignment horizontal="center" vertical="center" wrapText="1"/>
    </xf>
    <xf numFmtId="0" fontId="31" fillId="24" borderId="13" xfId="316" applyFont="1" applyFill="1" applyBorder="1" applyAlignment="1">
      <alignment horizontal="left"/>
    </xf>
    <xf numFmtId="0" fontId="31" fillId="24" borderId="14" xfId="316" applyFont="1" applyFill="1" applyBorder="1" applyAlignment="1">
      <alignment horizontal="left"/>
    </xf>
    <xf numFmtId="0" fontId="112" fillId="0" borderId="39" xfId="317" applyBorder="1" applyAlignment="1">
      <alignment horizontal="right"/>
    </xf>
    <xf numFmtId="0" fontId="112" fillId="0" borderId="0" xfId="317" applyAlignment="1">
      <alignment horizontal="right"/>
    </xf>
    <xf numFmtId="0" fontId="53" fillId="0" borderId="14" xfId="320" applyBorder="1" applyAlignment="1">
      <alignment horizontal="left" vertical="center" wrapText="1"/>
    </xf>
    <xf numFmtId="0" fontId="53" fillId="0" borderId="21" xfId="320" applyBorder="1" applyAlignment="1">
      <alignment horizontal="left" vertical="center" wrapText="1"/>
    </xf>
    <xf numFmtId="0" fontId="53" fillId="0" borderId="13" xfId="320" applyBorder="1" applyAlignment="1">
      <alignment horizontal="left" vertical="top" wrapText="1"/>
    </xf>
    <xf numFmtId="0" fontId="53" fillId="0" borderId="20" xfId="320" applyBorder="1" applyAlignment="1">
      <alignment horizontal="left" vertical="top" wrapText="1"/>
    </xf>
    <xf numFmtId="0" fontId="53" fillId="0" borderId="11" xfId="320" applyBorder="1" applyAlignment="1">
      <alignment horizontal="left" vertical="center" wrapText="1"/>
    </xf>
    <xf numFmtId="49" fontId="53" fillId="0" borderId="14" xfId="320" applyNumberFormat="1" applyBorder="1" applyAlignment="1">
      <alignment horizontal="left" vertical="center" wrapText="1"/>
    </xf>
    <xf numFmtId="49" fontId="53" fillId="0" borderId="21" xfId="320" applyNumberFormat="1" applyBorder="1" applyAlignment="1">
      <alignment horizontal="left" vertical="center" wrapText="1"/>
    </xf>
    <xf numFmtId="0" fontId="53" fillId="0" borderId="13" xfId="320" applyBorder="1" applyAlignment="1">
      <alignment vertical="top" wrapText="1"/>
    </xf>
    <xf numFmtId="0" fontId="53" fillId="0" borderId="20" xfId="320" applyBorder="1" applyAlignment="1">
      <alignment vertical="top" wrapText="1"/>
    </xf>
    <xf numFmtId="0" fontId="53" fillId="0" borderId="0" xfId="320" applyAlignment="1">
      <alignment horizontal="left" vertical="top" wrapText="1"/>
    </xf>
    <xf numFmtId="0" fontId="53" fillId="0" borderId="0" xfId="320" applyAlignment="1">
      <alignment horizontal="center"/>
    </xf>
    <xf numFmtId="0" fontId="135" fillId="0" borderId="0" xfId="320" applyFont="1" applyAlignment="1">
      <alignment horizontal="center"/>
    </xf>
    <xf numFmtId="0" fontId="113" fillId="0" borderId="0" xfId="223" applyFont="1" applyAlignment="1">
      <alignment horizontal="left" vertical="top" wrapText="1"/>
    </xf>
    <xf numFmtId="0" fontId="113" fillId="0" borderId="0" xfId="223" applyFont="1" applyAlignment="1">
      <alignment horizontal="center"/>
    </xf>
    <xf numFmtId="0" fontId="113" fillId="0" borderId="14" xfId="223" applyFont="1" applyBorder="1" applyAlignment="1">
      <alignment horizontal="left" vertical="center" wrapText="1"/>
    </xf>
    <xf numFmtId="0" fontId="113" fillId="0" borderId="21" xfId="223" applyFont="1" applyBorder="1" applyAlignment="1">
      <alignment horizontal="left" vertical="center" wrapText="1"/>
    </xf>
    <xf numFmtId="0" fontId="113" fillId="0" borderId="13" xfId="223" applyFont="1" applyBorder="1" applyAlignment="1">
      <alignment vertical="top" wrapText="1"/>
    </xf>
    <xf numFmtId="0" fontId="113" fillId="0" borderId="20" xfId="223" applyFont="1" applyBorder="1" applyAlignment="1">
      <alignment vertical="top" wrapText="1"/>
    </xf>
    <xf numFmtId="49" fontId="113" fillId="0" borderId="14" xfId="223" applyNumberFormat="1" applyFont="1" applyBorder="1" applyAlignment="1">
      <alignment horizontal="left" vertical="center" wrapText="1"/>
    </xf>
    <xf numFmtId="49" fontId="113" fillId="0" borderId="21" xfId="223" applyNumberFormat="1" applyFont="1" applyBorder="1" applyAlignment="1">
      <alignment horizontal="left" vertical="center" wrapText="1"/>
    </xf>
    <xf numFmtId="0" fontId="113" fillId="0" borderId="13" xfId="223" applyFont="1" applyBorder="1" applyAlignment="1">
      <alignment horizontal="left" vertical="top" wrapText="1"/>
    </xf>
    <xf numFmtId="0" fontId="113" fillId="0" borderId="20" xfId="223" applyFont="1" applyBorder="1" applyAlignment="1">
      <alignment horizontal="left" vertical="top" wrapText="1"/>
    </xf>
    <xf numFmtId="0" fontId="113" fillId="0" borderId="11" xfId="223" applyFont="1" applyBorder="1" applyAlignment="1">
      <alignment horizontal="left" vertical="center" wrapText="1"/>
    </xf>
    <xf numFmtId="171" fontId="113" fillId="0" borderId="43" xfId="223" applyNumberFormat="1" applyFont="1" applyBorder="1" applyAlignment="1">
      <alignment horizontal="right" vertical="center"/>
    </xf>
    <xf numFmtId="171" fontId="113" fillId="0" borderId="44" xfId="223" applyNumberFormat="1" applyFont="1" applyBorder="1" applyAlignment="1">
      <alignment horizontal="right" vertical="center"/>
    </xf>
    <xf numFmtId="0" fontId="31" fillId="24" borderId="13" xfId="314" applyFont="1" applyFill="1" applyBorder="1" applyAlignment="1">
      <alignment horizontal="left"/>
    </xf>
    <xf numFmtId="0" fontId="31" fillId="24" borderId="14" xfId="314" applyFont="1" applyFill="1" applyBorder="1" applyAlignment="1">
      <alignment horizontal="left"/>
    </xf>
    <xf numFmtId="0" fontId="112" fillId="0" borderId="39" xfId="315" applyBorder="1" applyAlignment="1">
      <alignment horizontal="right"/>
    </xf>
    <xf numFmtId="0" fontId="112" fillId="0" borderId="0" xfId="315" applyAlignment="1">
      <alignment horizontal="right"/>
    </xf>
    <xf numFmtId="0" fontId="1" fillId="0" borderId="39" xfId="210" applyBorder="1" applyAlignment="1">
      <alignment horizontal="right"/>
    </xf>
    <xf numFmtId="0" fontId="1" fillId="0" borderId="0" xfId="210" applyAlignment="1">
      <alignment horizontal="right"/>
    </xf>
    <xf numFmtId="0" fontId="1" fillId="0" borderId="39" xfId="214" applyBorder="1" applyAlignment="1">
      <alignment horizontal="right"/>
    </xf>
    <xf numFmtId="0" fontId="1" fillId="0" borderId="0" xfId="214" applyAlignment="1">
      <alignment horizontal="right"/>
    </xf>
    <xf numFmtId="0" fontId="103" fillId="41" borderId="0" xfId="0" applyFont="1" applyFill="1" applyAlignment="1">
      <alignment horizontal="center" vertical="center"/>
    </xf>
    <xf numFmtId="0" fontId="126" fillId="61" borderId="12" xfId="0" applyFont="1" applyFill="1" applyBorder="1" applyAlignment="1">
      <alignment horizontal="center" wrapText="1"/>
    </xf>
    <xf numFmtId="0" fontId="126" fillId="61" borderId="13" xfId="0" applyFont="1" applyFill="1" applyBorder="1" applyAlignment="1">
      <alignment horizontal="center"/>
    </xf>
    <xf numFmtId="0" fontId="126" fillId="61" borderId="14" xfId="0" applyFont="1" applyFill="1" applyBorder="1" applyAlignment="1">
      <alignment horizontal="center"/>
    </xf>
    <xf numFmtId="0" fontId="126" fillId="61" borderId="19" xfId="0" applyFont="1" applyFill="1" applyBorder="1" applyAlignment="1">
      <alignment horizontal="center"/>
    </xf>
    <xf numFmtId="0" fontId="126" fillId="61" borderId="20" xfId="0" applyFont="1" applyFill="1" applyBorder="1" applyAlignment="1">
      <alignment horizontal="center"/>
    </xf>
    <xf numFmtId="0" fontId="126" fillId="61" borderId="21" xfId="0" applyFont="1" applyFill="1" applyBorder="1" applyAlignment="1">
      <alignment horizontal="center"/>
    </xf>
    <xf numFmtId="0" fontId="126" fillId="61" borderId="13" xfId="0" applyFont="1" applyFill="1" applyBorder="1" applyAlignment="1">
      <alignment horizontal="center" wrapText="1"/>
    </xf>
    <xf numFmtId="0" fontId="126" fillId="61" borderId="14" xfId="0" applyFont="1" applyFill="1" applyBorder="1" applyAlignment="1">
      <alignment horizontal="center" wrapText="1"/>
    </xf>
    <xf numFmtId="0" fontId="126" fillId="61" borderId="19" xfId="0" applyFont="1" applyFill="1" applyBorder="1" applyAlignment="1">
      <alignment horizontal="center" wrapText="1"/>
    </xf>
    <xf numFmtId="0" fontId="126" fillId="61" borderId="20" xfId="0" applyFont="1" applyFill="1" applyBorder="1" applyAlignment="1">
      <alignment horizontal="center" wrapText="1"/>
    </xf>
    <xf numFmtId="0" fontId="126" fillId="61" borderId="21" xfId="0" applyFont="1" applyFill="1" applyBorder="1" applyAlignment="1">
      <alignment horizontal="center" wrapText="1"/>
    </xf>
    <xf numFmtId="0" fontId="126" fillId="0" borderId="13" xfId="0" applyFont="1" applyBorder="1" applyAlignment="1">
      <alignment horizontal="right"/>
    </xf>
    <xf numFmtId="0" fontId="126" fillId="0" borderId="0" xfId="0" quotePrefix="1" applyFont="1" applyAlignment="1">
      <alignment horizontal="right"/>
    </xf>
    <xf numFmtId="0" fontId="126" fillId="37" borderId="32" xfId="0" applyFont="1" applyFill="1" applyBorder="1" applyAlignment="1">
      <alignment horizontal="center"/>
    </xf>
    <xf numFmtId="0" fontId="126" fillId="37" borderId="33" xfId="0" applyFont="1" applyFill="1" applyBorder="1" applyAlignment="1">
      <alignment horizontal="center"/>
    </xf>
    <xf numFmtId="0" fontId="126" fillId="37" borderId="34" xfId="0" applyFont="1" applyFill="1" applyBorder="1" applyAlignment="1">
      <alignment horizontal="center"/>
    </xf>
    <xf numFmtId="0" fontId="126" fillId="54" borderId="19" xfId="0" applyFont="1" applyFill="1" applyBorder="1" applyAlignment="1">
      <alignment horizontal="center"/>
    </xf>
    <xf numFmtId="0" fontId="126" fillId="54" borderId="20" xfId="0" applyFont="1" applyFill="1" applyBorder="1" applyAlignment="1">
      <alignment horizontal="center"/>
    </xf>
    <xf numFmtId="0" fontId="126" fillId="54" borderId="21" xfId="0" applyFont="1" applyFill="1" applyBorder="1" applyAlignment="1">
      <alignment horizontal="center"/>
    </xf>
    <xf numFmtId="0" fontId="126" fillId="0" borderId="18" xfId="0" applyFont="1" applyBorder="1" applyAlignment="1">
      <alignment horizontal="left"/>
    </xf>
    <xf numFmtId="0" fontId="126" fillId="0" borderId="28" xfId="0" applyFont="1" applyBorder="1" applyAlignment="1">
      <alignment horizontal="left"/>
    </xf>
    <xf numFmtId="0" fontId="126" fillId="0" borderId="99" xfId="0" applyFont="1" applyBorder="1" applyAlignment="1">
      <alignment horizontal="left"/>
    </xf>
    <xf numFmtId="0" fontId="126" fillId="45" borderId="12" xfId="0" applyFont="1" applyFill="1" applyBorder="1" applyAlignment="1">
      <alignment horizontal="center" vertical="center" wrapText="1"/>
    </xf>
    <xf numFmtId="0" fontId="126" fillId="45" borderId="13" xfId="0" applyFont="1" applyFill="1" applyBorder="1" applyAlignment="1">
      <alignment horizontal="center" vertical="center"/>
    </xf>
    <xf numFmtId="0" fontId="126" fillId="45" borderId="14" xfId="0" applyFont="1" applyFill="1" applyBorder="1" applyAlignment="1">
      <alignment horizontal="center" vertical="center"/>
    </xf>
    <xf numFmtId="0" fontId="126" fillId="37" borderId="32" xfId="0" applyFont="1" applyFill="1" applyBorder="1" applyAlignment="1">
      <alignment horizontal="center" vertical="center"/>
    </xf>
    <xf numFmtId="0" fontId="126" fillId="37" borderId="33" xfId="0" applyFont="1" applyFill="1" applyBorder="1" applyAlignment="1">
      <alignment horizontal="center" vertical="center"/>
    </xf>
    <xf numFmtId="0" fontId="126" fillId="37" borderId="34" xfId="0" applyFont="1" applyFill="1" applyBorder="1" applyAlignment="1">
      <alignment horizontal="center" vertical="center"/>
    </xf>
    <xf numFmtId="0" fontId="126" fillId="37" borderId="20" xfId="0" applyFont="1" applyFill="1" applyBorder="1" applyAlignment="1">
      <alignment horizontal="center" vertical="center"/>
    </xf>
    <xf numFmtId="0" fontId="126" fillId="29" borderId="12" xfId="0" applyFont="1" applyFill="1" applyBorder="1" applyAlignment="1">
      <alignment horizontal="center" vertical="center" wrapText="1"/>
    </xf>
    <xf numFmtId="0" fontId="126" fillId="29" borderId="13" xfId="0" applyFont="1" applyFill="1" applyBorder="1" applyAlignment="1">
      <alignment horizontal="center" vertical="center" wrapText="1"/>
    </xf>
    <xf numFmtId="0" fontId="126" fillId="29" borderId="14" xfId="0" applyFont="1" applyFill="1" applyBorder="1" applyAlignment="1">
      <alignment horizontal="center" vertical="center" wrapText="1"/>
    </xf>
    <xf numFmtId="0" fontId="126" fillId="29" borderId="13" xfId="0" applyFont="1" applyFill="1" applyBorder="1" applyAlignment="1">
      <alignment horizontal="center" vertical="center"/>
    </xf>
    <xf numFmtId="0" fontId="126" fillId="29" borderId="14" xfId="0" applyFont="1" applyFill="1" applyBorder="1" applyAlignment="1">
      <alignment horizontal="center" vertical="center"/>
    </xf>
    <xf numFmtId="0" fontId="141" fillId="41" borderId="0" xfId="0" applyFont="1" applyFill="1" applyAlignment="1">
      <alignment horizontal="center" vertical="center"/>
    </xf>
    <xf numFmtId="0" fontId="2" fillId="45" borderId="12" xfId="0" applyFont="1" applyFill="1" applyBorder="1" applyAlignment="1">
      <alignment horizontal="center" vertical="center" wrapText="1"/>
    </xf>
    <xf numFmtId="0" fontId="2" fillId="45" borderId="13" xfId="0" applyFont="1" applyFill="1" applyBorder="1" applyAlignment="1">
      <alignment horizontal="center" vertical="center" wrapText="1"/>
    </xf>
    <xf numFmtId="0" fontId="2" fillId="45" borderId="14" xfId="0" applyFont="1" applyFill="1" applyBorder="1" applyAlignment="1">
      <alignment horizontal="center" vertical="center" wrapText="1"/>
    </xf>
    <xf numFmtId="0" fontId="2" fillId="45" borderId="19" xfId="0" applyFont="1" applyFill="1" applyBorder="1" applyAlignment="1">
      <alignment horizontal="center" vertical="center" wrapText="1"/>
    </xf>
    <xf numFmtId="0" fontId="2" fillId="45" borderId="20" xfId="0" applyFont="1" applyFill="1" applyBorder="1" applyAlignment="1">
      <alignment horizontal="center" vertical="center" wrapText="1"/>
    </xf>
    <xf numFmtId="0" fontId="2" fillId="45" borderId="21" xfId="0" applyFont="1" applyFill="1" applyBorder="1" applyAlignment="1">
      <alignment horizontal="center" vertical="center" wrapText="1"/>
    </xf>
    <xf numFmtId="0" fontId="126" fillId="45" borderId="13" xfId="0" applyFont="1" applyFill="1" applyBorder="1" applyAlignment="1">
      <alignment horizontal="center" vertical="center" wrapText="1"/>
    </xf>
    <xf numFmtId="0" fontId="126" fillId="45" borderId="14" xfId="0" applyFont="1" applyFill="1" applyBorder="1" applyAlignment="1">
      <alignment horizontal="center" vertical="center" wrapText="1"/>
    </xf>
    <xf numFmtId="0" fontId="126" fillId="45" borderId="19" xfId="0" applyFont="1" applyFill="1" applyBorder="1" applyAlignment="1">
      <alignment horizontal="center" vertical="center" wrapText="1"/>
    </xf>
    <xf numFmtId="0" fontId="126" fillId="45" borderId="20" xfId="0" applyFont="1" applyFill="1" applyBorder="1" applyAlignment="1">
      <alignment horizontal="center" vertical="center" wrapText="1"/>
    </xf>
    <xf numFmtId="0" fontId="126" fillId="45" borderId="21" xfId="0" applyFont="1" applyFill="1" applyBorder="1" applyAlignment="1">
      <alignment horizontal="center" vertical="center" wrapText="1"/>
    </xf>
    <xf numFmtId="0" fontId="103" fillId="41" borderId="20" xfId="0" applyFont="1" applyFill="1" applyBorder="1" applyAlignment="1">
      <alignment horizontal="center"/>
    </xf>
    <xf numFmtId="0" fontId="103" fillId="61" borderId="12" xfId="0" applyFont="1" applyFill="1" applyBorder="1" applyAlignment="1">
      <alignment horizontal="center" wrapText="1"/>
    </xf>
    <xf numFmtId="0" fontId="103" fillId="61" borderId="13" xfId="0" applyFont="1" applyFill="1" applyBorder="1" applyAlignment="1">
      <alignment horizontal="center"/>
    </xf>
    <xf numFmtId="0" fontId="103" fillId="61" borderId="14" xfId="0" applyFont="1" applyFill="1" applyBorder="1" applyAlignment="1">
      <alignment horizontal="center"/>
    </xf>
    <xf numFmtId="0" fontId="103" fillId="61" borderId="19" xfId="0" applyFont="1" applyFill="1" applyBorder="1" applyAlignment="1">
      <alignment horizontal="center"/>
    </xf>
    <xf numFmtId="0" fontId="103" fillId="61" borderId="20" xfId="0" applyFont="1" applyFill="1" applyBorder="1" applyAlignment="1">
      <alignment horizontal="center"/>
    </xf>
    <xf numFmtId="0" fontId="103" fillId="61" borderId="21" xfId="0" applyFont="1" applyFill="1" applyBorder="1" applyAlignment="1">
      <alignment horizontal="center"/>
    </xf>
    <xf numFmtId="0" fontId="103" fillId="28" borderId="32" xfId="0" applyFont="1" applyFill="1" applyBorder="1" applyAlignment="1">
      <alignment horizontal="center"/>
    </xf>
    <xf numFmtId="0" fontId="103" fillId="28" borderId="33" xfId="0" applyFont="1" applyFill="1" applyBorder="1" applyAlignment="1">
      <alignment horizontal="center"/>
    </xf>
    <xf numFmtId="0" fontId="103" fillId="28" borderId="34" xfId="0" applyFont="1" applyFill="1" applyBorder="1" applyAlignment="1">
      <alignment horizontal="center"/>
    </xf>
    <xf numFmtId="0" fontId="126" fillId="41" borderId="19" xfId="0" applyFont="1" applyFill="1" applyBorder="1" applyAlignment="1">
      <alignment horizontal="center"/>
    </xf>
    <xf numFmtId="0" fontId="126" fillId="41" borderId="20" xfId="0" applyFont="1" applyFill="1" applyBorder="1" applyAlignment="1">
      <alignment horizontal="center"/>
    </xf>
    <xf numFmtId="0" fontId="107" fillId="0" borderId="14" xfId="223" applyFont="1" applyBorder="1" applyAlignment="1">
      <alignment horizontal="left" vertical="center" wrapText="1"/>
    </xf>
    <xf numFmtId="0" fontId="107" fillId="0" borderId="21" xfId="223" applyFont="1" applyBorder="1" applyAlignment="1">
      <alignment horizontal="left" vertical="center" wrapText="1"/>
    </xf>
    <xf numFmtId="0" fontId="107" fillId="0" borderId="13" xfId="223" applyFont="1" applyBorder="1" applyAlignment="1">
      <alignment vertical="top" wrapText="1"/>
    </xf>
    <xf numFmtId="0" fontId="107" fillId="0" borderId="20" xfId="223" applyFont="1" applyBorder="1" applyAlignment="1">
      <alignment vertical="top" wrapText="1"/>
    </xf>
    <xf numFmtId="171" fontId="53" fillId="0" borderId="43" xfId="223" applyNumberFormat="1" applyBorder="1" applyAlignment="1">
      <alignment horizontal="right" vertical="center"/>
    </xf>
    <xf numFmtId="171" fontId="53" fillId="0" borderId="44" xfId="223" applyNumberFormat="1" applyBorder="1" applyAlignment="1">
      <alignment horizontal="right" vertical="center"/>
    </xf>
    <xf numFmtId="0" fontId="107" fillId="0" borderId="13" xfId="223" applyFont="1" applyBorder="1" applyAlignment="1">
      <alignment horizontal="left" vertical="top" wrapText="1"/>
    </xf>
    <xf numFmtId="0" fontId="107" fillId="0" borderId="20" xfId="223" applyFont="1" applyBorder="1" applyAlignment="1">
      <alignment horizontal="left" vertical="top" wrapText="1"/>
    </xf>
    <xf numFmtId="0" fontId="107" fillId="0" borderId="11" xfId="223" applyFont="1" applyBorder="1" applyAlignment="1">
      <alignment horizontal="left" vertical="center" wrapText="1"/>
    </xf>
    <xf numFmtId="0" fontId="124" fillId="0" borderId="43" xfId="0" applyFont="1" applyBorder="1" applyAlignment="1">
      <alignment vertical="center" wrapText="1"/>
    </xf>
    <xf numFmtId="0" fontId="124" fillId="0" borderId="45" xfId="0" applyFont="1" applyBorder="1" applyAlignment="1">
      <alignment vertical="center" wrapText="1"/>
    </xf>
    <xf numFmtId="0" fontId="124" fillId="0" borderId="44" xfId="0" applyFont="1" applyBorder="1" applyAlignment="1">
      <alignment vertical="center" wrapText="1"/>
    </xf>
    <xf numFmtId="0" fontId="120" fillId="0" borderId="20" xfId="0" applyFont="1" applyBorder="1" applyAlignment="1">
      <alignment horizontal="center" vertical="center"/>
    </xf>
    <xf numFmtId="0" fontId="123" fillId="0" borderId="0" xfId="0" applyFont="1" applyAlignment="1">
      <alignment vertical="center" wrapText="1"/>
    </xf>
    <xf numFmtId="0" fontId="123" fillId="0" borderId="20" xfId="0" applyFont="1" applyBorder="1" applyAlignment="1">
      <alignment vertical="center" wrapText="1"/>
    </xf>
    <xf numFmtId="0" fontId="119" fillId="0" borderId="13" xfId="0" applyFont="1" applyBorder="1" applyAlignment="1">
      <alignment vertical="center" wrapText="1"/>
    </xf>
    <xf numFmtId="0" fontId="119" fillId="0" borderId="0" xfId="0" applyFont="1" applyAlignment="1">
      <alignment vertical="center" wrapText="1"/>
    </xf>
    <xf numFmtId="0" fontId="121" fillId="0" borderId="32" xfId="0" applyFont="1" applyBorder="1" applyAlignment="1">
      <alignment vertical="center" wrapText="1"/>
    </xf>
    <xf numFmtId="0" fontId="121" fillId="0" borderId="33" xfId="0" applyFont="1" applyBorder="1" applyAlignment="1">
      <alignment vertical="center" wrapText="1"/>
    </xf>
    <xf numFmtId="0" fontId="121" fillId="0" borderId="34" xfId="0" applyFont="1" applyBorder="1" applyAlignment="1">
      <alignment vertical="center" wrapText="1"/>
    </xf>
    <xf numFmtId="0" fontId="124" fillId="0" borderId="32" xfId="0" applyFont="1" applyBorder="1" applyAlignment="1">
      <alignment horizontal="center" vertical="center" wrapText="1"/>
    </xf>
    <xf numFmtId="0" fontId="124" fillId="0" borderId="34" xfId="0" applyFont="1" applyBorder="1" applyAlignment="1">
      <alignment horizontal="center" vertical="center" wrapText="1"/>
    </xf>
    <xf numFmtId="0" fontId="124" fillId="0" borderId="33" xfId="0" applyFont="1" applyBorder="1" applyAlignment="1">
      <alignment horizontal="center" vertical="center" wrapText="1"/>
    </xf>
    <xf numFmtId="0" fontId="120" fillId="0" borderId="32" xfId="0" applyFont="1" applyBorder="1" applyAlignment="1">
      <alignment vertical="center" wrapText="1"/>
    </xf>
    <xf numFmtId="0" fontId="120" fillId="0" borderId="33" xfId="0" applyFont="1" applyBorder="1" applyAlignment="1">
      <alignment vertical="center" wrapText="1"/>
    </xf>
    <xf numFmtId="0" fontId="120" fillId="0" borderId="34" xfId="0" applyFont="1" applyBorder="1" applyAlignment="1">
      <alignment vertical="center" wrapText="1"/>
    </xf>
    <xf numFmtId="0" fontId="124" fillId="0" borderId="12" xfId="0" applyFont="1" applyBorder="1" applyAlignment="1">
      <alignment vertical="center" wrapText="1"/>
    </xf>
    <xf numFmtId="0" fontId="124" fillId="0" borderId="14" xfId="0" applyFont="1" applyBorder="1" applyAlignment="1">
      <alignment vertical="center" wrapText="1"/>
    </xf>
    <xf numFmtId="0" fontId="124" fillId="0" borderId="10" xfId="0" applyFont="1" applyBorder="1" applyAlignment="1">
      <alignment vertical="center" wrapText="1"/>
    </xf>
    <xf numFmtId="0" fontId="124" fillId="0" borderId="11" xfId="0" applyFont="1" applyBorder="1" applyAlignment="1">
      <alignment vertical="center" wrapText="1"/>
    </xf>
    <xf numFmtId="0" fontId="124" fillId="0" borderId="19" xfId="0" applyFont="1" applyBorder="1" applyAlignment="1">
      <alignment vertical="center" wrapText="1"/>
    </xf>
    <xf numFmtId="0" fontId="124" fillId="0" borderId="21" xfId="0" applyFont="1" applyBorder="1" applyAlignment="1">
      <alignment vertical="center" wrapText="1"/>
    </xf>
    <xf numFmtId="0" fontId="124" fillId="0" borderId="32" xfId="0" applyFont="1" applyBorder="1" applyAlignment="1">
      <alignment vertical="center" wrapText="1"/>
    </xf>
    <xf numFmtId="0" fontId="124" fillId="0" borderId="33" xfId="0" applyFont="1" applyBorder="1" applyAlignment="1">
      <alignment vertical="center" wrapText="1"/>
    </xf>
    <xf numFmtId="0" fontId="124" fillId="0" borderId="34" xfId="0" applyFont="1" applyBorder="1" applyAlignment="1">
      <alignment vertical="center" wrapText="1"/>
    </xf>
    <xf numFmtId="0" fontId="120" fillId="0" borderId="0" xfId="0" applyFont="1" applyAlignment="1">
      <alignment horizontal="center" vertical="center"/>
    </xf>
    <xf numFmtId="0" fontId="121" fillId="0" borderId="20" xfId="0" applyFont="1" applyBorder="1" applyAlignment="1">
      <alignment horizontal="center" vertical="center"/>
    </xf>
    <xf numFmtId="0" fontId="120" fillId="0" borderId="43" xfId="0" applyFont="1" applyBorder="1" applyAlignment="1">
      <alignment horizontal="center" vertical="center"/>
    </xf>
    <xf numFmtId="0" fontId="120" fillId="0" borderId="44" xfId="0" applyFont="1" applyBorder="1" applyAlignment="1">
      <alignment horizontal="center" vertical="center"/>
    </xf>
    <xf numFmtId="0" fontId="120" fillId="0" borderId="43" xfId="0" applyFont="1" applyBorder="1" applyAlignment="1">
      <alignment horizontal="center" vertical="center" wrapText="1"/>
    </xf>
    <xf numFmtId="0" fontId="120" fillId="0" borderId="44" xfId="0" applyFont="1" applyBorder="1" applyAlignment="1">
      <alignment horizontal="center" vertical="center" wrapText="1"/>
    </xf>
    <xf numFmtId="0" fontId="120" fillId="0" borderId="20" xfId="0" applyFont="1" applyBorder="1" applyAlignment="1">
      <alignment vertical="center" wrapText="1"/>
    </xf>
    <xf numFmtId="0" fontId="121" fillId="0" borderId="43" xfId="0" applyFont="1" applyBorder="1" applyAlignment="1">
      <alignment horizontal="center" vertical="center"/>
    </xf>
    <xf numFmtId="0" fontId="121" fillId="0" borderId="44" xfId="0" applyFont="1" applyBorder="1" applyAlignment="1">
      <alignment horizontal="center" vertical="center"/>
    </xf>
    <xf numFmtId="6" fontId="121" fillId="0" borderId="43" xfId="0" applyNumberFormat="1" applyFont="1" applyBorder="1" applyAlignment="1">
      <alignment horizontal="center" vertical="center"/>
    </xf>
    <xf numFmtId="6" fontId="121" fillId="0" borderId="44" xfId="0" applyNumberFormat="1" applyFont="1" applyBorder="1" applyAlignment="1">
      <alignment horizontal="center" vertical="center"/>
    </xf>
    <xf numFmtId="8" fontId="121" fillId="0" borderId="43" xfId="0" applyNumberFormat="1" applyFont="1" applyBorder="1" applyAlignment="1">
      <alignment horizontal="center" vertical="center"/>
    </xf>
    <xf numFmtId="8" fontId="121" fillId="0" borderId="44" xfId="0" applyNumberFormat="1" applyFont="1" applyBorder="1" applyAlignment="1">
      <alignment horizontal="center" vertical="center"/>
    </xf>
    <xf numFmtId="0" fontId="120" fillId="0" borderId="20" xfId="0" applyFont="1" applyBorder="1" applyAlignment="1">
      <alignment vertical="center"/>
    </xf>
    <xf numFmtId="0" fontId="121" fillId="0" borderId="32" xfId="0" applyFont="1" applyBorder="1" applyAlignment="1">
      <alignment vertical="center"/>
    </xf>
    <xf numFmtId="0" fontId="121" fillId="0" borderId="33" xfId="0" applyFont="1" applyBorder="1" applyAlignment="1">
      <alignment vertical="center"/>
    </xf>
    <xf numFmtId="0" fontId="121" fillId="0" borderId="34" xfId="0" applyFont="1" applyBorder="1" applyAlignment="1">
      <alignment vertical="center"/>
    </xf>
    <xf numFmtId="0" fontId="2" fillId="37" borderId="19" xfId="0" applyFont="1" applyFill="1" applyBorder="1" applyAlignment="1">
      <alignment horizontal="center"/>
    </xf>
    <xf numFmtId="0" fontId="2" fillId="37" borderId="20" xfId="0" applyFont="1" applyFill="1" applyBorder="1" applyAlignment="1">
      <alignment horizontal="center"/>
    </xf>
    <xf numFmtId="0" fontId="2" fillId="37" borderId="21" xfId="0" applyFont="1" applyFill="1" applyBorder="1" applyAlignment="1">
      <alignment horizontal="center"/>
    </xf>
    <xf numFmtId="0" fontId="4" fillId="37" borderId="10" xfId="0" applyFont="1" applyFill="1" applyBorder="1" applyAlignment="1">
      <alignment horizontal="center"/>
    </xf>
    <xf numFmtId="0" fontId="4" fillId="37" borderId="0" xfId="0" applyFont="1" applyFill="1" applyAlignment="1">
      <alignment horizontal="center"/>
    </xf>
    <xf numFmtId="0" fontId="4" fillId="37" borderId="11" xfId="0" applyFont="1" applyFill="1" applyBorder="1" applyAlignment="1">
      <alignment horizontal="center"/>
    </xf>
    <xf numFmtId="0" fontId="79" fillId="37" borderId="10" xfId="0" applyFont="1" applyFill="1" applyBorder="1" applyAlignment="1">
      <alignment horizontal="center"/>
    </xf>
    <xf numFmtId="0" fontId="79" fillId="37" borderId="0" xfId="0" applyFont="1" applyFill="1" applyAlignment="1">
      <alignment horizontal="center"/>
    </xf>
    <xf numFmtId="0" fontId="79" fillId="37" borderId="11" xfId="0" applyFont="1" applyFill="1" applyBorder="1" applyAlignment="1">
      <alignment horizontal="center"/>
    </xf>
    <xf numFmtId="49" fontId="155" fillId="59" borderId="32" xfId="179" applyNumberFormat="1" applyFont="1" applyFill="1" applyBorder="1" applyAlignment="1">
      <alignment horizontal="center" vertical="center"/>
    </xf>
    <xf numFmtId="49" fontId="155" fillId="59" borderId="33" xfId="179" applyNumberFormat="1" applyFont="1" applyFill="1" applyBorder="1" applyAlignment="1">
      <alignment horizontal="center" vertical="center"/>
    </xf>
    <xf numFmtId="49" fontId="155" fillId="59" borderId="34" xfId="179" applyNumberFormat="1" applyFont="1" applyFill="1" applyBorder="1" applyAlignment="1">
      <alignment horizontal="center" vertical="center"/>
    </xf>
    <xf numFmtId="0" fontId="126" fillId="0" borderId="32" xfId="179" applyFont="1" applyBorder="1" applyAlignment="1">
      <alignment horizontal="center"/>
    </xf>
    <xf numFmtId="0" fontId="126" fillId="0" borderId="33" xfId="179" applyFont="1" applyBorder="1" applyAlignment="1">
      <alignment horizontal="center"/>
    </xf>
    <xf numFmtId="0" fontId="126" fillId="0" borderId="34" xfId="179" applyFont="1" applyBorder="1" applyAlignment="1">
      <alignment horizontal="center"/>
    </xf>
    <xf numFmtId="0" fontId="155" fillId="58" borderId="32" xfId="241" quotePrefix="1" applyFont="1" applyFill="1" applyBorder="1" applyAlignment="1">
      <alignment horizontal="center" vertical="center"/>
    </xf>
    <xf numFmtId="0" fontId="155" fillId="58" borderId="33" xfId="241" quotePrefix="1" applyFont="1" applyFill="1" applyBorder="1" applyAlignment="1">
      <alignment horizontal="center" vertical="center"/>
    </xf>
    <xf numFmtId="0" fontId="155" fillId="58" borderId="34" xfId="241" quotePrefix="1" applyFont="1" applyFill="1" applyBorder="1" applyAlignment="1">
      <alignment horizontal="center" vertical="center"/>
    </xf>
    <xf numFmtId="0" fontId="155" fillId="59" borderId="12" xfId="241" applyFont="1" applyFill="1" applyBorder="1" applyAlignment="1">
      <alignment horizontal="center" wrapText="1"/>
    </xf>
    <xf numFmtId="0" fontId="155" fillId="59" borderId="13" xfId="241" applyFont="1" applyFill="1" applyBorder="1" applyAlignment="1">
      <alignment horizontal="center" wrapText="1"/>
    </xf>
    <xf numFmtId="0" fontId="155" fillId="59" borderId="14" xfId="241" applyFont="1" applyFill="1" applyBorder="1" applyAlignment="1">
      <alignment horizontal="center" wrapText="1"/>
    </xf>
    <xf numFmtId="0" fontId="155" fillId="59" borderId="19" xfId="241" applyFont="1" applyFill="1" applyBorder="1" applyAlignment="1">
      <alignment horizontal="center" wrapText="1"/>
    </xf>
    <xf numFmtId="0" fontId="155" fillId="59" borderId="20" xfId="241" applyFont="1" applyFill="1" applyBorder="1" applyAlignment="1">
      <alignment horizontal="center" wrapText="1"/>
    </xf>
    <xf numFmtId="0" fontId="155" fillId="59" borderId="21" xfId="241" applyFont="1" applyFill="1" applyBorder="1" applyAlignment="1">
      <alignment horizontal="center" wrapText="1"/>
    </xf>
    <xf numFmtId="0" fontId="126" fillId="0" borderId="32" xfId="241" applyFont="1" applyBorder="1" applyAlignment="1">
      <alignment horizontal="center"/>
    </xf>
    <xf numFmtId="0" fontId="126" fillId="0" borderId="33" xfId="241" applyFont="1" applyBorder="1" applyAlignment="1">
      <alignment horizontal="center"/>
    </xf>
    <xf numFmtId="0" fontId="126" fillId="0" borderId="12" xfId="241" applyFont="1" applyBorder="1" applyAlignment="1">
      <alignment horizontal="center"/>
    </xf>
    <xf numFmtId="0" fontId="126" fillId="0" borderId="13" xfId="241" applyFont="1" applyBorder="1" applyAlignment="1">
      <alignment horizontal="center"/>
    </xf>
    <xf numFmtId="0" fontId="110" fillId="0" borderId="39" xfId="241" applyFont="1" applyBorder="1" applyAlignment="1">
      <alignment horizontal="center"/>
    </xf>
    <xf numFmtId="0" fontId="110" fillId="0" borderId="0" xfId="241" applyFont="1" applyAlignment="1">
      <alignment horizontal="center"/>
    </xf>
    <xf numFmtId="0" fontId="126" fillId="38" borderId="12" xfId="0" applyFont="1" applyFill="1" applyBorder="1" applyAlignment="1">
      <alignment horizontal="center" vertical="center" wrapText="1"/>
    </xf>
    <xf numFmtId="0" fontId="126" fillId="38" borderId="13" xfId="0" applyFont="1" applyFill="1" applyBorder="1" applyAlignment="1">
      <alignment horizontal="center" vertical="center"/>
    </xf>
    <xf numFmtId="0" fontId="126" fillId="38" borderId="19" xfId="0" applyFont="1" applyFill="1" applyBorder="1" applyAlignment="1">
      <alignment horizontal="center" vertical="center"/>
    </xf>
    <xf numFmtId="0" fontId="126" fillId="38" borderId="20" xfId="0" applyFont="1" applyFill="1" applyBorder="1" applyAlignment="1">
      <alignment horizontal="center" vertical="center"/>
    </xf>
    <xf numFmtId="43" fontId="126" fillId="33" borderId="14" xfId="32" applyFont="1" applyFill="1" applyBorder="1" applyAlignment="1">
      <alignment horizontal="center" vertical="center" wrapText="1"/>
    </xf>
    <xf numFmtId="43" fontId="126" fillId="33" borderId="21" xfId="32" applyFont="1" applyFill="1" applyBorder="1" applyAlignment="1">
      <alignment horizontal="center" vertical="center"/>
    </xf>
    <xf numFmtId="165" fontId="103" fillId="0" borderId="0" xfId="0" applyNumberFormat="1" applyFont="1" applyAlignment="1">
      <alignment horizontal="right"/>
    </xf>
    <xf numFmtId="0" fontId="65" fillId="54" borderId="20" xfId="0" applyFont="1" applyFill="1" applyBorder="1" applyAlignment="1">
      <alignment horizontal="center"/>
    </xf>
    <xf numFmtId="0" fontId="0" fillId="0" borderId="11" xfId="0" applyBorder="1" applyAlignment="1">
      <alignment horizontal="left" vertical="center" wrapText="1"/>
    </xf>
    <xf numFmtId="0" fontId="143" fillId="37" borderId="10" xfId="0" applyFont="1" applyFill="1" applyBorder="1" applyAlignment="1">
      <alignment horizontal="center"/>
    </xf>
    <xf numFmtId="0" fontId="143" fillId="37" borderId="0" xfId="0" applyFont="1" applyFill="1" applyAlignment="1">
      <alignment horizontal="center"/>
    </xf>
    <xf numFmtId="0" fontId="143" fillId="37" borderId="12" xfId="0" applyFont="1" applyFill="1" applyBorder="1" applyAlignment="1">
      <alignment horizontal="center"/>
    </xf>
    <xf numFmtId="0" fontId="143" fillId="37" borderId="13" xfId="0" applyFont="1" applyFill="1" applyBorder="1" applyAlignment="1">
      <alignment horizontal="center"/>
    </xf>
    <xf numFmtId="0" fontId="69" fillId="37" borderId="19" xfId="0" applyFont="1" applyFill="1" applyBorder="1" applyAlignment="1">
      <alignment horizontal="center"/>
    </xf>
    <xf numFmtId="0" fontId="69" fillId="37" borderId="20" xfId="0" applyFont="1" applyFill="1" applyBorder="1" applyAlignment="1">
      <alignment horizontal="center"/>
    </xf>
    <xf numFmtId="0" fontId="69" fillId="37" borderId="21" xfId="0" applyFont="1" applyFill="1" applyBorder="1" applyAlignment="1">
      <alignment horizontal="center"/>
    </xf>
    <xf numFmtId="0" fontId="37" fillId="37" borderId="12" xfId="0" applyFont="1" applyFill="1" applyBorder="1" applyAlignment="1">
      <alignment horizontal="center" vertical="center" wrapText="1"/>
    </xf>
    <xf numFmtId="0" fontId="37" fillId="37" borderId="13" xfId="0" applyFont="1" applyFill="1" applyBorder="1" applyAlignment="1">
      <alignment horizontal="center" vertical="center"/>
    </xf>
    <xf numFmtId="0" fontId="37" fillId="37" borderId="14" xfId="0" applyFont="1" applyFill="1" applyBorder="1" applyAlignment="1">
      <alignment horizontal="center" vertical="center"/>
    </xf>
    <xf numFmtId="0" fontId="37" fillId="37" borderId="19" xfId="0" applyFont="1" applyFill="1" applyBorder="1" applyAlignment="1">
      <alignment horizontal="center" vertical="center"/>
    </xf>
    <xf numFmtId="0" fontId="37" fillId="37" borderId="20" xfId="0" applyFont="1" applyFill="1" applyBorder="1" applyAlignment="1">
      <alignment horizontal="center" vertical="center"/>
    </xf>
    <xf numFmtId="0" fontId="37" fillId="37" borderId="21" xfId="0" applyFont="1" applyFill="1" applyBorder="1" applyAlignment="1">
      <alignment horizontal="center" vertical="center"/>
    </xf>
    <xf numFmtId="0" fontId="71" fillId="37" borderId="12" xfId="0" applyFont="1" applyFill="1" applyBorder="1" applyAlignment="1">
      <alignment horizontal="left"/>
    </xf>
    <xf numFmtId="0" fontId="71" fillId="37" borderId="13" xfId="0" applyFont="1" applyFill="1" applyBorder="1" applyAlignment="1">
      <alignment horizontal="left"/>
    </xf>
    <xf numFmtId="0" fontId="129" fillId="37" borderId="32" xfId="0" applyFont="1" applyFill="1" applyBorder="1" applyAlignment="1">
      <alignment horizontal="center"/>
    </xf>
    <xf numFmtId="0" fontId="129" fillId="37" borderId="33" xfId="0" applyFont="1" applyFill="1" applyBorder="1" applyAlignment="1">
      <alignment horizontal="center"/>
    </xf>
    <xf numFmtId="0" fontId="129" fillId="37" borderId="34" xfId="0" applyFont="1" applyFill="1" applyBorder="1" applyAlignment="1">
      <alignment horizontal="center"/>
    </xf>
    <xf numFmtId="0" fontId="129" fillId="37" borderId="12" xfId="0" applyFont="1" applyFill="1" applyBorder="1" applyAlignment="1">
      <alignment horizontal="center"/>
    </xf>
    <xf numFmtId="0" fontId="129" fillId="37" borderId="13" xfId="0" applyFont="1" applyFill="1" applyBorder="1" applyAlignment="1">
      <alignment horizontal="center"/>
    </xf>
    <xf numFmtId="0" fontId="129" fillId="37" borderId="14" xfId="0" applyFont="1" applyFill="1" applyBorder="1" applyAlignment="1">
      <alignment horizontal="center"/>
    </xf>
    <xf numFmtId="0" fontId="71" fillId="0" borderId="0" xfId="0" applyFont="1" applyAlignment="1">
      <alignment horizontal="center"/>
    </xf>
    <xf numFmtId="0" fontId="71" fillId="37" borderId="12" xfId="0" applyFont="1" applyFill="1" applyBorder="1" applyAlignment="1">
      <alignment horizontal="center" vertical="center" wrapText="1"/>
    </xf>
    <xf numFmtId="0" fontId="71" fillId="37" borderId="13" xfId="0" applyFont="1" applyFill="1" applyBorder="1" applyAlignment="1">
      <alignment horizontal="center" vertical="center"/>
    </xf>
    <xf numFmtId="0" fontId="71" fillId="37" borderId="14" xfId="0" applyFont="1" applyFill="1" applyBorder="1" applyAlignment="1">
      <alignment horizontal="center" vertical="center"/>
    </xf>
    <xf numFmtId="0" fontId="71" fillId="37" borderId="19" xfId="0" applyFont="1" applyFill="1" applyBorder="1" applyAlignment="1">
      <alignment horizontal="center" vertical="center"/>
    </xf>
    <xf numFmtId="0" fontId="71" fillId="37" borderId="20" xfId="0" applyFont="1" applyFill="1" applyBorder="1" applyAlignment="1">
      <alignment horizontal="center" vertical="center"/>
    </xf>
    <xf numFmtId="0" fontId="71" fillId="37" borderId="21" xfId="0" applyFont="1" applyFill="1" applyBorder="1" applyAlignment="1">
      <alignment horizontal="center" vertical="center"/>
    </xf>
    <xf numFmtId="0" fontId="71" fillId="38" borderId="12" xfId="0" applyFont="1" applyFill="1" applyBorder="1" applyAlignment="1">
      <alignment horizontal="center" vertical="center"/>
    </xf>
    <xf numFmtId="0" fontId="71" fillId="38" borderId="14" xfId="0" applyFont="1" applyFill="1" applyBorder="1" applyAlignment="1">
      <alignment horizontal="center" vertical="center"/>
    </xf>
    <xf numFmtId="0" fontId="71" fillId="38" borderId="10" xfId="0" applyFont="1" applyFill="1" applyBorder="1" applyAlignment="1">
      <alignment horizontal="center" vertical="center"/>
    </xf>
    <xf numFmtId="0" fontId="71" fillId="38" borderId="11" xfId="0" applyFont="1" applyFill="1" applyBorder="1" applyAlignment="1">
      <alignment horizontal="center" vertical="center"/>
    </xf>
    <xf numFmtId="0" fontId="71" fillId="38" borderId="12" xfId="0" applyFont="1" applyFill="1" applyBorder="1" applyAlignment="1">
      <alignment horizontal="center" vertical="center" wrapText="1"/>
    </xf>
    <xf numFmtId="0" fontId="71" fillId="38" borderId="14" xfId="0" applyFont="1" applyFill="1" applyBorder="1" applyAlignment="1">
      <alignment horizontal="center" vertical="center" wrapText="1"/>
    </xf>
    <xf numFmtId="0" fontId="71" fillId="38" borderId="19" xfId="0" applyFont="1" applyFill="1" applyBorder="1" applyAlignment="1">
      <alignment horizontal="center" vertical="center" wrapText="1"/>
    </xf>
    <xf numFmtId="0" fontId="71" fillId="38" borderId="21" xfId="0" applyFont="1" applyFill="1" applyBorder="1" applyAlignment="1">
      <alignment horizontal="center" vertical="center" wrapText="1"/>
    </xf>
    <xf numFmtId="0" fontId="71" fillId="39" borderId="12" xfId="0" applyFont="1" applyFill="1" applyBorder="1" applyAlignment="1">
      <alignment horizontal="center" vertical="center"/>
    </xf>
    <xf numFmtId="0" fontId="71" fillId="39" borderId="14" xfId="0" applyFont="1" applyFill="1" applyBorder="1" applyAlignment="1">
      <alignment horizontal="center" vertical="center"/>
    </xf>
    <xf numFmtId="0" fontId="71" fillId="39" borderId="19" xfId="0" applyFont="1" applyFill="1" applyBorder="1" applyAlignment="1">
      <alignment horizontal="center" vertical="center"/>
    </xf>
    <xf numFmtId="0" fontId="71" fillId="39" borderId="21" xfId="0" applyFont="1" applyFill="1" applyBorder="1" applyAlignment="1">
      <alignment horizontal="center" vertical="center"/>
    </xf>
    <xf numFmtId="0" fontId="71" fillId="37" borderId="32" xfId="0" applyFont="1" applyFill="1" applyBorder="1" applyAlignment="1">
      <alignment horizontal="center"/>
    </xf>
    <xf numFmtId="0" fontId="71" fillId="37" borderId="33" xfId="0" applyFont="1" applyFill="1" applyBorder="1" applyAlignment="1">
      <alignment horizontal="center"/>
    </xf>
    <xf numFmtId="0" fontId="71" fillId="37" borderId="34" xfId="0" applyFont="1" applyFill="1" applyBorder="1" applyAlignment="1">
      <alignment horizontal="center"/>
    </xf>
    <xf numFmtId="0" fontId="37" fillId="0" borderId="0" xfId="0" applyFont="1" applyAlignment="1">
      <alignment horizontal="center"/>
    </xf>
    <xf numFmtId="0" fontId="38" fillId="37" borderId="32" xfId="0" applyFont="1" applyFill="1" applyBorder="1" applyAlignment="1">
      <alignment horizontal="center"/>
    </xf>
    <xf numFmtId="0" fontId="38" fillId="37" borderId="33" xfId="0" applyFont="1" applyFill="1" applyBorder="1" applyAlignment="1">
      <alignment horizontal="center"/>
    </xf>
    <xf numFmtId="0" fontId="38" fillId="37" borderId="34" xfId="0" applyFont="1" applyFill="1" applyBorder="1" applyAlignment="1">
      <alignment horizontal="center"/>
    </xf>
    <xf numFmtId="0" fontId="82" fillId="37" borderId="12" xfId="0" applyFont="1" applyFill="1" applyBorder="1" applyAlignment="1">
      <alignment horizontal="center" vertical="center" wrapText="1"/>
    </xf>
    <xf numFmtId="0" fontId="82" fillId="37" borderId="13" xfId="0" applyFont="1" applyFill="1" applyBorder="1" applyAlignment="1">
      <alignment horizontal="center" vertical="center"/>
    </xf>
    <xf numFmtId="0" fontId="82" fillId="37" borderId="14" xfId="0" applyFont="1" applyFill="1" applyBorder="1" applyAlignment="1">
      <alignment horizontal="center" vertical="center"/>
    </xf>
    <xf numFmtId="0" fontId="82" fillId="37" borderId="19" xfId="0" applyFont="1" applyFill="1" applyBorder="1" applyAlignment="1">
      <alignment horizontal="center" vertical="center"/>
    </xf>
    <xf numFmtId="0" fontId="82" fillId="37" borderId="20" xfId="0" applyFont="1" applyFill="1" applyBorder="1" applyAlignment="1">
      <alignment horizontal="center" vertical="center"/>
    </xf>
    <xf numFmtId="0" fontId="82" fillId="37" borderId="21" xfId="0" applyFont="1" applyFill="1" applyBorder="1" applyAlignment="1">
      <alignment horizontal="center" vertical="center"/>
    </xf>
    <xf numFmtId="0" fontId="82" fillId="38" borderId="12" xfId="0" applyFont="1" applyFill="1" applyBorder="1" applyAlignment="1">
      <alignment horizontal="center" vertical="center"/>
    </xf>
    <xf numFmtId="0" fontId="82" fillId="38" borderId="14" xfId="0" applyFont="1" applyFill="1" applyBorder="1" applyAlignment="1">
      <alignment horizontal="center" vertical="center"/>
    </xf>
    <xf numFmtId="0" fontId="82" fillId="38" borderId="10" xfId="0" applyFont="1" applyFill="1" applyBorder="1" applyAlignment="1">
      <alignment horizontal="center" vertical="center"/>
    </xf>
    <xf numFmtId="0" fontId="82" fillId="38" borderId="11" xfId="0" applyFont="1" applyFill="1" applyBorder="1" applyAlignment="1">
      <alignment horizontal="center" vertical="center"/>
    </xf>
    <xf numFmtId="0" fontId="82" fillId="38" borderId="12" xfId="0" applyFont="1" applyFill="1" applyBorder="1" applyAlignment="1">
      <alignment horizontal="center" vertical="center" wrapText="1"/>
    </xf>
    <xf numFmtId="0" fontId="82" fillId="38" borderId="14" xfId="0" applyFont="1" applyFill="1" applyBorder="1" applyAlignment="1">
      <alignment horizontal="center" vertical="center" wrapText="1"/>
    </xf>
    <xf numFmtId="0" fontId="82" fillId="38" borderId="19" xfId="0" applyFont="1" applyFill="1" applyBorder="1" applyAlignment="1">
      <alignment horizontal="center" vertical="center" wrapText="1"/>
    </xf>
    <xf numFmtId="0" fontId="82" fillId="38" borderId="21" xfId="0" applyFont="1" applyFill="1" applyBorder="1" applyAlignment="1">
      <alignment horizontal="center" vertical="center" wrapText="1"/>
    </xf>
    <xf numFmtId="0" fontId="82" fillId="39" borderId="12" xfId="0" applyFont="1" applyFill="1" applyBorder="1" applyAlignment="1">
      <alignment horizontal="center" vertical="center"/>
    </xf>
    <xf numFmtId="0" fontId="82" fillId="39" borderId="14" xfId="0" applyFont="1" applyFill="1" applyBorder="1" applyAlignment="1">
      <alignment horizontal="center" vertical="center"/>
    </xf>
    <xf numFmtId="0" fontId="82" fillId="39" borderId="19" xfId="0" applyFont="1" applyFill="1" applyBorder="1" applyAlignment="1">
      <alignment horizontal="center" vertical="center"/>
    </xf>
    <xf numFmtId="0" fontId="82" fillId="39" borderId="21" xfId="0" applyFont="1" applyFill="1" applyBorder="1" applyAlignment="1">
      <alignment horizontal="center" vertical="center"/>
    </xf>
    <xf numFmtId="0" fontId="37" fillId="37" borderId="32" xfId="0" applyFont="1" applyFill="1" applyBorder="1" applyAlignment="1">
      <alignment horizontal="center"/>
    </xf>
    <xf numFmtId="0" fontId="37" fillId="37" borderId="33" xfId="0" applyFont="1" applyFill="1" applyBorder="1" applyAlignment="1">
      <alignment horizontal="center"/>
    </xf>
    <xf numFmtId="0" fontId="37" fillId="37" borderId="34" xfId="0" applyFont="1" applyFill="1" applyBorder="1" applyAlignment="1">
      <alignment horizontal="center"/>
    </xf>
    <xf numFmtId="0" fontId="129" fillId="37" borderId="10" xfId="0" applyFont="1" applyFill="1" applyBorder="1" applyAlignment="1">
      <alignment horizontal="center"/>
    </xf>
    <xf numFmtId="0" fontId="129" fillId="37" borderId="0" xfId="0" applyFont="1" applyFill="1" applyAlignment="1">
      <alignment horizontal="center"/>
    </xf>
    <xf numFmtId="0" fontId="72" fillId="41" borderId="0" xfId="0" applyFont="1" applyFill="1" applyAlignment="1">
      <alignment horizontal="center" vertical="center"/>
    </xf>
    <xf numFmtId="0" fontId="71" fillId="37" borderId="12" xfId="0" applyFont="1" applyFill="1" applyBorder="1" applyAlignment="1">
      <alignment horizontal="center"/>
    </xf>
    <xf numFmtId="0" fontId="71" fillId="37" borderId="13" xfId="0" applyFont="1" applyFill="1" applyBorder="1" applyAlignment="1">
      <alignment horizontal="center"/>
    </xf>
    <xf numFmtId="0" fontId="126" fillId="29" borderId="33" xfId="0" applyFont="1" applyFill="1" applyBorder="1" applyAlignment="1">
      <alignment horizontal="center"/>
    </xf>
    <xf numFmtId="0" fontId="126" fillId="29" borderId="34" xfId="0" applyFont="1" applyFill="1" applyBorder="1" applyAlignment="1">
      <alignment horizontal="center"/>
    </xf>
    <xf numFmtId="0" fontId="103" fillId="0" borderId="13" xfId="0" applyFont="1" applyBorder="1"/>
    <xf numFmtId="0" fontId="103" fillId="0" borderId="14" xfId="0" applyFont="1" applyBorder="1"/>
    <xf numFmtId="0" fontId="103" fillId="0" borderId="0" xfId="0" applyFont="1"/>
    <xf numFmtId="0" fontId="103" fillId="0" borderId="11" xfId="0" applyFont="1" applyBorder="1"/>
    <xf numFmtId="0" fontId="103" fillId="0" borderId="0" xfId="0" applyFont="1" applyAlignment="1">
      <alignment horizontal="center"/>
    </xf>
    <xf numFmtId="0" fontId="103" fillId="0" borderId="11" xfId="0" applyFont="1" applyBorder="1" applyAlignment="1">
      <alignment horizontal="center"/>
    </xf>
    <xf numFmtId="170" fontId="126" fillId="0" borderId="0" xfId="0" applyNumberFormat="1" applyFont="1" applyAlignment="1">
      <alignment horizontal="left"/>
    </xf>
    <xf numFmtId="0" fontId="126" fillId="0" borderId="0" xfId="0" applyFont="1" applyAlignment="1">
      <alignment horizontal="left"/>
    </xf>
    <xf numFmtId="0" fontId="126" fillId="30" borderId="33" xfId="0" applyFont="1" applyFill="1" applyBorder="1" applyAlignment="1">
      <alignment horizontal="center"/>
    </xf>
    <xf numFmtId="0" fontId="103" fillId="30" borderId="34" xfId="0" applyFont="1" applyFill="1" applyBorder="1"/>
    <xf numFmtId="0" fontId="37" fillId="37" borderId="12" xfId="0" applyFont="1" applyFill="1" applyBorder="1" applyAlignment="1">
      <alignment horizontal="center"/>
    </xf>
    <xf numFmtId="0" fontId="37" fillId="37" borderId="13" xfId="0" applyFont="1" applyFill="1" applyBorder="1" applyAlignment="1">
      <alignment horizontal="center"/>
    </xf>
    <xf numFmtId="0" fontId="37" fillId="37" borderId="14" xfId="0" applyFont="1" applyFill="1" applyBorder="1" applyAlignment="1">
      <alignment horizontal="center"/>
    </xf>
    <xf numFmtId="168" fontId="80" fillId="33" borderId="32" xfId="157" applyNumberFormat="1" applyFont="1" applyFill="1" applyBorder="1" applyAlignment="1">
      <alignment horizontal="center" vertical="center"/>
    </xf>
    <xf numFmtId="168" fontId="80" fillId="33" borderId="33" xfId="157" applyNumberFormat="1" applyFont="1" applyFill="1" applyBorder="1" applyAlignment="1">
      <alignment horizontal="center" vertical="center"/>
    </xf>
    <xf numFmtId="168" fontId="80" fillId="33" borderId="34" xfId="157" applyNumberFormat="1" applyFont="1" applyFill="1" applyBorder="1" applyAlignment="1">
      <alignment horizontal="center" vertical="center"/>
    </xf>
    <xf numFmtId="171" fontId="85" fillId="28" borderId="66" xfId="74" applyNumberFormat="1" applyFont="1" applyFill="1" applyBorder="1" applyAlignment="1">
      <alignment horizontal="center"/>
    </xf>
    <xf numFmtId="171" fontId="85" fillId="28" borderId="63" xfId="74" applyNumberFormat="1" applyFont="1" applyFill="1" applyBorder="1" applyAlignment="1">
      <alignment horizontal="center"/>
    </xf>
    <xf numFmtId="5" fontId="44" fillId="0" borderId="59" xfId="74" applyNumberFormat="1" applyFont="1" applyFill="1" applyBorder="1" applyAlignment="1">
      <alignment horizontal="center"/>
    </xf>
    <xf numFmtId="5" fontId="44" fillId="0" borderId="50" xfId="74" applyNumberFormat="1" applyFont="1" applyFill="1" applyBorder="1" applyAlignment="1">
      <alignment horizontal="center"/>
    </xf>
    <xf numFmtId="5" fontId="44" fillId="0" borderId="37" xfId="74" applyNumberFormat="1" applyFont="1" applyFill="1" applyBorder="1" applyAlignment="1">
      <alignment horizontal="center"/>
    </xf>
    <xf numFmtId="5" fontId="44" fillId="0" borderId="38" xfId="74" applyNumberFormat="1" applyFont="1" applyFill="1" applyBorder="1" applyAlignment="1">
      <alignment horizontal="center"/>
    </xf>
    <xf numFmtId="0" fontId="91" fillId="37" borderId="32" xfId="0" applyFont="1" applyFill="1" applyBorder="1" applyAlignment="1">
      <alignment horizontal="center"/>
    </xf>
    <xf numFmtId="0" fontId="91" fillId="37" borderId="33" xfId="0" applyFont="1" applyFill="1" applyBorder="1" applyAlignment="1">
      <alignment horizontal="center"/>
    </xf>
    <xf numFmtId="0" fontId="91" fillId="37" borderId="34" xfId="0" applyFont="1" applyFill="1" applyBorder="1" applyAlignment="1">
      <alignment horizontal="center"/>
    </xf>
    <xf numFmtId="0" fontId="91" fillId="33" borderId="32" xfId="0" applyFont="1" applyFill="1" applyBorder="1" applyAlignment="1">
      <alignment horizontal="center" wrapText="1"/>
    </xf>
    <xf numFmtId="0" fontId="91" fillId="33" borderId="33" xfId="0" applyFont="1" applyFill="1" applyBorder="1" applyAlignment="1">
      <alignment horizontal="center" wrapText="1"/>
    </xf>
    <xf numFmtId="0" fontId="91" fillId="33" borderId="34" xfId="0" applyFont="1" applyFill="1" applyBorder="1" applyAlignment="1">
      <alignment horizontal="center" wrapText="1"/>
    </xf>
    <xf numFmtId="0" fontId="88" fillId="33" borderId="32" xfId="0" applyFont="1" applyFill="1" applyBorder="1" applyAlignment="1">
      <alignment horizontal="center" wrapText="1"/>
    </xf>
    <xf numFmtId="0" fontId="88" fillId="0" borderId="33" xfId="0" applyFont="1" applyBorder="1" applyAlignment="1">
      <alignment horizontal="center" wrapText="1"/>
    </xf>
    <xf numFmtId="0" fontId="88" fillId="0" borderId="34" xfId="0" applyFont="1" applyBorder="1" applyAlignment="1">
      <alignment horizontal="center" wrapText="1"/>
    </xf>
    <xf numFmtId="0" fontId="41" fillId="0" borderId="65" xfId="234" applyFont="1" applyBorder="1" applyAlignment="1">
      <alignment horizontal="center" vertical="center"/>
    </xf>
    <xf numFmtId="0" fontId="41" fillId="0" borderId="0" xfId="234" applyFont="1" applyAlignment="1">
      <alignment horizontal="center" vertical="center"/>
    </xf>
    <xf numFmtId="0" fontId="41" fillId="0" borderId="39" xfId="234" applyFont="1" applyBorder="1" applyAlignment="1">
      <alignment horizontal="center" vertical="center"/>
    </xf>
    <xf numFmtId="0" fontId="134" fillId="0" borderId="0" xfId="321" applyFont="1" applyAlignment="1">
      <alignment wrapText="1"/>
    </xf>
  </cellXfs>
  <cellStyles count="322">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Body: normal cell" xfId="27" xr:uid="{00000000-0005-0000-0000-00001A000000}"/>
    <cellStyle name="Calculation 2" xfId="28" xr:uid="{00000000-0005-0000-0000-00001B000000}"/>
    <cellStyle name="Calculation 2 2" xfId="29" xr:uid="{00000000-0005-0000-0000-00001C000000}"/>
    <cellStyle name="Calculation 2 3" xfId="30" xr:uid="{00000000-0005-0000-0000-00001D000000}"/>
    <cellStyle name="Check Cell 2" xfId="31" xr:uid="{00000000-0005-0000-0000-00001E000000}"/>
    <cellStyle name="Comma" xfId="32" builtinId="3"/>
    <cellStyle name="Comma [0] 2" xfId="33" xr:uid="{00000000-0005-0000-0000-000020000000}"/>
    <cellStyle name="Comma 10" xfId="34" xr:uid="{00000000-0005-0000-0000-000021000000}"/>
    <cellStyle name="Comma 11" xfId="35" xr:uid="{00000000-0005-0000-0000-000022000000}"/>
    <cellStyle name="Comma 12" xfId="305" xr:uid="{00000000-0005-0000-0000-000023000000}"/>
    <cellStyle name="Comma 2" xfId="36" xr:uid="{00000000-0005-0000-0000-000024000000}"/>
    <cellStyle name="Comma 2 2" xfId="37" xr:uid="{00000000-0005-0000-0000-000025000000}"/>
    <cellStyle name="Comma 2 2 2" xfId="38" xr:uid="{00000000-0005-0000-0000-000026000000}"/>
    <cellStyle name="Comma 2 3" xfId="39" xr:uid="{00000000-0005-0000-0000-000027000000}"/>
    <cellStyle name="Comma 3" xfId="40" xr:uid="{00000000-0005-0000-0000-000028000000}"/>
    <cellStyle name="Comma 3 2" xfId="41" xr:uid="{00000000-0005-0000-0000-000029000000}"/>
    <cellStyle name="Comma 3 3" xfId="42" xr:uid="{00000000-0005-0000-0000-00002A000000}"/>
    <cellStyle name="Comma 3 4" xfId="43" xr:uid="{00000000-0005-0000-0000-00002B000000}"/>
    <cellStyle name="Comma 4" xfId="44" xr:uid="{00000000-0005-0000-0000-00002C000000}"/>
    <cellStyle name="Comma 4 2" xfId="45" xr:uid="{00000000-0005-0000-0000-00002D000000}"/>
    <cellStyle name="Comma 5" xfId="46" xr:uid="{00000000-0005-0000-0000-00002E000000}"/>
    <cellStyle name="Comma 5 2" xfId="47" xr:uid="{00000000-0005-0000-0000-00002F000000}"/>
    <cellStyle name="Comma 5 3" xfId="48" xr:uid="{00000000-0005-0000-0000-000030000000}"/>
    <cellStyle name="Comma 6" xfId="49" xr:uid="{00000000-0005-0000-0000-000031000000}"/>
    <cellStyle name="Comma 6 2" xfId="50" xr:uid="{00000000-0005-0000-0000-000032000000}"/>
    <cellStyle name="Comma 7" xfId="51" xr:uid="{00000000-0005-0000-0000-000033000000}"/>
    <cellStyle name="Comma 7 2" xfId="52" xr:uid="{00000000-0005-0000-0000-000034000000}"/>
    <cellStyle name="Comma 7 3" xfId="306" xr:uid="{00000000-0005-0000-0000-000035000000}"/>
    <cellStyle name="Comma 8" xfId="53" xr:uid="{00000000-0005-0000-0000-000036000000}"/>
    <cellStyle name="Comma 9" xfId="54" xr:uid="{00000000-0005-0000-0000-000037000000}"/>
    <cellStyle name="Currency" xfId="55" builtinId="4"/>
    <cellStyle name="Currency [0] 2" xfId="56" xr:uid="{00000000-0005-0000-0000-000039000000}"/>
    <cellStyle name="Currency 10" xfId="57" xr:uid="{00000000-0005-0000-0000-00003A000000}"/>
    <cellStyle name="Currency 11" xfId="58" xr:uid="{00000000-0005-0000-0000-00003B000000}"/>
    <cellStyle name="Currency 12" xfId="59" xr:uid="{00000000-0005-0000-0000-00003C000000}"/>
    <cellStyle name="Currency 13" xfId="60" xr:uid="{00000000-0005-0000-0000-00003D000000}"/>
    <cellStyle name="Currency 14" xfId="61" xr:uid="{00000000-0005-0000-0000-00003E000000}"/>
    <cellStyle name="Currency 15" xfId="62" xr:uid="{00000000-0005-0000-0000-00003F000000}"/>
    <cellStyle name="Currency 16" xfId="63" xr:uid="{00000000-0005-0000-0000-000040000000}"/>
    <cellStyle name="Currency 17" xfId="64" xr:uid="{00000000-0005-0000-0000-000041000000}"/>
    <cellStyle name="Currency 18" xfId="65" xr:uid="{00000000-0005-0000-0000-000042000000}"/>
    <cellStyle name="Currency 19" xfId="66" xr:uid="{00000000-0005-0000-0000-000043000000}"/>
    <cellStyle name="Currency 2" xfId="67" xr:uid="{00000000-0005-0000-0000-000044000000}"/>
    <cellStyle name="Currency 2 2" xfId="68" xr:uid="{00000000-0005-0000-0000-000045000000}"/>
    <cellStyle name="Currency 2 2 2" xfId="69" xr:uid="{00000000-0005-0000-0000-000046000000}"/>
    <cellStyle name="Currency 2 2 2 2" xfId="70" xr:uid="{00000000-0005-0000-0000-000047000000}"/>
    <cellStyle name="Currency 2 2 2 3" xfId="71" xr:uid="{00000000-0005-0000-0000-000048000000}"/>
    <cellStyle name="Currency 2 3" xfId="72" xr:uid="{00000000-0005-0000-0000-000049000000}"/>
    <cellStyle name="Currency 2 4" xfId="73" xr:uid="{00000000-0005-0000-0000-00004A000000}"/>
    <cellStyle name="Currency 2 4 2" xfId="74" xr:uid="{00000000-0005-0000-0000-00004B000000}"/>
    <cellStyle name="Currency 2 5" xfId="75" xr:uid="{00000000-0005-0000-0000-00004C000000}"/>
    <cellStyle name="Currency 2 6" xfId="304" xr:uid="{00000000-0005-0000-0000-00004D000000}"/>
    <cellStyle name="Currency 20" xfId="76" xr:uid="{00000000-0005-0000-0000-00004E000000}"/>
    <cellStyle name="Currency 21" xfId="77" xr:uid="{00000000-0005-0000-0000-00004F000000}"/>
    <cellStyle name="Currency 22" xfId="78" xr:uid="{00000000-0005-0000-0000-000050000000}"/>
    <cellStyle name="Currency 23" xfId="79" xr:uid="{00000000-0005-0000-0000-000051000000}"/>
    <cellStyle name="Currency 24" xfId="80" xr:uid="{00000000-0005-0000-0000-000052000000}"/>
    <cellStyle name="Currency 25" xfId="81" xr:uid="{00000000-0005-0000-0000-000053000000}"/>
    <cellStyle name="Currency 26" xfId="82" xr:uid="{00000000-0005-0000-0000-000054000000}"/>
    <cellStyle name="Currency 27" xfId="83" xr:uid="{00000000-0005-0000-0000-000055000000}"/>
    <cellStyle name="Currency 28" xfId="84" xr:uid="{00000000-0005-0000-0000-000056000000}"/>
    <cellStyle name="Currency 29" xfId="85" xr:uid="{00000000-0005-0000-0000-000057000000}"/>
    <cellStyle name="Currency 3" xfId="86" xr:uid="{00000000-0005-0000-0000-000058000000}"/>
    <cellStyle name="Currency 3 2" xfId="87" xr:uid="{00000000-0005-0000-0000-000059000000}"/>
    <cellStyle name="Currency 3 3" xfId="88" xr:uid="{00000000-0005-0000-0000-00005A000000}"/>
    <cellStyle name="Currency 3 4" xfId="89" xr:uid="{00000000-0005-0000-0000-00005B000000}"/>
    <cellStyle name="Currency 3 5" xfId="90" xr:uid="{00000000-0005-0000-0000-00005C000000}"/>
    <cellStyle name="Currency 30" xfId="91" xr:uid="{00000000-0005-0000-0000-00005D000000}"/>
    <cellStyle name="Currency 31" xfId="92" xr:uid="{00000000-0005-0000-0000-00005E000000}"/>
    <cellStyle name="Currency 32" xfId="93" xr:uid="{00000000-0005-0000-0000-00005F000000}"/>
    <cellStyle name="Currency 33" xfId="94" xr:uid="{00000000-0005-0000-0000-000060000000}"/>
    <cellStyle name="Currency 34" xfId="95" xr:uid="{00000000-0005-0000-0000-000061000000}"/>
    <cellStyle name="Currency 35" xfId="96" xr:uid="{00000000-0005-0000-0000-000062000000}"/>
    <cellStyle name="Currency 36" xfId="97" xr:uid="{00000000-0005-0000-0000-000063000000}"/>
    <cellStyle name="Currency 37" xfId="98" xr:uid="{00000000-0005-0000-0000-000064000000}"/>
    <cellStyle name="Currency 38" xfId="99" xr:uid="{00000000-0005-0000-0000-000065000000}"/>
    <cellStyle name="Currency 39" xfId="100" xr:uid="{00000000-0005-0000-0000-000066000000}"/>
    <cellStyle name="Currency 4" xfId="101" xr:uid="{00000000-0005-0000-0000-000067000000}"/>
    <cellStyle name="Currency 4 2" xfId="102" xr:uid="{00000000-0005-0000-0000-000068000000}"/>
    <cellStyle name="Currency 4 2 2" xfId="103" xr:uid="{00000000-0005-0000-0000-000069000000}"/>
    <cellStyle name="Currency 4 2 2 2" xfId="104" xr:uid="{00000000-0005-0000-0000-00006A000000}"/>
    <cellStyle name="Currency 4 2 2 3" xfId="105" xr:uid="{00000000-0005-0000-0000-00006B000000}"/>
    <cellStyle name="Currency 4 2 3" xfId="106" xr:uid="{00000000-0005-0000-0000-00006C000000}"/>
    <cellStyle name="Currency 4 3" xfId="107" xr:uid="{00000000-0005-0000-0000-00006D000000}"/>
    <cellStyle name="Currency 4 3 2" xfId="108" xr:uid="{00000000-0005-0000-0000-00006E000000}"/>
    <cellStyle name="Currency 4 3 3" xfId="109" xr:uid="{00000000-0005-0000-0000-00006F000000}"/>
    <cellStyle name="Currency 4 4" xfId="110" xr:uid="{00000000-0005-0000-0000-000070000000}"/>
    <cellStyle name="Currency 4 5" xfId="111" xr:uid="{00000000-0005-0000-0000-000071000000}"/>
    <cellStyle name="Currency 40" xfId="112" xr:uid="{00000000-0005-0000-0000-000072000000}"/>
    <cellStyle name="Currency 41" xfId="113" xr:uid="{00000000-0005-0000-0000-000073000000}"/>
    <cellStyle name="Currency 42" xfId="114" xr:uid="{00000000-0005-0000-0000-000074000000}"/>
    <cellStyle name="Currency 43" xfId="115" xr:uid="{00000000-0005-0000-0000-000075000000}"/>
    <cellStyle name="Currency 44" xfId="116" xr:uid="{00000000-0005-0000-0000-000076000000}"/>
    <cellStyle name="Currency 45" xfId="117" xr:uid="{00000000-0005-0000-0000-000077000000}"/>
    <cellStyle name="Currency 46" xfId="118" xr:uid="{00000000-0005-0000-0000-000078000000}"/>
    <cellStyle name="Currency 5" xfId="119" xr:uid="{00000000-0005-0000-0000-000079000000}"/>
    <cellStyle name="Currency 5 2" xfId="120" xr:uid="{00000000-0005-0000-0000-00007A000000}"/>
    <cellStyle name="Currency 5 2 2" xfId="121" xr:uid="{00000000-0005-0000-0000-00007B000000}"/>
    <cellStyle name="Currency 5 3" xfId="122" xr:uid="{00000000-0005-0000-0000-00007C000000}"/>
    <cellStyle name="Currency 5 3 2" xfId="123" xr:uid="{00000000-0005-0000-0000-00007D000000}"/>
    <cellStyle name="Currency 5 3 3" xfId="124" xr:uid="{00000000-0005-0000-0000-00007E000000}"/>
    <cellStyle name="Currency 5 4" xfId="125" xr:uid="{00000000-0005-0000-0000-00007F000000}"/>
    <cellStyle name="Currency 5 5" xfId="126" xr:uid="{00000000-0005-0000-0000-000080000000}"/>
    <cellStyle name="Currency 5 6" xfId="127" xr:uid="{00000000-0005-0000-0000-000081000000}"/>
    <cellStyle name="Currency 6" xfId="128" xr:uid="{00000000-0005-0000-0000-000082000000}"/>
    <cellStyle name="Currency 6 2" xfId="129" xr:uid="{00000000-0005-0000-0000-000083000000}"/>
    <cellStyle name="Currency 6 3" xfId="130" xr:uid="{00000000-0005-0000-0000-000084000000}"/>
    <cellStyle name="Currency 7" xfId="131" xr:uid="{00000000-0005-0000-0000-000085000000}"/>
    <cellStyle name="Currency 7 2" xfId="132" xr:uid="{00000000-0005-0000-0000-000086000000}"/>
    <cellStyle name="Currency 7 3" xfId="133" xr:uid="{00000000-0005-0000-0000-000087000000}"/>
    <cellStyle name="Currency 8" xfId="134" xr:uid="{00000000-0005-0000-0000-000088000000}"/>
    <cellStyle name="Currency 8 2" xfId="135" xr:uid="{00000000-0005-0000-0000-000089000000}"/>
    <cellStyle name="Currency 9" xfId="136" xr:uid="{00000000-0005-0000-0000-00008A000000}"/>
    <cellStyle name="Explanatory Text 2" xfId="137" xr:uid="{00000000-0005-0000-0000-00008B000000}"/>
    <cellStyle name="Explanatory Text 2 2" xfId="138" xr:uid="{00000000-0005-0000-0000-00008C000000}"/>
    <cellStyle name="Explanatory Text 2 3" xfId="139" xr:uid="{00000000-0005-0000-0000-00008D000000}"/>
    <cellStyle name="Font: Calibri, 9pt regular" xfId="140" xr:uid="{00000000-0005-0000-0000-00008E000000}"/>
    <cellStyle name="Footnotes: top row" xfId="141" xr:uid="{00000000-0005-0000-0000-00008F000000}"/>
    <cellStyle name="Good 2" xfId="142" xr:uid="{00000000-0005-0000-0000-000090000000}"/>
    <cellStyle name="Header: bottom row" xfId="143" xr:uid="{00000000-0005-0000-0000-000091000000}"/>
    <cellStyle name="Heading 1 2" xfId="144" xr:uid="{00000000-0005-0000-0000-000092000000}"/>
    <cellStyle name="Heading 1 2 2" xfId="145" xr:uid="{00000000-0005-0000-0000-000093000000}"/>
    <cellStyle name="Heading 1 2 3" xfId="146" xr:uid="{00000000-0005-0000-0000-000094000000}"/>
    <cellStyle name="Heading 2 2" xfId="147" xr:uid="{00000000-0005-0000-0000-000095000000}"/>
    <cellStyle name="Heading 2 2 2" xfId="148" xr:uid="{00000000-0005-0000-0000-000096000000}"/>
    <cellStyle name="Heading 2 2 3" xfId="149" xr:uid="{00000000-0005-0000-0000-000097000000}"/>
    <cellStyle name="Heading 3 2" xfId="150" xr:uid="{00000000-0005-0000-0000-000098000000}"/>
    <cellStyle name="Heading 3 2 2" xfId="151" xr:uid="{00000000-0005-0000-0000-000099000000}"/>
    <cellStyle name="Heading 3 2 3" xfId="152" xr:uid="{00000000-0005-0000-0000-00009A000000}"/>
    <cellStyle name="Heading 4 2" xfId="153" xr:uid="{00000000-0005-0000-0000-00009B000000}"/>
    <cellStyle name="Heading 4 2 2" xfId="154" xr:uid="{00000000-0005-0000-0000-00009C000000}"/>
    <cellStyle name="Heading 4 2 3" xfId="155" xr:uid="{00000000-0005-0000-0000-00009D000000}"/>
    <cellStyle name="Hyperlink 2" xfId="156" xr:uid="{00000000-0005-0000-0000-00009E000000}"/>
    <cellStyle name="Input" xfId="157" builtinId="20"/>
    <cellStyle name="Input 2" xfId="158" xr:uid="{00000000-0005-0000-0000-0000A0000000}"/>
    <cellStyle name="Input 2 2" xfId="159" xr:uid="{00000000-0005-0000-0000-0000A1000000}"/>
    <cellStyle name="Input 2 3" xfId="160" xr:uid="{00000000-0005-0000-0000-0000A2000000}"/>
    <cellStyle name="Linked Cell 2" xfId="161" xr:uid="{00000000-0005-0000-0000-0000A3000000}"/>
    <cellStyle name="Linked Cell 2 2" xfId="162" xr:uid="{00000000-0005-0000-0000-0000A4000000}"/>
    <cellStyle name="Linked Cell 2 3" xfId="163" xr:uid="{00000000-0005-0000-0000-0000A5000000}"/>
    <cellStyle name="Neutral 2" xfId="164" xr:uid="{00000000-0005-0000-0000-0000A6000000}"/>
    <cellStyle name="Normal" xfId="0" builtinId="0"/>
    <cellStyle name="Normal 10" xfId="165" xr:uid="{00000000-0005-0000-0000-0000A8000000}"/>
    <cellStyle name="Normal 10 2" xfId="166" xr:uid="{00000000-0005-0000-0000-0000A9000000}"/>
    <cellStyle name="Normal 10 3" xfId="167" xr:uid="{00000000-0005-0000-0000-0000AA000000}"/>
    <cellStyle name="Normal 10 3 2" xfId="168" xr:uid="{00000000-0005-0000-0000-0000AB000000}"/>
    <cellStyle name="Normal 10 3 3" xfId="316" xr:uid="{55D0B2A8-4544-4C63-84E0-EA9D9B94198D}"/>
    <cellStyle name="Normal 11" xfId="169" xr:uid="{00000000-0005-0000-0000-0000AC000000}"/>
    <cellStyle name="Normal 11 2" xfId="170" xr:uid="{00000000-0005-0000-0000-0000AD000000}"/>
    <cellStyle name="Normal 11 2 2" xfId="171" xr:uid="{00000000-0005-0000-0000-0000AE000000}"/>
    <cellStyle name="Normal 12" xfId="172" xr:uid="{00000000-0005-0000-0000-0000AF000000}"/>
    <cellStyle name="Normal 13" xfId="173" xr:uid="{00000000-0005-0000-0000-0000B0000000}"/>
    <cellStyle name="Normal 13 2" xfId="174" xr:uid="{00000000-0005-0000-0000-0000B1000000}"/>
    <cellStyle name="Normal 14" xfId="175" xr:uid="{00000000-0005-0000-0000-0000B2000000}"/>
    <cellStyle name="Normal 14 2" xfId="176" xr:uid="{00000000-0005-0000-0000-0000B3000000}"/>
    <cellStyle name="Normal 15" xfId="177" xr:uid="{00000000-0005-0000-0000-0000B4000000}"/>
    <cellStyle name="Normal 16" xfId="178" xr:uid="{00000000-0005-0000-0000-0000B5000000}"/>
    <cellStyle name="Normal 17" xfId="179" xr:uid="{00000000-0005-0000-0000-0000B6000000}"/>
    <cellStyle name="Normal 17 2" xfId="180" xr:uid="{00000000-0005-0000-0000-0000B7000000}"/>
    <cellStyle name="Normal 17 3" xfId="307" xr:uid="{00000000-0005-0000-0000-0000B8000000}"/>
    <cellStyle name="Normal 18" xfId="181" xr:uid="{00000000-0005-0000-0000-0000B9000000}"/>
    <cellStyle name="Normal 18 2" xfId="308" xr:uid="{00000000-0005-0000-0000-0000BA000000}"/>
    <cellStyle name="Normal 19" xfId="182" xr:uid="{00000000-0005-0000-0000-0000BB000000}"/>
    <cellStyle name="Normal 2" xfId="183" xr:uid="{00000000-0005-0000-0000-0000BC000000}"/>
    <cellStyle name="Normal 2 2" xfId="184" xr:uid="{00000000-0005-0000-0000-0000BD000000}"/>
    <cellStyle name="Normal 2 2 2" xfId="185" xr:uid="{00000000-0005-0000-0000-0000BE000000}"/>
    <cellStyle name="Normal 2 2 2 2" xfId="309" xr:uid="{00000000-0005-0000-0000-0000BF000000}"/>
    <cellStyle name="Normal 2 2 3" xfId="186" xr:uid="{00000000-0005-0000-0000-0000C0000000}"/>
    <cellStyle name="Normal 2 2 4" xfId="318" xr:uid="{92025A8E-AE85-45FA-A44E-CC8FE901D6D5}"/>
    <cellStyle name="Normal 2 3" xfId="187" xr:uid="{00000000-0005-0000-0000-0000C1000000}"/>
    <cellStyle name="Normal 2 3 2" xfId="188" xr:uid="{00000000-0005-0000-0000-0000C2000000}"/>
    <cellStyle name="Normal 2 4" xfId="189" xr:uid="{00000000-0005-0000-0000-0000C3000000}"/>
    <cellStyle name="Normal 2 4 2" xfId="190" xr:uid="{00000000-0005-0000-0000-0000C4000000}"/>
    <cellStyle name="Normal 2 4 3" xfId="191" xr:uid="{00000000-0005-0000-0000-0000C5000000}"/>
    <cellStyle name="Normal 2 5" xfId="192" xr:uid="{00000000-0005-0000-0000-0000C6000000}"/>
    <cellStyle name="Normal 2 5 2" xfId="193" xr:uid="{00000000-0005-0000-0000-0000C7000000}"/>
    <cellStyle name="Normal 2 6" xfId="314" xr:uid="{3A255419-109E-4B51-B485-17F31FF2DAB9}"/>
    <cellStyle name="Normal 20" xfId="194" xr:uid="{00000000-0005-0000-0000-0000C8000000}"/>
    <cellStyle name="Normal 21" xfId="195" xr:uid="{00000000-0005-0000-0000-0000C9000000}"/>
    <cellStyle name="Normal 22" xfId="196" xr:uid="{00000000-0005-0000-0000-0000CA000000}"/>
    <cellStyle name="Normal 23" xfId="197" xr:uid="{00000000-0005-0000-0000-0000CB000000}"/>
    <cellStyle name="Normal 23 2" xfId="198" xr:uid="{00000000-0005-0000-0000-0000CC000000}"/>
    <cellStyle name="Normal 24" xfId="310" xr:uid="{00000000-0005-0000-0000-0000CD000000}"/>
    <cellStyle name="Normal 25" xfId="321" xr:uid="{8D07350A-D5FD-44EA-A992-2596EB80109D}"/>
    <cellStyle name="Normal 3" xfId="199" xr:uid="{00000000-0005-0000-0000-0000CE000000}"/>
    <cellStyle name="Normal 3 2" xfId="200" xr:uid="{00000000-0005-0000-0000-0000CF000000}"/>
    <cellStyle name="Normal 3 2 2" xfId="201" xr:uid="{00000000-0005-0000-0000-0000D0000000}"/>
    <cellStyle name="Normal 3 2 3" xfId="202" xr:uid="{00000000-0005-0000-0000-0000D1000000}"/>
    <cellStyle name="Normal 3 2 4" xfId="203" xr:uid="{00000000-0005-0000-0000-0000D2000000}"/>
    <cellStyle name="Normal 3 3" xfId="204" xr:uid="{00000000-0005-0000-0000-0000D3000000}"/>
    <cellStyle name="Normal 3 3 2" xfId="205" xr:uid="{00000000-0005-0000-0000-0000D4000000}"/>
    <cellStyle name="Normal 3 4" xfId="206" xr:uid="{00000000-0005-0000-0000-0000D5000000}"/>
    <cellStyle name="Normal 3 4 2" xfId="207" xr:uid="{00000000-0005-0000-0000-0000D6000000}"/>
    <cellStyle name="Normal 3 5" xfId="208" xr:uid="{00000000-0005-0000-0000-0000D7000000}"/>
    <cellStyle name="Normal 3 9" xfId="209" xr:uid="{00000000-0005-0000-0000-0000D8000000}"/>
    <cellStyle name="Normal 4" xfId="210" xr:uid="{00000000-0005-0000-0000-0000D9000000}"/>
    <cellStyle name="Normal 4 2" xfId="211" xr:uid="{00000000-0005-0000-0000-0000DA000000}"/>
    <cellStyle name="Normal 4 2 2" xfId="212" xr:uid="{00000000-0005-0000-0000-0000DB000000}"/>
    <cellStyle name="Normal 4 2 2 2" xfId="213" xr:uid="{00000000-0005-0000-0000-0000DC000000}"/>
    <cellStyle name="Normal 4 2 2 2 2" xfId="311" xr:uid="{00000000-0005-0000-0000-0000DD000000}"/>
    <cellStyle name="Normal 4 2 2 3" xfId="214" xr:uid="{00000000-0005-0000-0000-0000DE000000}"/>
    <cellStyle name="Normal 4 2 3" xfId="215" xr:uid="{00000000-0005-0000-0000-0000DF000000}"/>
    <cellStyle name="Normal 4 2 3 2" xfId="216" xr:uid="{00000000-0005-0000-0000-0000E0000000}"/>
    <cellStyle name="Normal 4 2 4" xfId="315" xr:uid="{DD3BBB13-B0F0-41F6-8AD2-C69DF946402B}"/>
    <cellStyle name="Normal 4 3" xfId="217" xr:uid="{00000000-0005-0000-0000-0000E1000000}"/>
    <cellStyle name="Normal 4 3 2" xfId="218" xr:uid="{00000000-0005-0000-0000-0000E2000000}"/>
    <cellStyle name="Normal 4 3 3" xfId="219" xr:uid="{00000000-0005-0000-0000-0000E3000000}"/>
    <cellStyle name="Normal 4 4" xfId="220" xr:uid="{00000000-0005-0000-0000-0000E4000000}"/>
    <cellStyle name="Normal 4 5 6" xfId="317" xr:uid="{AC3EF7D5-FE43-4C42-940C-D82F87C77CE3}"/>
    <cellStyle name="Normal 5" xfId="221" xr:uid="{00000000-0005-0000-0000-0000E5000000}"/>
    <cellStyle name="Normal 5 2" xfId="222" xr:uid="{00000000-0005-0000-0000-0000E6000000}"/>
    <cellStyle name="Normal 5 2 2" xfId="320" xr:uid="{8D65D760-0C16-49C9-9481-042D5BC69223}"/>
    <cellStyle name="Normal 5 3" xfId="312" xr:uid="{00000000-0005-0000-0000-0000E7000000}"/>
    <cellStyle name="Normal 5 4 7" xfId="223" xr:uid="{00000000-0005-0000-0000-0000E8000000}"/>
    <cellStyle name="Normal 6" xfId="224" xr:uid="{00000000-0005-0000-0000-0000E9000000}"/>
    <cellStyle name="Normal 6 2" xfId="225" xr:uid="{00000000-0005-0000-0000-0000EA000000}"/>
    <cellStyle name="Normal 6 2 2" xfId="226" xr:uid="{00000000-0005-0000-0000-0000EB000000}"/>
    <cellStyle name="Normal 6 2 2 2" xfId="227" xr:uid="{00000000-0005-0000-0000-0000EC000000}"/>
    <cellStyle name="Normal 6 2 3" xfId="228" xr:uid="{00000000-0005-0000-0000-0000ED000000}"/>
    <cellStyle name="Normal 6 2 4" xfId="229" xr:uid="{00000000-0005-0000-0000-0000EE000000}"/>
    <cellStyle name="Normal 6 3" xfId="230" xr:uid="{00000000-0005-0000-0000-0000EF000000}"/>
    <cellStyle name="Normal 6 3 2" xfId="313" xr:uid="{00000000-0005-0000-0000-0000F0000000}"/>
    <cellStyle name="Normal 6 4" xfId="231" xr:uid="{00000000-0005-0000-0000-0000F1000000}"/>
    <cellStyle name="Normal 7" xfId="232" xr:uid="{00000000-0005-0000-0000-0000F2000000}"/>
    <cellStyle name="Normal 7 2" xfId="233" xr:uid="{00000000-0005-0000-0000-0000F3000000}"/>
    <cellStyle name="Normal 7 3" xfId="234" xr:uid="{00000000-0005-0000-0000-0000F4000000}"/>
    <cellStyle name="Normal 8" xfId="235" xr:uid="{00000000-0005-0000-0000-0000F5000000}"/>
    <cellStyle name="Normal 8 2" xfId="236" xr:uid="{00000000-0005-0000-0000-0000F6000000}"/>
    <cellStyle name="Normal 8 3" xfId="237" xr:uid="{00000000-0005-0000-0000-0000F7000000}"/>
    <cellStyle name="Normal 8 4" xfId="238" xr:uid="{00000000-0005-0000-0000-0000F8000000}"/>
    <cellStyle name="Normal 8 5" xfId="239" xr:uid="{00000000-0005-0000-0000-0000F9000000}"/>
    <cellStyle name="Normal 9" xfId="240" xr:uid="{00000000-0005-0000-0000-0000FA000000}"/>
    <cellStyle name="Normal 9 2" xfId="241" xr:uid="{00000000-0005-0000-0000-0000FB000000}"/>
    <cellStyle name="Normal 9 2 2" xfId="242" xr:uid="{00000000-0005-0000-0000-0000FC000000}"/>
    <cellStyle name="Normal 9 2 3" xfId="243" xr:uid="{00000000-0005-0000-0000-0000FD000000}"/>
    <cellStyle name="Normal 9 3" xfId="244" xr:uid="{00000000-0005-0000-0000-0000FE000000}"/>
    <cellStyle name="Note 2" xfId="245" xr:uid="{00000000-0005-0000-0000-0000FF000000}"/>
    <cellStyle name="Note 2 2" xfId="246" xr:uid="{00000000-0005-0000-0000-000000010000}"/>
    <cellStyle name="Note 2 3" xfId="247" xr:uid="{00000000-0005-0000-0000-000001010000}"/>
    <cellStyle name="Output 2" xfId="248" xr:uid="{00000000-0005-0000-0000-000002010000}"/>
    <cellStyle name="Output 2 2" xfId="249" xr:uid="{00000000-0005-0000-0000-000003010000}"/>
    <cellStyle name="Output 2 3" xfId="250" xr:uid="{00000000-0005-0000-0000-000004010000}"/>
    <cellStyle name="Parent row" xfId="251" xr:uid="{00000000-0005-0000-0000-000005010000}"/>
    <cellStyle name="Percent" xfId="252" builtinId="5"/>
    <cellStyle name="Percent 10" xfId="253" xr:uid="{00000000-0005-0000-0000-000007010000}"/>
    <cellStyle name="Percent 10 2" xfId="254" xr:uid="{00000000-0005-0000-0000-000008010000}"/>
    <cellStyle name="Percent 11" xfId="255" xr:uid="{00000000-0005-0000-0000-000009010000}"/>
    <cellStyle name="Percent 15" xfId="256" xr:uid="{00000000-0005-0000-0000-00000A010000}"/>
    <cellStyle name="Percent 2" xfId="257" xr:uid="{00000000-0005-0000-0000-00000B010000}"/>
    <cellStyle name="Percent 2 2" xfId="258" xr:uid="{00000000-0005-0000-0000-00000C010000}"/>
    <cellStyle name="Percent 2 2 2" xfId="259" xr:uid="{00000000-0005-0000-0000-00000D010000}"/>
    <cellStyle name="Percent 2 2 3" xfId="260" xr:uid="{00000000-0005-0000-0000-00000E010000}"/>
    <cellStyle name="Percent 2 3" xfId="261" xr:uid="{00000000-0005-0000-0000-00000F010000}"/>
    <cellStyle name="Percent 2 4" xfId="262" xr:uid="{00000000-0005-0000-0000-000010010000}"/>
    <cellStyle name="Percent 2 5" xfId="263" xr:uid="{00000000-0005-0000-0000-000011010000}"/>
    <cellStyle name="Percent 2 7" xfId="319" xr:uid="{27CE02F1-F528-4F2A-9942-A6D24CD25E6C}"/>
    <cellStyle name="Percent 3" xfId="264" xr:uid="{00000000-0005-0000-0000-000012010000}"/>
    <cellStyle name="Percent 3 2" xfId="265" xr:uid="{00000000-0005-0000-0000-000013010000}"/>
    <cellStyle name="Percent 3 2 2" xfId="266" xr:uid="{00000000-0005-0000-0000-000014010000}"/>
    <cellStyle name="Percent 3 2 3" xfId="267" xr:uid="{00000000-0005-0000-0000-000015010000}"/>
    <cellStyle name="Percent 3 3" xfId="268" xr:uid="{00000000-0005-0000-0000-000016010000}"/>
    <cellStyle name="Percent 4" xfId="269" xr:uid="{00000000-0005-0000-0000-000017010000}"/>
    <cellStyle name="Percent 4 2" xfId="270" xr:uid="{00000000-0005-0000-0000-000018010000}"/>
    <cellStyle name="Percent 4 2 2" xfId="271" xr:uid="{00000000-0005-0000-0000-000019010000}"/>
    <cellStyle name="Percent 4 2 3" xfId="272" xr:uid="{00000000-0005-0000-0000-00001A010000}"/>
    <cellStyle name="Percent 4 3" xfId="273" xr:uid="{00000000-0005-0000-0000-00001B010000}"/>
    <cellStyle name="Percent 4 3 2" xfId="274" xr:uid="{00000000-0005-0000-0000-00001C010000}"/>
    <cellStyle name="Percent 5" xfId="275" xr:uid="{00000000-0005-0000-0000-00001D010000}"/>
    <cellStyle name="Percent 5 2" xfId="276" xr:uid="{00000000-0005-0000-0000-00001E010000}"/>
    <cellStyle name="Percent 5 2 2" xfId="277" xr:uid="{00000000-0005-0000-0000-00001F010000}"/>
    <cellStyle name="Percent 5 3" xfId="278" xr:uid="{00000000-0005-0000-0000-000020010000}"/>
    <cellStyle name="Percent 5 4" xfId="279" xr:uid="{00000000-0005-0000-0000-000021010000}"/>
    <cellStyle name="Percent 5 5" xfId="280" xr:uid="{00000000-0005-0000-0000-000022010000}"/>
    <cellStyle name="Percent 6" xfId="281" xr:uid="{00000000-0005-0000-0000-000023010000}"/>
    <cellStyle name="Percent 6 2" xfId="282" xr:uid="{00000000-0005-0000-0000-000024010000}"/>
    <cellStyle name="Percent 6 3" xfId="283" xr:uid="{00000000-0005-0000-0000-000025010000}"/>
    <cellStyle name="Percent 6 4" xfId="284" xr:uid="{00000000-0005-0000-0000-000026010000}"/>
    <cellStyle name="Percent 7" xfId="285" xr:uid="{00000000-0005-0000-0000-000027010000}"/>
    <cellStyle name="Percent 7 2" xfId="286" xr:uid="{00000000-0005-0000-0000-000028010000}"/>
    <cellStyle name="Percent 7 3" xfId="287" xr:uid="{00000000-0005-0000-0000-000029010000}"/>
    <cellStyle name="Percent 7 4" xfId="288" xr:uid="{00000000-0005-0000-0000-00002A010000}"/>
    <cellStyle name="Percent 8" xfId="289" xr:uid="{00000000-0005-0000-0000-00002B010000}"/>
    <cellStyle name="Percent 8 2" xfId="290" xr:uid="{00000000-0005-0000-0000-00002C010000}"/>
    <cellStyle name="Percent 8 3" xfId="291" xr:uid="{00000000-0005-0000-0000-00002D010000}"/>
    <cellStyle name="Percent 9" xfId="292" xr:uid="{00000000-0005-0000-0000-00002E010000}"/>
    <cellStyle name="Percent 9 2" xfId="293" xr:uid="{00000000-0005-0000-0000-00002F010000}"/>
    <cellStyle name="Table title" xfId="294" xr:uid="{00000000-0005-0000-0000-000030010000}"/>
    <cellStyle name="Title 2" xfId="295" xr:uid="{00000000-0005-0000-0000-000031010000}"/>
    <cellStyle name="Title 2 2" xfId="296" xr:uid="{00000000-0005-0000-0000-000032010000}"/>
    <cellStyle name="Title 2 3" xfId="297" xr:uid="{00000000-0005-0000-0000-000033010000}"/>
    <cellStyle name="Total 2" xfId="298" xr:uid="{00000000-0005-0000-0000-000034010000}"/>
    <cellStyle name="Total 2 2" xfId="299" xr:uid="{00000000-0005-0000-0000-000035010000}"/>
    <cellStyle name="Total 2 3" xfId="300" xr:uid="{00000000-0005-0000-0000-000036010000}"/>
    <cellStyle name="Warning Text 2" xfId="301" xr:uid="{00000000-0005-0000-0000-000037010000}"/>
    <cellStyle name="Warning Text 2 2" xfId="302" xr:uid="{00000000-0005-0000-0000-000038010000}"/>
    <cellStyle name="Warning Text 2 3" xfId="303" xr:uid="{00000000-0005-0000-0000-000039010000}"/>
  </cellStyles>
  <dxfs count="8">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4.xml"/><Relationship Id="rId50" Type="http://schemas.openxmlformats.org/officeDocument/2006/relationships/externalLink" Target="externalLinks/externalLink7.xml"/><Relationship Id="rId55" Type="http://schemas.openxmlformats.org/officeDocument/2006/relationships/externalLink" Target="externalLinks/externalLink12.xml"/><Relationship Id="rId63" Type="http://schemas.openxmlformats.org/officeDocument/2006/relationships/externalLink" Target="externalLinks/externalLink20.xml"/><Relationship Id="rId68" Type="http://schemas.openxmlformats.org/officeDocument/2006/relationships/externalLink" Target="externalLinks/externalLink25.xml"/><Relationship Id="rId76"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externalLink" Target="externalLinks/externalLink2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2.xml"/><Relationship Id="rId53" Type="http://schemas.openxmlformats.org/officeDocument/2006/relationships/externalLink" Target="externalLinks/externalLink10.xml"/><Relationship Id="rId58" Type="http://schemas.openxmlformats.org/officeDocument/2006/relationships/externalLink" Target="externalLinks/externalLink15.xml"/><Relationship Id="rId66" Type="http://schemas.openxmlformats.org/officeDocument/2006/relationships/externalLink" Target="externalLinks/externalLink23.xml"/><Relationship Id="rId74" Type="http://schemas.openxmlformats.org/officeDocument/2006/relationships/theme" Target="theme/theme1.xml"/><Relationship Id="rId79"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externalLink" Target="externalLinks/externalLink1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xml"/><Relationship Id="rId52" Type="http://schemas.openxmlformats.org/officeDocument/2006/relationships/externalLink" Target="externalLinks/externalLink9.xml"/><Relationship Id="rId60" Type="http://schemas.openxmlformats.org/officeDocument/2006/relationships/externalLink" Target="externalLinks/externalLink17.xml"/><Relationship Id="rId65" Type="http://schemas.openxmlformats.org/officeDocument/2006/relationships/externalLink" Target="externalLinks/externalLink22.xml"/><Relationship Id="rId73" Type="http://schemas.openxmlformats.org/officeDocument/2006/relationships/externalLink" Target="externalLinks/externalLink30.xml"/><Relationship Id="rId78"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5.xml"/><Relationship Id="rId56" Type="http://schemas.openxmlformats.org/officeDocument/2006/relationships/externalLink" Target="externalLinks/externalLink13.xml"/><Relationship Id="rId64" Type="http://schemas.openxmlformats.org/officeDocument/2006/relationships/externalLink" Target="externalLinks/externalLink21.xml"/><Relationship Id="rId69" Type="http://schemas.openxmlformats.org/officeDocument/2006/relationships/externalLink" Target="externalLinks/externalLink26.xml"/><Relationship Id="rId77" Type="http://schemas.openxmlformats.org/officeDocument/2006/relationships/sheetMetadata" Target="metadata.xml"/><Relationship Id="rId8" Type="http://schemas.openxmlformats.org/officeDocument/2006/relationships/worksheet" Target="worksheets/sheet8.xml"/><Relationship Id="rId51" Type="http://schemas.openxmlformats.org/officeDocument/2006/relationships/externalLink" Target="externalLinks/externalLink8.xml"/><Relationship Id="rId72" Type="http://schemas.openxmlformats.org/officeDocument/2006/relationships/externalLink" Target="externalLinks/externalLink29.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3.xml"/><Relationship Id="rId59" Type="http://schemas.openxmlformats.org/officeDocument/2006/relationships/externalLink" Target="externalLinks/externalLink16.xml"/><Relationship Id="rId67" Type="http://schemas.openxmlformats.org/officeDocument/2006/relationships/externalLink" Target="externalLinks/externalLink24.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1.xml"/><Relationship Id="rId62" Type="http://schemas.openxmlformats.org/officeDocument/2006/relationships/externalLink" Target="externalLinks/externalLink19.xml"/><Relationship Id="rId70" Type="http://schemas.openxmlformats.org/officeDocument/2006/relationships/externalLink" Target="externalLinks/externalLink27.xml"/><Relationship Id="rId75"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6.xml"/><Relationship Id="rId57" Type="http://schemas.openxmlformats.org/officeDocument/2006/relationships/externalLink" Target="externalLinks/externalLink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40</xdr:row>
      <xdr:rowOff>76199</xdr:rowOff>
    </xdr:from>
    <xdr:to>
      <xdr:col>72</xdr:col>
      <xdr:colOff>0</xdr:colOff>
      <xdr:row>52</xdr:row>
      <xdr:rowOff>123824</xdr:rowOff>
    </xdr:to>
    <xdr:pic>
      <xdr:nvPicPr>
        <xdr:cNvPr id="2" name="Picture 21">
          <a:extLst>
            <a:ext uri="{FF2B5EF4-FFF2-40B4-BE49-F238E27FC236}">
              <a16:creationId xmlns:a16="http://schemas.microsoft.com/office/drawing/2014/main" id="{0DF5EA28-20F7-4DCC-9E06-2F1687A1D5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6696074"/>
          <a:ext cx="8524875" cy="1990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Documents%20and%20Settings\Lisa\My%20Documents\BayCove\BayCove2005Profile315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ALLDHCFP\Shared%20Files\OSD\Don\EI\General%20Analysis%20Template%20V6.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Administrative%20Services-POS%20Policy%20Office\Rate%20Setting\Rate%20Projects\Family%20Stab_\1.%20Strategy%20Team%20Materials\Rate%20Review\Archive\Agency%20With%20Choice-Family%20Navigation%2011-7-14.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EHS-FP-BOS-081\Users\HNaciri\Downloads\Resi%20Rehab%203386&amp;3401%20122613%20330pm.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HS-FP-BOS-081\Users\HNaciri\Downloads\Resi%20Rehab%203386&amp;3401%20122613%20330pm.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EHS-FP-BOS-081\W_Pricing\SubAbuse\2013\Resi%20Rehab\Data\Resi%20Rehab%20_All%20Codes%20Analysis.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HS-FP-BOS-081\W_Pricing\SubAbuse\2013\Resi%20Rehab\Data\Resi%20Rehab%20_All%20Codes%20Analysis.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X:\hus_madcfrmu\MA%20DYS\RRO\2016%20Provisional%202014%20Final\2.%20Staff%20Rosters\MA%20DYS%20RO%20Time%20Study%20Staff%20Roster%20Template.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hs-fp-bos-081.ehs.govt.state.ma.us\common\E\X\Data%20&amp;%20Reporting%20Tools\STARR%20Utilization\STARR%20Utilization%20Tool%20FY10%20Jun"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M:\E\X\Data%20&amp;%20Reporting%20Tools\STARR%20Utilization\STARR%20Utilization%20Tool%20FY10%20Jun"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Z:\E\X\Data%20&amp;%20Reporting%20Tools\STARR%20Utilization\STARR%20Utilization%20Tool%20FY10%20Jun"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LISA\@lisa2001\Contracts2001\@LISA\@lisa99\Contracts99\FullerSEE99Am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E\X\Data%20&amp;%20Reporting%20Tools\STARR%20Utilization\STARR%20Utilization%20Tool%20FY10%20Jun"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X:\E\X\Data%20&amp;%20Reporting%20Tools\STARR%20Utilization\STARR%20Utilization%20Tool%20FY10%20Jun"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Administrative%20Services-POS%20Policy%20Office\Admin%20&amp;%20Staff\Kara\Workforce%20Initiatives\3.%20Benchmark%20Analysis%2010.18.19.xlsx" TargetMode="External"/></Relationships>
</file>

<file path=xl/externalLinks/_rels/externalLink23.xml.rels><?xml version="1.0" encoding="UTF-8" standalone="yes"?>
<Relationships xmlns="http://schemas.openxmlformats.org/package/2006/relationships"><Relationship Id="rId2" Type="http://schemas.openxmlformats.org/officeDocument/2006/relationships/externalLinkPath" Target="https://massgov-my.sharepoint.com/personal/mayeli_a_rohmann_mass_gov/Documents/Desktop/C257%20M2023%20BLS.xlsx" TargetMode="External"/><Relationship Id="rId1" Type="http://schemas.openxmlformats.org/officeDocument/2006/relationships/externalLinkPath" Target="/personal/mayeli_a_rohmann_mass_gov/Documents/Desktop/C257%20M2023%20BLS.xlsx" TargetMode="External"/></Relationships>
</file>

<file path=xl/externalLinks/_rels/externalLink24.xml.rels><?xml version="1.0" encoding="UTF-8" standalone="yes"?>
<Relationships xmlns="http://schemas.openxmlformats.org/package/2006/relationships"><Relationship Id="rId3" Type="http://schemas.openxmlformats.org/officeDocument/2006/relationships/externalLinkPath" Target="file:///X:\Administrative%20Services-POS%20Policy%20Office\Rate%20Setting\Rate%20Projects\CMR%20413_YITS%20(DCF,DMH,DPH)\2025%20Rate%20Review%20(FY26)\1.Strategy%20Team%20Materials\4.%20DCF%20Caring%20Together%20%20and%20Congregate%20Care%207.1.25\Congregate%20Care%20DCF%20Models%207.1.25%20%20DCF%20changes.xlsx" TargetMode="External"/><Relationship Id="rId2" Type="http://schemas.microsoft.com/office/2019/04/relationships/externalLinkLongPath" Target="file:///X:\Administrative%20Services-POS%20Policy%20Office\Rate%20Setting\Rate%20Projects\CMR%20413_YITS%20(DCF,DMH,DPH)\2025%20Rate%20Review%20(FY26)\1.Strategy%20Team%20Materials\4.%20DCF%20Caring%20Together%20%20and%20Congregate%20Care%207.1.25\Congregate%20Care%20DCF%20Models%207.1.25%20%20DCF%20changes.xlsx?5FFB0077" TargetMode="External"/><Relationship Id="rId1" Type="http://schemas.openxmlformats.org/officeDocument/2006/relationships/externalLinkPath" Target="file:///\\5FFB0077\Congregate%20Care%20DCF%20Models%207.1.25%20%20DCF%20changes.xlsx" TargetMode="External"/></Relationships>
</file>

<file path=xl/externalLinks/_rels/externalLink25.xml.rels><?xml version="1.0" encoding="UTF-8" standalone="yes"?>
<Relationships xmlns="http://schemas.openxmlformats.org/package/2006/relationships"><Relationship Id="rId2" Type="http://schemas.openxmlformats.org/officeDocument/2006/relationships/externalLinkPath" Target="file:///C:\Users\SHogan\AppData\Local\Microsoft\Windows\INetCache\Content.Outlook\CSV9DTG8\DRAFT%20Congregate%20Care%20DCF%20Models%207.1.25%201.23.25%20%20Feb%2028.xlsx" TargetMode="External"/><Relationship Id="rId1" Type="http://schemas.openxmlformats.org/officeDocument/2006/relationships/externalLinkPath" Target="file:///C:\Users\SHogan\AppData\Local\Microsoft\Windows\INetCache\Content.Outlook\CSV9DTG8\DRAFT%20Congregate%20Care%20DCF%20Models%207.1.25%201.23.25%20%20Feb%2028.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R:\Administrative%20Services-POS%20Policy%20Office\Admin%20&amp;%20Staff\Kara\Workforce%20Initiatives\6.%20BLS%20Analysis%20May2020%20for%20Jan%202022.xlsx" TargetMode="External"/></Relationships>
</file>

<file path=xl/externalLinks/_rels/externalLink27.xml.rels><?xml version="1.0" encoding="UTF-8" standalone="yes"?>
<Relationships xmlns="http://schemas.openxmlformats.org/package/2006/relationships"><Relationship Id="rId3" Type="http://schemas.openxmlformats.org/officeDocument/2006/relationships/externalLinkPath" Target="file:///X:\Administrative%20Services-POS%20Policy%20Office\Rate%20Setting\Rate%20Projects\CMR%20413_YITS%20(DCF,DMH,DPH)\2025%20Rate%20Review%20(FY26)\1.Strategy%20Team%20Materials\2.%20DPH-%20Youth%20Resi%20&amp;%20TAYYA%207.1.25\DPH%20101%20CMR%20413%20Youth%20Resi%20%20TAYYA%20FY26%202.24.25.xlsx" TargetMode="External"/><Relationship Id="rId2" Type="http://schemas.microsoft.com/office/2019/04/relationships/externalLinkLongPath" Target="file:///X:\Administrative%20Services-POS%20Policy%20Office\Rate%20Setting\Rate%20Projects\CMR%20413_YITS%20(DCF,DMH,DPH)\2025%20Rate%20Review%20(FY26)\1.Strategy%20Team%20Materials\2.%20DPH-%20Youth%20Resi%20&amp;%20TAYYA%207.1.25\DPH%20101%20CMR%20413%20Youth%20Resi%20%20TAYYA%20FY26%202.24.25.xlsx?17D34F56" TargetMode="External"/><Relationship Id="rId1" Type="http://schemas.openxmlformats.org/officeDocument/2006/relationships/externalLinkPath" Target="file:///\\17D34F56\DPH%20101%20CMR%20413%20Youth%20Resi%20%20TAYYA%20FY26%202.24.25.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X:\Administrative%20Services-POS%20Policy%20Office\Rate%20Setting\Rate%20Projects\YITs%20413-%20FY22%20DCF%20&amp;%20DMH\FY24%20Rate%20Review\1.%20Strategy%20Materials\Y%20Res%20&amp;%20Tayya%20FY24.xlsx" TargetMode="External"/></Relationships>
</file>

<file path=xl/externalLinks/_rels/externalLink29.xml.rels><?xml version="1.0" encoding="UTF-8" standalone="yes"?>
<Relationships xmlns="http://schemas.openxmlformats.org/package/2006/relationships"><Relationship Id="rId3" Type="http://schemas.openxmlformats.org/officeDocument/2006/relationships/externalLinkPath" Target="file:///X:\Administrative%20Services-POS%20Policy%20Office\Rate%20Setting\Rate%20Projects\CMR%20413_YITS%20(DCF,DMH,DPH)\2025%20Rate%20Review%20(FY26)\1.Strategy%20Team%20Materials\1.%20DMH%20%20IRTP&amp;%20CIRT%207.1.25\1.%20Strategy%20Materials\IRTP%20CIRT%20models%207.1.25%20%20%202.13.25.xlsx" TargetMode="External"/><Relationship Id="rId2" Type="http://schemas.microsoft.com/office/2019/04/relationships/externalLinkLongPath" Target="file:///X:\Administrative%20Services-POS%20Policy%20Office\Rate%20Setting\Rate%20Projects\CMR%20413_YITS%20(DCF,DMH,DPH)\2025%20Rate%20Review%20(FY26)\1.Strategy%20Team%20Materials\1.%20DMH%20%20IRTP&amp;%20CIRT%207.1.25\1.%20Strategy%20Materials\IRTP%20CIRT%20models%207.1.25%20%20%202.13.25.xlsx?12F9DB61" TargetMode="External"/><Relationship Id="rId1" Type="http://schemas.openxmlformats.org/officeDocument/2006/relationships/externalLinkPath" Target="file:///\\12F9DB61\IRTP%20CIRT%20models%207.1.25%20%20%202.13.2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ehs-fp-bos-081.ehs.govt.state.ma.us\common\Common\Administrative%20Services-POS%20Policy%20Office\Rate%20Setting\Rate%20Projects\YITs%20413-%20FY22%20DCF%20&amp;%20DMH\July%202021\1.%20Strategy%20materials\Continuum%20GH%20TAY%20(DMH)%206.1.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rihbany\Desktop\FY16%20Budget%20-%20Consolidated%2006112015%20FC%20Final.xlsm"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EHS.govt.state.ma.us\DFS\DDS\Boston_500_Harrison_ave\group\OMF\CONTRACT\Reports\Attendance%20Summaries\Monthly%20Attendance%20Summary%20(Bob%20report)%20FY23%202023_07_06.xlsm" TargetMode="External"/><Relationship Id="rId1" Type="http://schemas.openxmlformats.org/officeDocument/2006/relationships/externalLinkPath" Target="file:///\\EHS.govt.state.ma.us\DFS\DDS\Boston_500_Harrison_ave\group\OMF\CONTRACT\Reports\Attendance%20Summaries\Monthly%20Attendance%20Summary%20(Bob%20report)%20FY23%202023_07_06.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EHS-FP-BOS-081\Users\Villacorta\Downloads\FINAL%20ANALYSIS%20Counseling%20Rate%20Options%2007191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HS-FP-BOS-081\Users\Villacorta\Downloads\FINAL%20ANALYSIS%20Counseling%20Rate%20Options%20071913..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Counseling%20Rate%20Options%20MARCH%20181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HS-FP-BOS-081\Administrative%20Services-POS%20Policy%20Office\Rate%20Setting\Rate%20Projects\DPH%20-%20BSAS%20Residential\5.%20Final%20Rate%20Documents\POST-HEARING%20PROPOSAL%20Adult%20Resi_PP_Jail%20Div_2nd%20Off%20Model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le"/>
      <sheetName val="Crosswalks"/>
      <sheetName val="Sheet2"/>
    </sheetNames>
    <sheetDataSet>
      <sheetData sheetId="0"/>
      <sheetData sheetId="1"/>
      <sheetData sheetId="2" refreshError="1">
        <row r="1">
          <cell r="B1" t="str">
            <v>REGION</v>
          </cell>
        </row>
        <row r="2">
          <cell r="A2" t="str">
            <v>Berkshire</v>
          </cell>
          <cell r="B2" t="str">
            <v>1&amp;2</v>
          </cell>
        </row>
        <row r="3">
          <cell r="A3" t="str">
            <v>Brockton</v>
          </cell>
          <cell r="B3">
            <v>3</v>
          </cell>
        </row>
        <row r="4">
          <cell r="A4" t="str">
            <v>Cape Cod/Islands</v>
          </cell>
          <cell r="B4">
            <v>5</v>
          </cell>
        </row>
        <row r="5">
          <cell r="A5" t="str">
            <v>Central Middlesex</v>
          </cell>
          <cell r="B5">
            <v>6</v>
          </cell>
        </row>
        <row r="6">
          <cell r="A6" t="str">
            <v>Charles River West</v>
          </cell>
        </row>
        <row r="7">
          <cell r="A7" t="str">
            <v>Dorchester/Fuller</v>
          </cell>
        </row>
        <row r="8">
          <cell r="A8" t="str">
            <v>Fall River</v>
          </cell>
        </row>
        <row r="9">
          <cell r="A9" t="str">
            <v>Franklin/Hampshire</v>
          </cell>
        </row>
        <row r="10">
          <cell r="A10" t="str">
            <v>Holyoke/Chicopee</v>
          </cell>
        </row>
        <row r="11">
          <cell r="A11" t="str">
            <v>Lowell</v>
          </cell>
        </row>
        <row r="12">
          <cell r="A12" t="str">
            <v>Merrimack</v>
          </cell>
        </row>
        <row r="13">
          <cell r="A13" t="str">
            <v>Metro Boston - Harbor</v>
          </cell>
        </row>
        <row r="14">
          <cell r="A14" t="str">
            <v>Metro North</v>
          </cell>
        </row>
        <row r="15">
          <cell r="A15" t="str">
            <v>Middlesex West</v>
          </cell>
        </row>
        <row r="16">
          <cell r="A16" t="str">
            <v>New Bedford</v>
          </cell>
        </row>
        <row r="17">
          <cell r="A17" t="str">
            <v>Newton/South Norfolk</v>
          </cell>
        </row>
        <row r="18">
          <cell r="A18" t="str">
            <v>North Central</v>
          </cell>
        </row>
        <row r="19">
          <cell r="A19" t="str">
            <v>North Shore</v>
          </cell>
        </row>
        <row r="20">
          <cell r="A20" t="str">
            <v>Plymouth</v>
          </cell>
        </row>
        <row r="21">
          <cell r="A21" t="str">
            <v>South Costal</v>
          </cell>
        </row>
        <row r="22">
          <cell r="A22" t="str">
            <v>South Valley</v>
          </cell>
        </row>
        <row r="23">
          <cell r="A23" t="str">
            <v>South Valley - Milford Site</v>
          </cell>
        </row>
        <row r="24">
          <cell r="A24" t="str">
            <v>Springfield</v>
          </cell>
        </row>
        <row r="25">
          <cell r="A25" t="str">
            <v>Taunton/Attleboro</v>
          </cell>
        </row>
        <row r="26">
          <cell r="A26" t="str">
            <v>West Boston/Brookline</v>
          </cell>
        </row>
        <row r="27">
          <cell r="A27" t="str">
            <v>Westfield Area</v>
          </cell>
        </row>
        <row r="28">
          <cell r="A28" t="str">
            <v>Worcester</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RawDataCalcs"/>
      <sheetName val="CleanData (2)"/>
      <sheetName val="RawDataCalcs (2)"/>
      <sheetName val="Lookups"/>
      <sheetName val="Source"/>
      <sheetName val="Sheet1"/>
      <sheetName val="Transposed RawDataCalcs"/>
      <sheetName val="Transposed Clean Data"/>
      <sheetName val="Transposed Source"/>
      <sheetName val="Transposed RawDataCalcs &amp; Calcs"/>
    </sheetNames>
    <sheetDataSet>
      <sheetData sheetId="0"/>
      <sheetData sheetId="1"/>
      <sheetData sheetId="2"/>
      <sheetData sheetId="3"/>
      <sheetData sheetId="4"/>
      <sheetData sheetId="5"/>
      <sheetData sheetId="6">
        <row r="4">
          <cell r="A4" t="str">
            <v>Associates For Human Services Inc</v>
          </cell>
        </row>
        <row r="34">
          <cell r="L34">
            <v>0</v>
          </cell>
          <cell r="M34">
            <v>0.79029091117448558</v>
          </cell>
          <cell r="N34">
            <v>0</v>
          </cell>
          <cell r="O34">
            <v>0</v>
          </cell>
          <cell r="P34">
            <v>0</v>
          </cell>
          <cell r="Q34">
            <v>0</v>
          </cell>
          <cell r="R34">
            <v>0</v>
          </cell>
          <cell r="S34">
            <v>0</v>
          </cell>
          <cell r="T34">
            <v>0</v>
          </cell>
          <cell r="U34">
            <v>0</v>
          </cell>
          <cell r="V34">
            <v>0</v>
          </cell>
          <cell r="W34">
            <v>0</v>
          </cell>
          <cell r="X34">
            <v>0</v>
          </cell>
          <cell r="Y34">
            <v>0</v>
          </cell>
          <cell r="Z34">
            <v>46956.620119375693</v>
          </cell>
          <cell r="AA34">
            <v>17680</v>
          </cell>
          <cell r="AB34">
            <v>39867.641875293193</v>
          </cell>
          <cell r="AC34">
            <v>41031.086504828323</v>
          </cell>
          <cell r="AD34">
            <v>0</v>
          </cell>
          <cell r="AE34">
            <v>0</v>
          </cell>
          <cell r="AF34">
            <v>0</v>
          </cell>
          <cell r="AG34">
            <v>33944.118844784767</v>
          </cell>
          <cell r="AH34">
            <v>17680</v>
          </cell>
          <cell r="AI34">
            <v>0</v>
          </cell>
          <cell r="AJ34">
            <v>29753.902816591464</v>
          </cell>
          <cell r="AK34">
            <v>30930.825880294266</v>
          </cell>
          <cell r="AL34">
            <v>18569.0381892203</v>
          </cell>
          <cell r="AM34">
            <v>18442.473919768927</v>
          </cell>
          <cell r="AN34">
            <v>38606.161015285972</v>
          </cell>
          <cell r="AO34">
            <v>27075.185897627798</v>
          </cell>
          <cell r="AP34">
            <v>0</v>
          </cell>
          <cell r="AQ34">
            <v>0</v>
          </cell>
          <cell r="AR34">
            <v>0</v>
          </cell>
          <cell r="AS34">
            <v>20355.422680841988</v>
          </cell>
          <cell r="AT34">
            <v>71628.834700450796</v>
          </cell>
          <cell r="AU34">
            <v>20461.641675358544</v>
          </cell>
          <cell r="AV34">
            <v>21763.519947861987</v>
          </cell>
          <cell r="AW34">
            <v>30028.595208686409</v>
          </cell>
          <cell r="AX34">
            <v>20500.552365271986</v>
          </cell>
          <cell r="AY34">
            <v>0</v>
          </cell>
          <cell r="AZ34">
            <v>0</v>
          </cell>
          <cell r="BA34">
            <v>26069.349097187373</v>
          </cell>
          <cell r="BB34">
            <v>17680</v>
          </cell>
          <cell r="BC34">
            <v>27212.519009187054</v>
          </cell>
          <cell r="BD34">
            <v>41756.507202167428</v>
          </cell>
          <cell r="BE34">
            <v>28667.992486020263</v>
          </cell>
          <cell r="BF34">
            <v>19660.985016893599</v>
          </cell>
          <cell r="BG34">
            <v>17680</v>
          </cell>
          <cell r="BH34">
            <v>17680</v>
          </cell>
          <cell r="BI34">
            <v>17680</v>
          </cell>
          <cell r="BJ34">
            <v>0</v>
          </cell>
          <cell r="BK34">
            <v>0</v>
          </cell>
          <cell r="BL34">
            <v>37248.882698669069</v>
          </cell>
          <cell r="BM34">
            <v>17680</v>
          </cell>
          <cell r="BN34">
            <v>37585.774536606972</v>
          </cell>
          <cell r="BO34">
            <v>33596.29852940391</v>
          </cell>
          <cell r="BP34">
            <v>25417.773521214607</v>
          </cell>
          <cell r="BQ34">
            <v>30055.921442748004</v>
          </cell>
          <cell r="BR34">
            <v>21970.169720181879</v>
          </cell>
          <cell r="BS34">
            <v>17680</v>
          </cell>
          <cell r="BT34">
            <v>-1122614.5665450124</v>
          </cell>
          <cell r="BU34">
            <v>0.13027098074394894</v>
          </cell>
          <cell r="BV34">
            <v>-16766.898501709318</v>
          </cell>
          <cell r="BW34">
            <v>-1108530.6212166082</v>
          </cell>
          <cell r="BX34">
            <v>-1474513.4431397212</v>
          </cell>
          <cell r="BY34">
            <v>-359587.75471530249</v>
          </cell>
          <cell r="BZ34">
            <v>-675414.15673018876</v>
          </cell>
          <cell r="CA34">
            <v>-10318274.104858737</v>
          </cell>
          <cell r="CB34">
            <v>3.9667448114237239E-2</v>
          </cell>
          <cell r="CC34">
            <v>-354564.67376116331</v>
          </cell>
          <cell r="CD34">
            <v>-3143047.8255827245</v>
          </cell>
          <cell r="CE34">
            <v>-597214.63617941493</v>
          </cell>
          <cell r="CF34">
            <v>-629519.18501455639</v>
          </cell>
          <cell r="CG34">
            <v>-2933297.7765657566</v>
          </cell>
          <cell r="CH34">
            <v>-312958.42871704738</v>
          </cell>
          <cell r="CI34">
            <v>-6950335.2468438176</v>
          </cell>
          <cell r="CJ34">
            <v>-1108530.6212166082</v>
          </cell>
          <cell r="CK34">
            <v>-461138.95556240936</v>
          </cell>
          <cell r="CL34">
            <v>-359587.75471530249</v>
          </cell>
          <cell r="CM34">
            <v>-293888.7390341704</v>
          </cell>
          <cell r="CN34">
            <v>-675414.15673018876</v>
          </cell>
          <cell r="CO34">
            <v>-9523712.744866835</v>
          </cell>
          <cell r="CP34">
            <v>0.53755430053228481</v>
          </cell>
          <cell r="CQ34">
            <v>8.426975069624898E-2</v>
          </cell>
          <cell r="CR34">
            <v>-4.8713603045017345E-3</v>
          </cell>
          <cell r="CS34">
            <v>9.7952431306347933E-3</v>
          </cell>
          <cell r="CT34">
            <v>-3.9893498199197908E-2</v>
          </cell>
          <cell r="CU34">
            <v>3.8691458414040758E-2</v>
          </cell>
          <cell r="CV34">
            <v>5.6665121955921194</v>
          </cell>
          <cell r="CW34">
            <v>1.0474528769120166</v>
          </cell>
          <cell r="CX34">
            <v>-0.93418082786395029</v>
          </cell>
          <cell r="CY34">
            <v>-0.56422902479690396</v>
          </cell>
          <cell r="CZ34">
            <v>-0.51027554355606819</v>
          </cell>
          <cell r="DA34">
            <v>0.50401661976240408</v>
          </cell>
          <cell r="DB34">
            <v>9.2791732149199646</v>
          </cell>
        </row>
        <row r="35">
          <cell r="L35">
            <v>325.54527652063496</v>
          </cell>
          <cell r="M35">
            <v>1.145059670647806</v>
          </cell>
          <cell r="N35">
            <v>12.658929241568668</v>
          </cell>
          <cell r="O35">
            <v>95.943355157776523</v>
          </cell>
          <cell r="P35">
            <v>25.947712752140522</v>
          </cell>
          <cell r="Q35">
            <v>33.680418140703352</v>
          </cell>
          <cell r="R35">
            <v>117.98676225403045</v>
          </cell>
          <cell r="S35">
            <v>18.677306003027208</v>
          </cell>
          <cell r="T35">
            <v>4.0568192104597958E-2</v>
          </cell>
          <cell r="U35">
            <v>0.13171437587406293</v>
          </cell>
          <cell r="V35">
            <v>5.1755918785346619E-2</v>
          </cell>
          <cell r="W35">
            <v>0.16497859077952676</v>
          </cell>
          <cell r="X35">
            <v>0.2982878564398192</v>
          </cell>
          <cell r="Y35">
            <v>5.4787394269923656E-2</v>
          </cell>
          <cell r="Z35">
            <v>91413.434936079429</v>
          </cell>
          <cell r="AA35">
            <v>171213.94858211145</v>
          </cell>
          <cell r="AB35">
            <v>71268.467153171412</v>
          </cell>
          <cell r="AC35">
            <v>67499.431340421332</v>
          </cell>
          <cell r="AD35">
            <v>0</v>
          </cell>
          <cell r="AE35">
            <v>0</v>
          </cell>
          <cell r="AF35">
            <v>0</v>
          </cell>
          <cell r="AG35">
            <v>76170.539456675135</v>
          </cell>
          <cell r="AH35">
            <v>51194.094846967935</v>
          </cell>
          <cell r="AI35">
            <v>0</v>
          </cell>
          <cell r="AJ35">
            <v>96651.607294339352</v>
          </cell>
          <cell r="AK35">
            <v>103711.82144639676</v>
          </cell>
          <cell r="AL35">
            <v>108951.50925611406</v>
          </cell>
          <cell r="AM35">
            <v>124826.37579975859</v>
          </cell>
          <cell r="AN35">
            <v>56811.862618938139</v>
          </cell>
          <cell r="AO35">
            <v>55812.854748790807</v>
          </cell>
          <cell r="AP35">
            <v>0</v>
          </cell>
          <cell r="AQ35">
            <v>0</v>
          </cell>
          <cell r="AR35">
            <v>0</v>
          </cell>
          <cell r="AS35">
            <v>25027.576232617906</v>
          </cell>
          <cell r="AT35">
            <v>93184.103761087666</v>
          </cell>
          <cell r="AU35">
            <v>97525.123689390195</v>
          </cell>
          <cell r="AV35">
            <v>84456.375281292596</v>
          </cell>
          <cell r="AW35">
            <v>57934.015020761828</v>
          </cell>
          <cell r="AX35">
            <v>101633.94724195503</v>
          </cell>
          <cell r="AY35">
            <v>0</v>
          </cell>
          <cell r="AZ35">
            <v>0</v>
          </cell>
          <cell r="BA35">
            <v>66765.076206888509</v>
          </cell>
          <cell r="BB35">
            <v>97217.62868695044</v>
          </cell>
          <cell r="BC35">
            <v>54127.822372828719</v>
          </cell>
          <cell r="BD35">
            <v>61930.062581382372</v>
          </cell>
          <cell r="BE35">
            <v>62552.309754750124</v>
          </cell>
          <cell r="BF35">
            <v>61773.475248805931</v>
          </cell>
          <cell r="BG35">
            <v>57364.818493992512</v>
          </cell>
          <cell r="BH35">
            <v>61457.801192826271</v>
          </cell>
          <cell r="BI35">
            <v>59460.337150228035</v>
          </cell>
          <cell r="BJ35">
            <v>0</v>
          </cell>
          <cell r="BK35">
            <v>0</v>
          </cell>
          <cell r="BL35">
            <v>56935.273604014816</v>
          </cell>
          <cell r="BM35">
            <v>23906.767042588603</v>
          </cell>
          <cell r="BN35">
            <v>98552.058845081687</v>
          </cell>
          <cell r="BO35">
            <v>92467.250108432359</v>
          </cell>
          <cell r="BP35">
            <v>82220.484062892225</v>
          </cell>
          <cell r="BQ35">
            <v>56623.272837053592</v>
          </cell>
          <cell r="BR35">
            <v>55887.670848124704</v>
          </cell>
          <cell r="BS35">
            <v>51288.876636076719</v>
          </cell>
          <cell r="BT35">
            <v>2112574.116174642</v>
          </cell>
          <cell r="BU35">
            <v>0.25527956514613798</v>
          </cell>
          <cell r="BV35">
            <v>23380.416398015204</v>
          </cell>
          <cell r="BW35">
            <v>2091876.652949932</v>
          </cell>
          <cell r="BX35">
            <v>2741064.8572137947</v>
          </cell>
          <cell r="BY35">
            <v>635817.59101159882</v>
          </cell>
          <cell r="BZ35">
            <v>1513613.2335450135</v>
          </cell>
          <cell r="CA35">
            <v>18919408.888917986</v>
          </cell>
          <cell r="CB35">
            <v>0.19870561791457902</v>
          </cell>
          <cell r="CC35">
            <v>806865.11746486695</v>
          </cell>
          <cell r="CD35">
            <v>5168304.2633605022</v>
          </cell>
          <cell r="CE35">
            <v>1093155.1880312669</v>
          </cell>
          <cell r="CF35">
            <v>1069094.8390886304</v>
          </cell>
          <cell r="CG35">
            <v>4684667.7461953871</v>
          </cell>
          <cell r="CH35">
            <v>617900.22797630657</v>
          </cell>
          <cell r="CI35">
            <v>12419720.103140112</v>
          </cell>
          <cell r="CJ35">
            <v>2091876.652949932</v>
          </cell>
          <cell r="CK35">
            <v>820656.7340809278</v>
          </cell>
          <cell r="CL35">
            <v>635817.59101159882</v>
          </cell>
          <cell r="CM35">
            <v>482804.03681194817</v>
          </cell>
          <cell r="CN35">
            <v>1513613.2335450135</v>
          </cell>
          <cell r="CO35">
            <v>17639305.62230387</v>
          </cell>
          <cell r="CP35">
            <v>0.76215046939141795</v>
          </cell>
          <cell r="CQ35">
            <v>0.16600060800221017</v>
          </cell>
          <cell r="CR35">
            <v>8.5226674012795239E-2</v>
          </cell>
          <cell r="CS35">
            <v>5.5898307580515283E-2</v>
          </cell>
          <cell r="CT35">
            <v>9.7875058126419362E-2</v>
          </cell>
          <cell r="CU35">
            <v>0.20945045379962196</v>
          </cell>
          <cell r="CV35">
            <v>62.28479778701265</v>
          </cell>
          <cell r="CW35">
            <v>12.10204980934472</v>
          </cell>
          <cell r="CX35">
            <v>5.3536231730866977</v>
          </cell>
          <cell r="CY35">
            <v>4.4618604338916112</v>
          </cell>
          <cell r="CZ35">
            <v>2.5061718808094016</v>
          </cell>
          <cell r="DA35">
            <v>13.087601389791917</v>
          </cell>
          <cell r="DB35">
            <v>95.726227555066657</v>
          </cell>
        </row>
      </sheetData>
      <sheetData sheetId="7"/>
      <sheetData sheetId="8"/>
      <sheetData sheetId="9"/>
      <sheetData sheetId="10"/>
      <sheetData sheetId="11"/>
      <sheetData sheetId="12"/>
      <sheetData sheetId="13"/>
      <sheetData sheetId="14"/>
      <sheetData sheetId="1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CleanData (2)"/>
      <sheetName val="RawDataCalcs (2)"/>
      <sheetName val="Lookups"/>
      <sheetName val="RawDataCalcs"/>
      <sheetName val="Source"/>
      <sheetName val="FICurrentRate"/>
      <sheetName val="Model Budget"/>
      <sheetName val="Worksheet"/>
      <sheetName val="FamStabSalaries"/>
    </sheetNames>
    <sheetDataSet>
      <sheetData sheetId="0"/>
      <sheetData sheetId="1"/>
      <sheetData sheetId="2"/>
      <sheetData sheetId="3"/>
      <sheetData sheetId="4"/>
      <sheetData sheetId="5"/>
      <sheetData sheetId="6"/>
      <sheetData sheetId="7"/>
      <sheetData sheetId="8"/>
      <sheetData sheetId="9">
        <row r="16">
          <cell r="L16">
            <v>0</v>
          </cell>
        </row>
        <row r="17">
          <cell r="L17">
            <v>13.715630301246565</v>
          </cell>
          <cell r="M17">
            <v>1.5606998071978428</v>
          </cell>
          <cell r="N17">
            <v>0.94922482111054507</v>
          </cell>
          <cell r="O17">
            <v>0</v>
          </cell>
          <cell r="P17">
            <v>0</v>
          </cell>
          <cell r="Q17">
            <v>0</v>
          </cell>
          <cell r="R17">
            <v>12.278325920854748</v>
          </cell>
          <cell r="S17">
            <v>0.26594159209584445</v>
          </cell>
          <cell r="T17">
            <v>9.3352270138168464E-2</v>
          </cell>
          <cell r="U17">
            <v>0</v>
          </cell>
          <cell r="V17">
            <v>0</v>
          </cell>
          <cell r="W17">
            <v>0</v>
          </cell>
          <cell r="X17">
            <v>3.5337729155301019</v>
          </cell>
          <cell r="Y17">
            <v>1.0843633294937423</v>
          </cell>
          <cell r="Z17">
            <v>635149.05965226574</v>
          </cell>
          <cell r="AA17">
            <v>0</v>
          </cell>
          <cell r="AB17">
            <v>289423.88155425119</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95399.979722212971</v>
          </cell>
          <cell r="BE17">
            <v>0</v>
          </cell>
          <cell r="BF17">
            <v>0</v>
          </cell>
          <cell r="BG17">
            <v>0</v>
          </cell>
          <cell r="BH17">
            <v>149082.9837242121</v>
          </cell>
          <cell r="BI17">
            <v>0</v>
          </cell>
          <cell r="BJ17">
            <v>0</v>
          </cell>
          <cell r="BK17">
            <v>0</v>
          </cell>
          <cell r="BL17">
            <v>110054.81441723154</v>
          </cell>
          <cell r="BM17">
            <v>0</v>
          </cell>
          <cell r="BN17">
            <v>400007.34183446097</v>
          </cell>
          <cell r="BO17">
            <v>0</v>
          </cell>
          <cell r="BP17">
            <v>0</v>
          </cell>
          <cell r="BQ17">
            <v>0</v>
          </cell>
          <cell r="BR17">
            <v>87486.515622537816</v>
          </cell>
          <cell r="BS17">
            <v>149082.9837242121</v>
          </cell>
          <cell r="BT17">
            <v>64201.596502157932</v>
          </cell>
          <cell r="BU17">
            <v>0.23470344685741057</v>
          </cell>
          <cell r="BV17">
            <v>16.01243811628002</v>
          </cell>
          <cell r="BW17">
            <v>64179.066581320978</v>
          </cell>
          <cell r="BX17">
            <v>0</v>
          </cell>
          <cell r="BY17">
            <v>449.55555555555554</v>
          </cell>
          <cell r="BZ17">
            <v>58166.527683455301</v>
          </cell>
          <cell r="CA17">
            <v>358246.58334140829</v>
          </cell>
          <cell r="CB17">
            <v>0.18701432287169942</v>
          </cell>
          <cell r="CC17">
            <v>33444.303378043827</v>
          </cell>
          <cell r="CD17">
            <v>0</v>
          </cell>
          <cell r="CE17">
            <v>0</v>
          </cell>
          <cell r="CF17">
            <v>0</v>
          </cell>
          <cell r="CG17">
            <v>227049.79214470668</v>
          </cell>
          <cell r="CH17">
            <v>6717.7836214752688</v>
          </cell>
          <cell r="CI17">
            <v>266623.66945053823</v>
          </cell>
          <cell r="CJ17">
            <v>64179.066581320978</v>
          </cell>
          <cell r="CK17">
            <v>35766.888888888891</v>
          </cell>
          <cell r="CL17">
            <v>449.55555555555554</v>
          </cell>
          <cell r="CM17">
            <v>9716</v>
          </cell>
          <cell r="CN17">
            <v>58166.527683455301</v>
          </cell>
          <cell r="CO17">
            <v>416412.14015876781</v>
          </cell>
          <cell r="CP17">
            <v>0.87831108535723879</v>
          </cell>
          <cell r="CQ17">
            <v>0.16744893411282175</v>
          </cell>
          <cell r="CR17">
            <v>0</v>
          </cell>
          <cell r="CS17">
            <v>0</v>
          </cell>
          <cell r="CT17">
            <v>0</v>
          </cell>
          <cell r="CU17">
            <v>0.15916705613811943</v>
          </cell>
          <cell r="CV17">
            <v>243.99908573780101</v>
          </cell>
          <cell r="CW17">
            <v>32.103055682549908</v>
          </cell>
          <cell r="CX17">
            <v>5.5659646574679247</v>
          </cell>
          <cell r="CY17">
            <v>6.9958847736625515E-2</v>
          </cell>
          <cell r="CZ17">
            <v>1.5119825708061001</v>
          </cell>
          <cell r="DA17">
            <v>32.83724687471225</v>
          </cell>
          <cell r="DB17">
            <v>302.50137230893381</v>
          </cell>
        </row>
      </sheetData>
      <sheetData sheetId="10"/>
      <sheetData sheetId="11"/>
      <sheetData sheetId="12"/>
      <sheetData sheetId="13"/>
      <sheetData sheetId="1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68">
          <cell r="L68">
            <v>72.246451723559602</v>
          </cell>
        </row>
      </sheetData>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A"/>
      <sheetName val="DATA  ENTRY"/>
      <sheetName val="FullerSEE"/>
      <sheetName val="SummaryNarrative"/>
    </sheetNames>
    <sheetDataSet>
      <sheetData sheetId="0" refreshError="1">
        <row r="2">
          <cell r="B2" t="str">
            <v>ATTACHMENT A: AMENDMENT FORM         1999</v>
          </cell>
        </row>
        <row r="4">
          <cell r="J4" t="str">
            <v>Service Contract:</v>
          </cell>
        </row>
        <row r="5">
          <cell r="J5" t="str">
            <v>2631 9631 317</v>
          </cell>
        </row>
        <row r="8">
          <cell r="C8" t="str">
            <v>1) Highlight any significant programmatic or fiscal changes:</v>
          </cell>
          <cell r="O8" t="str">
            <v>Amendment #</v>
          </cell>
          <cell r="S8">
            <v>1</v>
          </cell>
        </row>
        <row r="12">
          <cell r="C12" t="str">
            <v>None</v>
          </cell>
        </row>
        <row r="13">
          <cell r="C13" t="str">
            <v xml:space="preserve"> </v>
          </cell>
        </row>
        <row r="26">
          <cell r="C26" t="str">
            <v>2) Identify any modification to the outcome measures or performance based objectives:</v>
          </cell>
        </row>
        <row r="28">
          <cell r="C28" t="str">
            <v>Per agreement with the Fuller Area office of the Department of Mental Health, the Attachment 2: Performance</v>
          </cell>
        </row>
        <row r="29">
          <cell r="C29" t="str">
            <v>Measures have been amended. Please see the amended Perofrmance Measures, attached.</v>
          </cell>
        </row>
        <row r="33">
          <cell r="C33" t="str">
            <v>1) Highlight any significant programmatic or fiscal changes:</v>
          </cell>
          <cell r="O33" t="str">
            <v>Amendment #</v>
          </cell>
        </row>
        <row r="44">
          <cell r="C44" t="str">
            <v>2) Identify any modification to the outcome measures or performance based objectives:</v>
          </cell>
        </row>
        <row r="50">
          <cell r="B50" t="str">
            <v>Attach a copy of the Attachment A: Renewal Summary Form</v>
          </cell>
        </row>
      </sheetData>
      <sheetData sheetId="1"/>
      <sheetData sheetId="2"/>
      <sheetData sheetId="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
      <sheetName val="DC I &amp; II"/>
      <sheetName val="DC II ks"/>
      <sheetName val="DC III "/>
      <sheetName val="CNA"/>
      <sheetName val="Caseworker BA"/>
      <sheetName val="Casemanager MA "/>
      <sheetName val="Clinician w indep Lic"/>
      <sheetName val="Clinical Manager"/>
      <sheetName val="LPN"/>
      <sheetName val="BS RN"/>
      <sheetName val="MS RN. APRN"/>
    </sheetNames>
    <sheetDataSet>
      <sheetData sheetId="0"/>
      <sheetData sheetId="1">
        <row r="12">
          <cell r="J12">
            <v>16.796506410256413</v>
          </cell>
        </row>
      </sheetData>
      <sheetData sheetId="2" refreshError="1"/>
      <sheetData sheetId="3">
        <row r="11">
          <cell r="J11">
            <v>20.893115384615385</v>
          </cell>
        </row>
      </sheetData>
      <sheetData sheetId="4">
        <row r="13">
          <cell r="L13">
            <v>16.170000000000002</v>
          </cell>
        </row>
      </sheetData>
      <sheetData sheetId="5">
        <row r="9">
          <cell r="J9">
            <v>22.073999999999998</v>
          </cell>
          <cell r="L9">
            <v>21.14</v>
          </cell>
        </row>
      </sheetData>
      <sheetData sheetId="6">
        <row r="13">
          <cell r="J13">
            <v>26.866666666666664</v>
          </cell>
        </row>
      </sheetData>
      <sheetData sheetId="7">
        <row r="13">
          <cell r="O13">
            <v>30.101111111111109</v>
          </cell>
        </row>
      </sheetData>
      <sheetData sheetId="8">
        <row r="6">
          <cell r="I6">
            <v>42.94</v>
          </cell>
        </row>
      </sheetData>
      <sheetData sheetId="9">
        <row r="6">
          <cell r="H6">
            <v>28.36</v>
          </cell>
        </row>
      </sheetData>
      <sheetData sheetId="10">
        <row r="16">
          <cell r="K16">
            <v>44.3</v>
          </cell>
        </row>
      </sheetData>
      <sheetData sheetId="11">
        <row r="15">
          <cell r="K15">
            <v>59.01</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te_M2023_dl"/>
      <sheetName val="M2023 BLS SALARY CHART (53rd)"/>
      <sheetName val="M2023 BLS SALARY CHART (63rd)"/>
      <sheetName val="M2023 BLS SALARY CHART (75th)"/>
      <sheetName val="DC  CNA  DC III"/>
      <sheetName val="Case Social Worker.Manager"/>
      <sheetName val="Clinical"/>
      <sheetName val="Nursing"/>
      <sheetName val="Management"/>
      <sheetName val="Therapies"/>
      <sheetName val="Sheet1"/>
      <sheetName val="Field Descriptions"/>
      <sheetName val="UpdateTime"/>
      <sheetName val="Filler"/>
    </sheetNames>
    <sheetDataSet>
      <sheetData sheetId="0">
        <row r="180">
          <cell r="O180">
            <v>62.031199999999998</v>
          </cell>
        </row>
        <row r="409">
          <cell r="O409">
            <v>21.561199999999999</v>
          </cell>
        </row>
        <row r="609">
          <cell r="O609">
            <v>24.7028</v>
          </cell>
        </row>
      </sheetData>
      <sheetData sheetId="1"/>
      <sheetData sheetId="2"/>
      <sheetData sheetId="3"/>
      <sheetData sheetId="4">
        <row r="8">
          <cell r="I8">
            <v>20.792100000000001</v>
          </cell>
        </row>
        <row r="13">
          <cell r="I13">
            <v>21.417999999999999</v>
          </cell>
          <cell r="J13">
            <v>44549.439999999995</v>
          </cell>
        </row>
        <row r="21">
          <cell r="I21">
            <v>27.027519999999999</v>
          </cell>
        </row>
      </sheetData>
      <sheetData sheetId="5">
        <row r="6">
          <cell r="J6">
            <v>30.979999999999997</v>
          </cell>
        </row>
        <row r="13">
          <cell r="J13">
            <v>33.755499999999998</v>
          </cell>
        </row>
      </sheetData>
      <sheetData sheetId="6">
        <row r="8">
          <cell r="J8">
            <v>40.211399999999998</v>
          </cell>
        </row>
        <row r="14">
          <cell r="J14">
            <v>48.945399999999999</v>
          </cell>
        </row>
      </sheetData>
      <sheetData sheetId="7">
        <row r="4">
          <cell r="J4">
            <v>35.506799999999998</v>
          </cell>
        </row>
        <row r="8">
          <cell r="J8">
            <v>49.818400000000004</v>
          </cell>
        </row>
        <row r="13">
          <cell r="J13">
            <v>67.710800000000006</v>
          </cell>
        </row>
      </sheetData>
      <sheetData sheetId="8">
        <row r="4">
          <cell r="J4">
            <v>38.860399999999998</v>
          </cell>
        </row>
      </sheetData>
      <sheetData sheetId="9">
        <row r="5">
          <cell r="I5">
            <v>36.818800000000003</v>
          </cell>
        </row>
        <row r="11">
          <cell r="I11">
            <v>39.750500000000002</v>
          </cell>
        </row>
        <row r="17">
          <cell r="I17">
            <v>42.784640000000003</v>
          </cell>
        </row>
        <row r="21">
          <cell r="I21">
            <v>44.301760000000002</v>
          </cell>
        </row>
      </sheetData>
      <sheetData sheetId="10"/>
      <sheetData sheetId="11"/>
      <sheetData sheetId="12"/>
      <sheetData sheetId="13"/>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M2021 BLS SALARY CHART (53_PCT)"/>
      <sheetName val="M2021 BLS  SALARY CHART"/>
      <sheetName val="DCF IMPACT w FTE changes"/>
      <sheetName val="DCF IMPACT"/>
      <sheetName val="Impact"/>
      <sheetName val="CAF Fall 2024"/>
      <sheetName val="M2023 BLS Chart"/>
      <sheetName val="NOTES"/>
      <sheetName val="Sheet1"/>
      <sheetName val="CAF FALL 2022"/>
      <sheetName val="CAF Fall 2020"/>
      <sheetName val="CAF Spring 2020"/>
      <sheetName val="Master Data"/>
      <sheetName val="FY24 Add on Rates "/>
      <sheetName val="Comm Treatment Residence CCTR "/>
      <sheetName val="PRR FY24 Comm Treatment Resi "/>
      <sheetName val="Specialty Treatment Resi CCTR"/>
      <sheetName val="PRR FY24 Spec Treat Res"/>
      <sheetName val="Specialty TR -CSEC (CCTR)orig"/>
      <sheetName val="PRR FY24 Specialty TR -CSEC"/>
      <sheetName val="Specialty TR -CSEC (CCTR) "/>
      <sheetName val="Intensive Treatment Resi (CCTR)"/>
      <sheetName val="PRR FY24 Intensive Treat Resi"/>
      <sheetName val="Emergency Residence CCER"/>
      <sheetName val="PRR FY24 Emergency Residence"/>
      <sheetName val="Intensive Emergency Resid C (2)"/>
      <sheetName val="Intensive Emergency Resid CCER"/>
      <sheetName val="PRR FY24 Int Emergency Resi"/>
      <sheetName val="Int Tment Res Emer Intake addon"/>
      <sheetName val="PRR Int Tment Res Emer IntakeAO"/>
      <sheetName val="FY26 Add on Rates"/>
      <sheetName val=" Medi Complex Resid CCMR orig"/>
      <sheetName val="7.23 PRR Medically Complex Resi"/>
      <sheetName val=" Medically Complex Resid CCMR"/>
      <sheetName val="MedCmplx &amp; Behavioral Resi orig"/>
      <sheetName val="7.23 MedCmplx &amp; Behavioral Resi"/>
      <sheetName val="MedCmplx &amp; Behavioral Resi CCMR"/>
      <sheetName val="Rate Chart"/>
      <sheetName val="Youth&amp;YA Group Resid CCYY"/>
      <sheetName val="7.23 Youth&amp;YA Group Residence"/>
      <sheetName val="Youth&amp;YA Supp.Living Comm CCYY "/>
      <sheetName val="7.23Youth&amp;YA Supp.Living Commun"/>
      <sheetName val="Young Adult Supported Liv CCYY"/>
      <sheetName val="7.23Young Adult Supported Livin"/>
      <sheetName val="Young Parent Resi CCYY"/>
      <sheetName val="7.23 Young Parent Residence"/>
      <sheetName val="IFC "/>
    </sheetNames>
    <sheetDataSet>
      <sheetData sheetId="0"/>
      <sheetData sheetId="1"/>
      <sheetData sheetId="2"/>
      <sheetData sheetId="3"/>
      <sheetData sheetId="4"/>
      <sheetData sheetId="5"/>
      <sheetData sheetId="6">
        <row r="22">
          <cell r="C22">
            <v>80829.631999999998</v>
          </cell>
        </row>
        <row r="44">
          <cell r="C44">
            <v>247470</v>
          </cell>
        </row>
      </sheetData>
      <sheetData sheetId="7"/>
      <sheetData sheetId="8"/>
      <sheetData sheetId="9"/>
      <sheetData sheetId="10"/>
      <sheetData sheetId="11"/>
      <sheetData sheetId="12">
        <row r="11">
          <cell r="E11">
            <v>0.15</v>
          </cell>
        </row>
        <row r="17">
          <cell r="E17">
            <v>83639.712</v>
          </cell>
        </row>
        <row r="18">
          <cell r="E18">
            <v>73854.144</v>
          </cell>
        </row>
        <row r="19">
          <cell r="E19">
            <v>80829.631999999998</v>
          </cell>
        </row>
        <row r="22">
          <cell r="E22">
            <v>247470</v>
          </cell>
        </row>
        <row r="23">
          <cell r="E23">
            <v>103622.27200000001</v>
          </cell>
        </row>
        <row r="24">
          <cell r="E24">
            <v>73854.144</v>
          </cell>
        </row>
        <row r="25">
          <cell r="E25">
            <v>82681.040000000008</v>
          </cell>
        </row>
        <row r="27">
          <cell r="E27">
            <v>83639.712</v>
          </cell>
        </row>
        <row r="28">
          <cell r="E28">
            <v>70211.44</v>
          </cell>
        </row>
        <row r="29">
          <cell r="E29">
            <v>83639.712</v>
          </cell>
        </row>
        <row r="31">
          <cell r="C31" t="str">
            <v>Clinical Care Manager (MA)</v>
          </cell>
          <cell r="E31">
            <v>70211.44</v>
          </cell>
        </row>
        <row r="32">
          <cell r="E32">
            <v>73854.144</v>
          </cell>
        </row>
        <row r="33">
          <cell r="E33">
            <v>56217.241600000001</v>
          </cell>
        </row>
        <row r="34">
          <cell r="E34">
            <v>56217.241600000001</v>
          </cell>
        </row>
        <row r="37">
          <cell r="E37">
            <v>64438.399999999994</v>
          </cell>
        </row>
        <row r="38">
          <cell r="E38">
            <v>43247.567999999999</v>
          </cell>
        </row>
        <row r="39">
          <cell r="E39">
            <v>43247.567999999999</v>
          </cell>
        </row>
        <row r="40">
          <cell r="E40">
            <v>43247.567999999999</v>
          </cell>
        </row>
        <row r="41">
          <cell r="E41">
            <v>43247.567999999999</v>
          </cell>
        </row>
        <row r="42">
          <cell r="E42">
            <v>43247.567999999999</v>
          </cell>
        </row>
        <row r="43">
          <cell r="E43">
            <v>43247.567999999999</v>
          </cell>
        </row>
        <row r="46">
          <cell r="E46">
            <v>0.24970000000000001</v>
          </cell>
        </row>
        <row r="48">
          <cell r="E48">
            <v>31.419846000000003</v>
          </cell>
        </row>
        <row r="49">
          <cell r="C49" t="str">
            <v>Programmatic expenses</v>
          </cell>
          <cell r="E49">
            <v>25.695</v>
          </cell>
        </row>
        <row r="50">
          <cell r="E50">
            <v>1.2847500000000001</v>
          </cell>
        </row>
        <row r="51">
          <cell r="C51" t="str">
            <v>Additional Training Expense Emergency Resi</v>
          </cell>
          <cell r="E51">
            <v>23.639400000000002</v>
          </cell>
        </row>
        <row r="53">
          <cell r="E53">
            <v>0.12</v>
          </cell>
        </row>
        <row r="55">
          <cell r="C55" t="str">
            <v>CAF - BASELINE</v>
          </cell>
          <cell r="E55">
            <v>3.2549514448865162E-2</v>
          </cell>
        </row>
      </sheetData>
      <sheetData sheetId="13"/>
      <sheetData sheetId="14"/>
      <sheetData sheetId="15">
        <row r="95">
          <cell r="F95">
            <v>522.46750318984471</v>
          </cell>
        </row>
      </sheetData>
      <sheetData sheetId="16"/>
      <sheetData sheetId="17">
        <row r="9">
          <cell r="B9" t="str">
            <v>Program Manager (LICSW)</v>
          </cell>
        </row>
        <row r="10">
          <cell r="B10" t="str">
            <v>Assistant Program Manager</v>
          </cell>
        </row>
        <row r="14">
          <cell r="B14" t="str">
            <v>Nursing LPN</v>
          </cell>
        </row>
        <row r="37">
          <cell r="B37" t="str">
            <v>Additional Training Expense</v>
          </cell>
        </row>
        <row r="41">
          <cell r="B41" t="str">
            <v xml:space="preserve">CAF </v>
          </cell>
        </row>
        <row r="44">
          <cell r="F44">
            <v>674.03164133903465</v>
          </cell>
        </row>
        <row r="97">
          <cell r="F97">
            <v>660.85031391906227</v>
          </cell>
        </row>
      </sheetData>
      <sheetData sheetId="18">
        <row r="14">
          <cell r="B14" t="str">
            <v>Nursing LPN</v>
          </cell>
        </row>
        <row r="15">
          <cell r="B15" t="str">
            <v>Clinician w/Independent Licensure</v>
          </cell>
        </row>
        <row r="17">
          <cell r="B17" t="str">
            <v>Occupational Therapist</v>
          </cell>
        </row>
        <row r="23">
          <cell r="B23" t="str">
            <v xml:space="preserve">Direct Care (DC III) Milieu Manager </v>
          </cell>
        </row>
      </sheetData>
      <sheetData sheetId="19"/>
      <sheetData sheetId="20"/>
      <sheetData sheetId="21">
        <row r="10">
          <cell r="B10" t="str">
            <v>Program Manager (LICSW)</v>
          </cell>
          <cell r="D10">
            <v>83639.712</v>
          </cell>
        </row>
        <row r="11">
          <cell r="B11" t="str">
            <v>Assistant Program Manager</v>
          </cell>
          <cell r="D11">
            <v>73854.144</v>
          </cell>
        </row>
        <row r="13">
          <cell r="D13">
            <v>247470</v>
          </cell>
        </row>
        <row r="18">
          <cell r="B18" t="str">
            <v>Occupational Therapist</v>
          </cell>
        </row>
      </sheetData>
      <sheetData sheetId="22">
        <row r="44">
          <cell r="E44">
            <v>794.1893314821474</v>
          </cell>
        </row>
        <row r="97">
          <cell r="E97">
            <v>777.62417230802919</v>
          </cell>
        </row>
      </sheetData>
      <sheetData sheetId="23">
        <row r="10">
          <cell r="D10">
            <v>83639.712</v>
          </cell>
        </row>
        <row r="11">
          <cell r="D11">
            <v>73854.144</v>
          </cell>
        </row>
        <row r="13">
          <cell r="D13">
            <v>247470</v>
          </cell>
        </row>
        <row r="14">
          <cell r="D14">
            <v>103622.27200000001</v>
          </cell>
        </row>
        <row r="16">
          <cell r="D16">
            <v>83639.712</v>
          </cell>
        </row>
        <row r="17">
          <cell r="D17">
            <v>70211.44</v>
          </cell>
        </row>
        <row r="18">
          <cell r="B18" t="str">
            <v>Occupational Therapist</v>
          </cell>
          <cell r="D18">
            <v>82681.040000000008</v>
          </cell>
        </row>
        <row r="31">
          <cell r="D31">
            <v>0.24970000000000001</v>
          </cell>
        </row>
        <row r="34">
          <cell r="E34">
            <v>31.419846000000003</v>
          </cell>
        </row>
        <row r="35">
          <cell r="E35">
            <v>25.695</v>
          </cell>
        </row>
        <row r="36">
          <cell r="E36">
            <v>23.639400000000002</v>
          </cell>
        </row>
        <row r="38">
          <cell r="D38">
            <v>0.12</v>
          </cell>
        </row>
        <row r="40">
          <cell r="B40" t="str">
            <v>CAF - BASELINE</v>
          </cell>
          <cell r="D40">
            <v>3.2549514448865162E-2</v>
          </cell>
        </row>
      </sheetData>
      <sheetData sheetId="24">
        <row r="39">
          <cell r="F39">
            <v>635.99570432453868</v>
          </cell>
        </row>
      </sheetData>
      <sheetData sheetId="25"/>
      <sheetData sheetId="26"/>
      <sheetData sheetId="27">
        <row r="40">
          <cell r="F40">
            <v>755.87014894582899</v>
          </cell>
        </row>
      </sheetData>
      <sheetData sheetId="28"/>
      <sheetData sheetId="29">
        <row r="31">
          <cell r="F31">
            <v>119.4182687696122</v>
          </cell>
        </row>
      </sheetData>
      <sheetData sheetId="30"/>
      <sheetData sheetId="31"/>
      <sheetData sheetId="32"/>
      <sheetData sheetId="33">
        <row r="26">
          <cell r="D26">
            <v>0.24970000000000001</v>
          </cell>
        </row>
        <row r="29">
          <cell r="E29">
            <v>31.419846000000003</v>
          </cell>
        </row>
        <row r="30">
          <cell r="E30">
            <v>25.695</v>
          </cell>
        </row>
        <row r="32">
          <cell r="D32">
            <v>0.12</v>
          </cell>
        </row>
        <row r="34">
          <cell r="B34" t="str">
            <v>CAF - BASELINE</v>
          </cell>
          <cell r="D34">
            <v>3.2549514448865162E-2</v>
          </cell>
        </row>
        <row r="46">
          <cell r="B46" t="str">
            <v>FY26 Updates</v>
          </cell>
        </row>
      </sheetData>
      <sheetData sheetId="34"/>
      <sheetData sheetId="35"/>
      <sheetData sheetId="36"/>
      <sheetData sheetId="37"/>
      <sheetData sheetId="38">
        <row r="31">
          <cell r="B31" t="str">
            <v>Programmatic expenses</v>
          </cell>
        </row>
        <row r="36">
          <cell r="B36" t="str">
            <v>CAF - BASELINE</v>
          </cell>
        </row>
      </sheetData>
      <sheetData sheetId="39">
        <row r="27">
          <cell r="B27" t="str">
            <v>Programmatic expenses</v>
          </cell>
        </row>
        <row r="35">
          <cell r="F35">
            <v>408.95734489839191</v>
          </cell>
        </row>
      </sheetData>
      <sheetData sheetId="40"/>
      <sheetData sheetId="41">
        <row r="35">
          <cell r="F35">
            <v>378.49016750345504</v>
          </cell>
        </row>
      </sheetData>
      <sheetData sheetId="42">
        <row r="29">
          <cell r="B29" t="str">
            <v>CAF - BASELINE</v>
          </cell>
          <cell r="D29">
            <v>3.2549514448865162E-2</v>
          </cell>
        </row>
      </sheetData>
      <sheetData sheetId="43">
        <row r="29">
          <cell r="F29">
            <v>195.38923270645029</v>
          </cell>
        </row>
      </sheetData>
      <sheetData sheetId="44"/>
      <sheetData sheetId="45">
        <row r="32">
          <cell r="F32">
            <v>9481.5730070807458</v>
          </cell>
        </row>
        <row r="52">
          <cell r="E52">
            <v>36</v>
          </cell>
        </row>
        <row r="59">
          <cell r="F59">
            <v>406.33390594176757</v>
          </cell>
        </row>
      </sheetData>
      <sheetData sheetId="46"/>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2021 BLS SALARY CHART (53_PCT)"/>
      <sheetName val="M2021 BLS  SALARY CHART"/>
      <sheetName val="FISCAL IMPACT FY24"/>
      <sheetName val="CAF Fall 2024"/>
      <sheetName val="M2023 BLS Chart"/>
      <sheetName val="NOTES"/>
      <sheetName val="Sheet1"/>
      <sheetName val="CAF FALL 2022"/>
      <sheetName val="CAF Fall 2020"/>
      <sheetName val="CAF Spring 2020"/>
      <sheetName val="Master Data"/>
      <sheetName val="FY24 Add on Rates "/>
      <sheetName val="FY26 Add on Rates"/>
      <sheetName val="Comm Treatment Residence CCTR "/>
      <sheetName val="PRR FY24 Comm Treatment Resi "/>
      <sheetName val="Specialty Treatment Resi CCTR"/>
      <sheetName val="PRR FY24 Spec Treat Res"/>
      <sheetName val="Specialty TR -CSEC (CCTR)"/>
      <sheetName val="PRR FY24 Specialty TR -CSEC"/>
      <sheetName val="Intensive Treatment Resi (CCTR)"/>
      <sheetName val="PRR FY24 Intensive Treat Resi"/>
      <sheetName val="Emergency Residence CCER"/>
      <sheetName val="PRR FY24 Emergency Residence"/>
      <sheetName val="Intensive Emergency Resid CCER"/>
      <sheetName val="PRR FY24 Int Emergency Resi"/>
      <sheetName val="Int Tment Res Emer Intake addon"/>
      <sheetName val="PRR Int Tment Res Emer IntakeAO"/>
      <sheetName val=" Medically Complex Resid CCMR"/>
      <sheetName val="7.23 PRR Medically Complex Resi"/>
      <sheetName val="MedCmplx &amp; Behavioral Resi CCMR"/>
      <sheetName val="7.23 MedCmplx &amp; Behavioral Resi"/>
      <sheetName val="Youth&amp;YA Group Resid CCYY"/>
      <sheetName val="7.23 Youth&amp;YA Group Residence"/>
      <sheetName val="Youth&amp;YA Supp.Living Comm CCYY "/>
      <sheetName val="7.23Youth&amp;YA Supp.Living Commun"/>
      <sheetName val="Young Adult Supported Liv CCYY"/>
      <sheetName val="7.23Young Adult Supported Livin"/>
      <sheetName val="Young Parent Resi CCYY"/>
      <sheetName val="7.23 Young Parent Residence"/>
      <sheetName val="IFC "/>
    </sheetNames>
    <sheetDataSet>
      <sheetData sheetId="0"/>
      <sheetData sheetId="1"/>
      <sheetData sheetId="2"/>
      <sheetData sheetId="3"/>
      <sheetData sheetId="4">
        <row r="18">
          <cell r="C18">
            <v>83639.712</v>
          </cell>
        </row>
        <row r="24">
          <cell r="C24">
            <v>82681.040000000008</v>
          </cell>
        </row>
      </sheetData>
      <sheetData sheetId="5"/>
      <sheetData sheetId="6"/>
      <sheetData sheetId="7"/>
      <sheetData sheetId="8"/>
      <sheetData sheetId="9"/>
      <sheetData sheetId="10">
        <row r="11">
          <cell r="E11">
            <v>0.15</v>
          </cell>
        </row>
        <row r="17">
          <cell r="E17">
            <v>83639.712</v>
          </cell>
        </row>
        <row r="18">
          <cell r="E18">
            <v>73854.144</v>
          </cell>
        </row>
        <row r="23">
          <cell r="E23">
            <v>103622.27200000001</v>
          </cell>
        </row>
        <row r="24">
          <cell r="E24">
            <v>73854.144</v>
          </cell>
        </row>
        <row r="25">
          <cell r="C25" t="str">
            <v>Occupational Therapist</v>
          </cell>
          <cell r="E25">
            <v>82681.040000000008</v>
          </cell>
        </row>
        <row r="27">
          <cell r="C27" t="str">
            <v>Clinician w/Independent Licensure</v>
          </cell>
        </row>
        <row r="31">
          <cell r="E31">
            <v>70211.44</v>
          </cell>
        </row>
        <row r="32">
          <cell r="E32">
            <v>73854.144</v>
          </cell>
        </row>
        <row r="33">
          <cell r="C33" t="str">
            <v>Life Coach /DCIII</v>
          </cell>
          <cell r="E33">
            <v>56217.241600000001</v>
          </cell>
        </row>
        <row r="34">
          <cell r="E34">
            <v>56217.241600000001</v>
          </cell>
        </row>
        <row r="37">
          <cell r="E37">
            <v>64438.399999999994</v>
          </cell>
        </row>
        <row r="39">
          <cell r="E39">
            <v>43247.567999999999</v>
          </cell>
        </row>
        <row r="40">
          <cell r="E40">
            <v>43247.567999999999</v>
          </cell>
        </row>
        <row r="41">
          <cell r="E41">
            <v>43247.567999999999</v>
          </cell>
        </row>
        <row r="42">
          <cell r="E42">
            <v>43247.567999999999</v>
          </cell>
        </row>
        <row r="43">
          <cell r="E43">
            <v>43247.567999999999</v>
          </cell>
        </row>
        <row r="46">
          <cell r="E46">
            <v>0.24970000000000001</v>
          </cell>
        </row>
        <row r="48">
          <cell r="E48">
            <v>31.419846000000003</v>
          </cell>
        </row>
        <row r="49">
          <cell r="C49" t="str">
            <v>Programmatic expenses</v>
          </cell>
          <cell r="E49">
            <v>25.695</v>
          </cell>
        </row>
        <row r="50">
          <cell r="E50">
            <v>1.2847500000000001</v>
          </cell>
        </row>
        <row r="53">
          <cell r="E53">
            <v>0.12</v>
          </cell>
        </row>
        <row r="55">
          <cell r="C55" t="str">
            <v>CAF - BASELINE</v>
          </cell>
          <cell r="E55">
            <v>3.2549514448865162E-2</v>
          </cell>
        </row>
      </sheetData>
      <sheetData sheetId="11"/>
      <sheetData sheetId="12"/>
      <sheetData sheetId="13">
        <row r="52">
          <cell r="B52" t="str">
            <v>FY26 Updates</v>
          </cell>
        </row>
      </sheetData>
      <sheetData sheetId="14"/>
      <sheetData sheetId="15">
        <row r="10">
          <cell r="B10" t="str">
            <v>Program Manager (LICSW)</v>
          </cell>
        </row>
        <row r="11">
          <cell r="B11" t="str">
            <v>Assistant Program Manager</v>
          </cell>
        </row>
        <row r="13">
          <cell r="B13" t="str">
            <v>Psychiatrist</v>
          </cell>
          <cell r="D13">
            <v>247470</v>
          </cell>
        </row>
        <row r="14">
          <cell r="B14" t="str">
            <v xml:space="preserve">Nursing RN Non Masters </v>
          </cell>
          <cell r="D14">
            <v>103622.27200000001</v>
          </cell>
        </row>
        <row r="15">
          <cell r="B15" t="str">
            <v>Nursing LPN</v>
          </cell>
          <cell r="D15">
            <v>73854.144</v>
          </cell>
        </row>
        <row r="16">
          <cell r="D16">
            <v>83639.712</v>
          </cell>
        </row>
        <row r="17">
          <cell r="D17">
            <v>70211.44</v>
          </cell>
        </row>
        <row r="18">
          <cell r="B18" t="str">
            <v>Occupational Therapist</v>
          </cell>
          <cell r="D18">
            <v>82681.040000000008</v>
          </cell>
        </row>
      </sheetData>
      <sheetData sheetId="16"/>
      <sheetData sheetId="17"/>
      <sheetData sheetId="18"/>
      <sheetData sheetId="19"/>
      <sheetData sheetId="20"/>
      <sheetData sheetId="21"/>
      <sheetData sheetId="22"/>
      <sheetData sheetId="23"/>
      <sheetData sheetId="24"/>
      <sheetData sheetId="25">
        <row r="41">
          <cell r="B41" t="str">
            <v>FY26 Updates</v>
          </cell>
        </row>
        <row r="45">
          <cell r="B45" t="str">
            <v>BTL expenses to PY +CAF</v>
          </cell>
        </row>
      </sheetData>
      <sheetData sheetId="26"/>
      <sheetData sheetId="27"/>
      <sheetData sheetId="28">
        <row r="33">
          <cell r="F33">
            <v>771.67649970269918</v>
          </cell>
        </row>
        <row r="75">
          <cell r="F75">
            <v>759.25263032211046</v>
          </cell>
        </row>
      </sheetData>
      <sheetData sheetId="29"/>
      <sheetData sheetId="30">
        <row r="34">
          <cell r="F34">
            <v>754.05011807450103</v>
          </cell>
        </row>
        <row r="76">
          <cell r="F76">
            <v>737.48495890038282</v>
          </cell>
        </row>
      </sheetData>
      <sheetData sheetId="31"/>
      <sheetData sheetId="32"/>
      <sheetData sheetId="33"/>
      <sheetData sheetId="34"/>
      <sheetData sheetId="35"/>
      <sheetData sheetId="36"/>
      <sheetData sheetId="37"/>
      <sheetData sheetId="38"/>
      <sheetData sheetId="39"/>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te_M2020_dl"/>
      <sheetName val="Field Descriptions"/>
      <sheetName val="UpdateTime"/>
      <sheetName val="Filler"/>
      <sheetName val="Sheet1"/>
      <sheetName val="Management (2)"/>
      <sheetName val="Chart"/>
      <sheetName val="M2020 BLS  SALARY CHART"/>
      <sheetName val="DC  CNA  DC III"/>
      <sheetName val="Case Social Worker.Manager"/>
      <sheetName val="Clinical"/>
      <sheetName val="Nursing"/>
      <sheetName val="Management"/>
      <sheetName val="Chart (2)"/>
      <sheetName val="Therapies"/>
      <sheetName val="M2020 CHA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7">
          <cell r="G7">
            <v>16.791999999999998</v>
          </cell>
        </row>
        <row r="11">
          <cell r="G11">
            <v>17.260000000000002</v>
          </cell>
        </row>
        <row r="20">
          <cell r="G20">
            <v>21.736000000000001</v>
          </cell>
        </row>
      </sheetData>
      <sheetData sheetId="9">
        <row r="4">
          <cell r="G4">
            <v>21.814999999999998</v>
          </cell>
        </row>
        <row r="10">
          <cell r="G10">
            <v>26.16</v>
          </cell>
        </row>
      </sheetData>
      <sheetData sheetId="10">
        <row r="5">
          <cell r="G5">
            <v>30.59</v>
          </cell>
        </row>
        <row r="9">
          <cell r="G9">
            <v>40.57</v>
          </cell>
        </row>
      </sheetData>
      <sheetData sheetId="11">
        <row r="2">
          <cell r="G2">
            <v>28.8</v>
          </cell>
        </row>
        <row r="6">
          <cell r="G6">
            <v>43.41</v>
          </cell>
        </row>
        <row r="11">
          <cell r="G11">
            <v>59.6</v>
          </cell>
        </row>
      </sheetData>
      <sheetData sheetId="12">
        <row r="2">
          <cell r="G2">
            <v>33.46153846153846</v>
          </cell>
          <cell r="H2">
            <v>69600</v>
          </cell>
        </row>
      </sheetData>
      <sheetData sheetId="13" refreshError="1"/>
      <sheetData sheetId="14">
        <row r="2">
          <cell r="E2">
            <v>31.99</v>
          </cell>
        </row>
        <row r="8">
          <cell r="E8">
            <v>34.022499999999994</v>
          </cell>
        </row>
        <row r="14">
          <cell r="E14">
            <v>36.380000000000003</v>
          </cell>
        </row>
        <row r="18">
          <cell r="E18">
            <v>37.751999999999995</v>
          </cell>
        </row>
      </sheetData>
      <sheetData sheetId="15"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Salary Bench Chart"/>
      <sheetName val="M2021 BLS  SALARY CHART"/>
      <sheetName val="3470 FY21 BTL data"/>
      <sheetName val="Sheet1"/>
      <sheetName val="Rate Chart"/>
      <sheetName val="CAF Fall 2024"/>
      <sheetName val="M2023 BLS Chart"/>
      <sheetName val="YouthRes  (FY26)"/>
      <sheetName val="TAYYA (FY26)"/>
      <sheetName val="%change with add. med spec"/>
      <sheetName val="Fiscal Impact FY26"/>
      <sheetName val="Youth Resi expenses FY23"/>
      <sheetName val="TAYYA expenses FY23"/>
      <sheetName val="TAYYA  (FY24) FOIA"/>
      <sheetName val="TAYYA expenses FY21"/>
      <sheetName val="YouthRes  (FY22) OMNI"/>
      <sheetName val="TAYYA Current. (FY22) OMNI"/>
      <sheetName val="BLS CHART M2020"/>
      <sheetName val="IFC "/>
    </sheetNames>
    <sheetDataSet>
      <sheetData sheetId="0" refreshError="1"/>
      <sheetData sheetId="1" refreshError="1"/>
      <sheetData sheetId="2" refreshError="1"/>
      <sheetData sheetId="3" refreshError="1"/>
      <sheetData sheetId="4" refreshError="1"/>
      <sheetData sheetId="5">
        <row r="28">
          <cell r="CQ28">
            <v>3.2549514448865162E-2</v>
          </cell>
        </row>
      </sheetData>
      <sheetData sheetId="6">
        <row r="6">
          <cell r="C6">
            <v>43247.567999999999</v>
          </cell>
        </row>
        <row r="8">
          <cell r="C8">
            <v>56217.241600000001</v>
          </cell>
        </row>
        <row r="12">
          <cell r="C12">
            <v>64438.399999999994</v>
          </cell>
        </row>
        <row r="14">
          <cell r="C14">
            <v>70211.44</v>
          </cell>
        </row>
        <row r="22">
          <cell r="C22">
            <v>80829.631999999998</v>
          </cell>
        </row>
        <row r="28">
          <cell r="C28">
            <v>101806.432</v>
          </cell>
        </row>
        <row r="32">
          <cell r="C32">
            <v>103622.27200000001</v>
          </cell>
        </row>
        <row r="36">
          <cell r="C36">
            <v>43247.567999999999</v>
          </cell>
        </row>
        <row r="38">
          <cell r="C38">
            <v>0.24970000000000001</v>
          </cell>
        </row>
        <row r="41">
          <cell r="C41">
            <v>0.12</v>
          </cell>
        </row>
        <row r="44">
          <cell r="C44">
            <v>247470</v>
          </cell>
        </row>
      </sheetData>
      <sheetData sheetId="7">
        <row r="4">
          <cell r="C4">
            <v>80829.631999999998</v>
          </cell>
          <cell r="D4" t="str">
            <v>BLS 2023 Median 53%</v>
          </cell>
        </row>
        <row r="6">
          <cell r="C6">
            <v>101806.432</v>
          </cell>
          <cell r="D6" t="str">
            <v>BLS 2023 Median 53%</v>
          </cell>
        </row>
        <row r="7">
          <cell r="D7" t="str">
            <v>BLS 2023 Median 53%</v>
          </cell>
        </row>
        <row r="8">
          <cell r="D8" t="str">
            <v>BLS 2023 Median 53%</v>
          </cell>
        </row>
        <row r="9">
          <cell r="D9" t="str">
            <v>BLS 2023 Median 53%</v>
          </cell>
        </row>
        <row r="10">
          <cell r="C10">
            <v>103622.27200000001</v>
          </cell>
          <cell r="D10" t="str">
            <v>BLS 2023 Median 53%</v>
          </cell>
        </row>
        <row r="12">
          <cell r="D12" t="str">
            <v>BLS 2023 Median 53%</v>
          </cell>
        </row>
        <row r="13">
          <cell r="D13" t="str">
            <v>BLS 2023 Median 53%</v>
          </cell>
        </row>
        <row r="14">
          <cell r="C14">
            <v>43247.567999999999</v>
          </cell>
          <cell r="D14" t="str">
            <v>BLS 2023 Median 53%</v>
          </cell>
        </row>
        <row r="15">
          <cell r="L15" t="str">
            <v>Medication Specialist</v>
          </cell>
          <cell r="M15">
            <v>56217.241600000001</v>
          </cell>
        </row>
        <row r="36">
          <cell r="C36">
            <v>0.24970000000000001</v>
          </cell>
        </row>
        <row r="42">
          <cell r="C42">
            <v>0.12</v>
          </cell>
        </row>
        <row r="43">
          <cell r="C43">
            <v>3.2549514448865162E-2</v>
          </cell>
          <cell r="D43" t="str">
            <v xml:space="preserve"> Prospective FY26 &amp; FY27</v>
          </cell>
        </row>
      </sheetData>
      <sheetData sheetId="8"/>
      <sheetData sheetId="9" refreshError="1"/>
      <sheetData sheetId="10" refreshError="1"/>
      <sheetData sheetId="11">
        <row r="17">
          <cell r="F17">
            <v>2.3894045662100458</v>
          </cell>
        </row>
        <row r="33">
          <cell r="C33">
            <v>22.183023305537738</v>
          </cell>
        </row>
      </sheetData>
      <sheetData sheetId="12" refreshError="1"/>
      <sheetData sheetId="13" refreshError="1"/>
      <sheetData sheetId="14">
        <row r="17">
          <cell r="D17">
            <v>9.7893262027397263</v>
          </cell>
          <cell r="E17">
            <v>11.918933063013698</v>
          </cell>
        </row>
        <row r="34">
          <cell r="C34">
            <v>31.727393242009132</v>
          </cell>
        </row>
      </sheetData>
      <sheetData sheetId="15" refreshError="1"/>
      <sheetData sheetId="16" refreshError="1"/>
      <sheetData sheetId="17" refreshError="1"/>
      <sheetData sheetId="18"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outhRes Current "/>
      <sheetName val="TAYYA Current."/>
      <sheetName val="Spend by Activity Code and year"/>
      <sheetName val="Total FI "/>
      <sheetName val="FY17 UFR data"/>
      <sheetName val="CAF Spring 2018"/>
      <sheetName val="Room &amp; Board Add on"/>
      <sheetName val="CAF Fall 2020"/>
      <sheetName val="M2021 BLS  SALARY CHART"/>
      <sheetName val="CAF FALL 2022"/>
      <sheetName val="Fiscal Impact (xx.xx.22)"/>
      <sheetName val="YouthRes  (FY24)"/>
      <sheetName val="TAYYA Current. (FY24)"/>
      <sheetName val="Youth &amp; TAYYA - 2320"/>
      <sheetName val="Fiscal Impact"/>
      <sheetName val="FTEs by Category"/>
      <sheetName val="BTL exp 2019 UFR"/>
      <sheetName val="3470 Youth RESI Tayya Expenses"/>
      <sheetName val="TAYYA expenses"/>
    </sheetNames>
    <sheetDataSet>
      <sheetData sheetId="0"/>
      <sheetData sheetId="1"/>
      <sheetData sheetId="2"/>
      <sheetData sheetId="3"/>
      <sheetData sheetId="4"/>
      <sheetData sheetId="5"/>
      <sheetData sheetId="6"/>
      <sheetData sheetId="7"/>
      <sheetData sheetId="8">
        <row r="6">
          <cell r="D6">
            <v>38937.599999999999</v>
          </cell>
        </row>
      </sheetData>
      <sheetData sheetId="9">
        <row r="26">
          <cell r="CK26">
            <v>2.7811565914169036E-2</v>
          </cell>
        </row>
      </sheetData>
      <sheetData sheetId="10"/>
      <sheetData sheetId="11"/>
      <sheetData sheetId="12"/>
      <sheetData sheetId="13"/>
      <sheetData sheetId="14"/>
      <sheetData sheetId="15"/>
      <sheetData sheetId="16"/>
      <sheetData sheetId="17">
        <row r="13">
          <cell r="F13">
            <v>16501.428571428572</v>
          </cell>
        </row>
        <row r="29">
          <cell r="B29">
            <v>2429.6666666666665</v>
          </cell>
        </row>
        <row r="44">
          <cell r="B44">
            <v>41809.4</v>
          </cell>
        </row>
        <row r="60">
          <cell r="B60">
            <v>108360.14285714286</v>
          </cell>
        </row>
        <row r="77">
          <cell r="B77">
            <v>2839</v>
          </cell>
        </row>
        <row r="93">
          <cell r="B93">
            <v>14617.857142857143</v>
          </cell>
        </row>
        <row r="111">
          <cell r="B111">
            <v>4458.75</v>
          </cell>
        </row>
      </sheetData>
      <sheetData sheetId="18"/>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M2020 BLS  SALARY CHART"/>
      <sheetName val="M2021 BLS  SALARY CHART"/>
      <sheetName val="Rate Chart"/>
      <sheetName val="FI at PH"/>
      <sheetName val="M2023 BLS Chart"/>
      <sheetName val="Master Data"/>
      <sheetName val="IRTP  (Current) (2)"/>
      <sheetName val="IRTP  (Current)"/>
      <sheetName val="CIRT"/>
      <sheetName val="oldCIRT "/>
      <sheetName val="Fiscal Impact post PH"/>
      <sheetName val="IRTP"/>
      <sheetName val="CAF Fall 2022"/>
      <sheetName val="CAF Fall 2024"/>
      <sheetName val="CIRT  (Current)"/>
    </sheetNames>
    <sheetDataSet>
      <sheetData sheetId="0" refreshError="1"/>
      <sheetData sheetId="1">
        <row r="41">
          <cell r="C41">
            <v>0.12</v>
          </cell>
        </row>
      </sheetData>
      <sheetData sheetId="2" refreshError="1"/>
      <sheetData sheetId="3" refreshError="1"/>
      <sheetData sheetId="4">
        <row r="41">
          <cell r="C41">
            <v>0.12</v>
          </cell>
        </row>
      </sheetData>
      <sheetData sheetId="5">
        <row r="10">
          <cell r="D10">
            <v>0.15769230769230769</v>
          </cell>
        </row>
        <row r="13">
          <cell r="D13">
            <v>80829.631999999998</v>
          </cell>
        </row>
        <row r="15">
          <cell r="D15">
            <v>247470</v>
          </cell>
        </row>
        <row r="16">
          <cell r="D16">
            <v>101806.432</v>
          </cell>
        </row>
        <row r="17">
          <cell r="D17">
            <v>118508.74880000002</v>
          </cell>
        </row>
        <row r="18">
          <cell r="D18">
            <v>82681.040000000008</v>
          </cell>
        </row>
        <row r="19">
          <cell r="D19">
            <v>83639.712</v>
          </cell>
        </row>
        <row r="20">
          <cell r="D20">
            <v>70211.44</v>
          </cell>
        </row>
        <row r="22">
          <cell r="D22">
            <v>70211.44</v>
          </cell>
        </row>
        <row r="23">
          <cell r="D23">
            <v>43247.567999999999</v>
          </cell>
        </row>
        <row r="24">
          <cell r="D24">
            <v>64438.399999999994</v>
          </cell>
        </row>
        <row r="25">
          <cell r="D25">
            <v>56217.241600000001</v>
          </cell>
        </row>
        <row r="26">
          <cell r="D26">
            <v>56217.241600000001</v>
          </cell>
        </row>
        <row r="28">
          <cell r="D28">
            <v>43247.567999999999</v>
          </cell>
        </row>
        <row r="29">
          <cell r="D29">
            <v>50780.922400000003</v>
          </cell>
        </row>
        <row r="36">
          <cell r="D36">
            <v>4.2</v>
          </cell>
          <cell r="E36">
            <v>2</v>
          </cell>
        </row>
        <row r="38">
          <cell r="D38">
            <v>1</v>
          </cell>
          <cell r="E38">
            <v>0.5</v>
          </cell>
        </row>
        <row r="39">
          <cell r="D39">
            <v>1</v>
          </cell>
        </row>
        <row r="40">
          <cell r="D40">
            <v>8.1038461538461544</v>
          </cell>
          <cell r="E40">
            <v>2.75</v>
          </cell>
        </row>
        <row r="41">
          <cell r="D41">
            <v>1</v>
          </cell>
          <cell r="E41">
            <v>1.5</v>
          </cell>
        </row>
        <row r="42">
          <cell r="D42">
            <v>3</v>
          </cell>
          <cell r="E42">
            <v>3</v>
          </cell>
        </row>
        <row r="43">
          <cell r="D43">
            <v>2.5</v>
          </cell>
          <cell r="E43">
            <v>2</v>
          </cell>
        </row>
        <row r="45">
          <cell r="D45">
            <v>2.5</v>
          </cell>
          <cell r="E45">
            <v>0.18</v>
          </cell>
        </row>
        <row r="46">
          <cell r="D46">
            <v>2</v>
          </cell>
          <cell r="E46">
            <v>1</v>
          </cell>
        </row>
        <row r="47">
          <cell r="D47">
            <v>1</v>
          </cell>
          <cell r="E47">
            <v>1</v>
          </cell>
        </row>
        <row r="48">
          <cell r="D48">
            <v>21</v>
          </cell>
          <cell r="E48">
            <v>24</v>
          </cell>
        </row>
        <row r="49">
          <cell r="D49">
            <v>5.061923076923077</v>
          </cell>
          <cell r="E49">
            <v>4.774923076923077</v>
          </cell>
        </row>
        <row r="50">
          <cell r="D50">
            <v>1.4</v>
          </cell>
          <cell r="E50">
            <v>1.5</v>
          </cell>
        </row>
        <row r="51">
          <cell r="D51">
            <v>4.2</v>
          </cell>
          <cell r="E51">
            <v>2</v>
          </cell>
        </row>
        <row r="52">
          <cell r="E52">
            <v>2.78</v>
          </cell>
        </row>
        <row r="54">
          <cell r="D54">
            <v>0.24970000000000001</v>
          </cell>
        </row>
        <row r="55">
          <cell r="D55">
            <v>3.2549514448865162E-2</v>
          </cell>
        </row>
        <row r="58">
          <cell r="D58">
            <v>12.323322000000001</v>
          </cell>
          <cell r="E58">
            <v>42.797592000000002</v>
          </cell>
        </row>
        <row r="59">
          <cell r="D59">
            <v>25.695</v>
          </cell>
          <cell r="E59">
            <v>23.639400000000002</v>
          </cell>
        </row>
        <row r="60">
          <cell r="D60">
            <v>4.6250999999999998</v>
          </cell>
          <cell r="E60">
            <v>5.7813750000000006</v>
          </cell>
        </row>
        <row r="61">
          <cell r="D61">
            <v>28.058940000000003</v>
          </cell>
          <cell r="E61">
            <v>35.078814000000001</v>
          </cell>
        </row>
      </sheetData>
      <sheetData sheetId="6" refreshError="1"/>
      <sheetData sheetId="7" refreshError="1"/>
      <sheetData sheetId="8"/>
      <sheetData sheetId="9" refreshError="1"/>
      <sheetData sheetId="10" refreshError="1"/>
      <sheetData sheetId="11">
        <row r="20">
          <cell r="C20">
            <v>50780.922400000003</v>
          </cell>
        </row>
      </sheetData>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row r="16">
          <cell r="C16">
            <v>1.25</v>
          </cell>
        </row>
      </sheetData>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Y21 Add on Rates  (2)"/>
      <sheetName val="Fiscal Impact (2)"/>
      <sheetName val="Carly"/>
      <sheetName val="GH 6 Beds (2)"/>
      <sheetName val="GH 9 Beds  (2)"/>
      <sheetName val="Continuum"/>
      <sheetName val="GH 6 Beds"/>
      <sheetName val="GH 9 Beds "/>
      <sheetName val="GH 12 Beds "/>
      <sheetName val="IFC "/>
      <sheetName val="TAY(Staffed Apt Supp&amp; Outreach)"/>
      <sheetName val="FY21 Add on Rates "/>
      <sheetName val="TAY (Staffed Apartments)"/>
      <sheetName val="TAY (blended)"/>
      <sheetName val="Prescott"/>
      <sheetName val="Outreach"/>
      <sheetName val="Fiscal Impact"/>
      <sheetName val="CPIMA Spring 2020"/>
      <sheetName val="Laurie"/>
      <sheetName val="Julia"/>
      <sheetName val="Charlene"/>
      <sheetName val="Sean"/>
    </sheetNames>
    <sheetDataSet>
      <sheetData sheetId="0">
        <row r="27">
          <cell r="K27">
            <v>83.562040405584511</v>
          </cell>
        </row>
      </sheetData>
      <sheetData sheetId="1"/>
      <sheetData sheetId="2"/>
      <sheetData sheetId="3"/>
      <sheetData sheetId="4"/>
      <sheetData sheetId="5"/>
      <sheetData sheetId="6"/>
      <sheetData sheetId="7"/>
      <sheetData sheetId="8"/>
      <sheetData sheetId="9"/>
      <sheetData sheetId="10"/>
      <sheetData sheetId="11">
        <row r="14">
          <cell r="E14">
            <v>54.96436652731127</v>
          </cell>
        </row>
      </sheetData>
      <sheetData sheetId="12">
        <row r="29">
          <cell r="I29" t="str">
            <v>Psychiatric Consultation Services</v>
          </cell>
          <cell r="M29" t="str">
            <v>50/50 APRN /Psychiatrist</v>
          </cell>
        </row>
      </sheetData>
      <sheetData sheetId="13"/>
      <sheetData sheetId="14"/>
      <sheetData sheetId="15"/>
      <sheetData sheetId="16"/>
      <sheetData sheetId="17">
        <row r="23">
          <cell r="BZ23">
            <v>3.8258089038662774E-3</v>
          </cell>
        </row>
      </sheetData>
      <sheetData sheetId="18"/>
      <sheetData sheetId="19"/>
      <sheetData sheetId="20"/>
      <sheetData sheetId="2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Universal"/>
      <sheetName val="AllAgencyByDivisionFC"/>
      <sheetName val="FY16 Vs FY15 Comparison FC"/>
      <sheetName val="TreasurersReportDetail"/>
      <sheetName val="TreasurersReportSummary -dnu"/>
      <sheetName val="FY16 Vs FY15 Comparison"/>
      <sheetName val="Admin"/>
      <sheetName val="Development"/>
      <sheetName val="BCA"/>
      <sheetName val="DD"/>
      <sheetName val="EI"/>
      <sheetName val="MH"/>
      <sheetName val="AS"/>
      <sheetName val="CASPAR"/>
      <sheetName val="KC"/>
      <sheetName val="All Agency"/>
      <sheetName val="All Programs"/>
      <sheetName val="All Agency by Division"/>
      <sheetName val="All Bay Cove"/>
      <sheetName val="A150 Development"/>
      <sheetName val="All Admin"/>
      <sheetName val="A112 Central Administration"/>
      <sheetName val="A113 Advocacy"/>
      <sheetName val="A114 Accounting"/>
      <sheetName val="A115 Rep Payee"/>
      <sheetName val="A117 QI &amp; Special Projects"/>
      <sheetName val="A120 Information Services"/>
      <sheetName val="A122 Training &amp; CLC"/>
      <sheetName val="A130 Human Resources"/>
      <sheetName val="A140 Property"/>
      <sheetName val="A145 Housing"/>
      <sheetName val="O172 Canal Street"/>
      <sheetName val="B671 Bay Cove Academy"/>
      <sheetName val="All DD"/>
      <sheetName val="D802 DD Non-Res Central Costs"/>
      <sheetName val="All DD by Program"/>
      <sheetName val="All DD Housing Support"/>
      <sheetName val="All DD Residential"/>
      <sheetName val="D401 DD Residential Centralized"/>
      <sheetName val="D404 Res Social Rec"/>
      <sheetName val="D361 Bourne St"/>
      <sheetName val="D362 Center Ave"/>
      <sheetName val="D363 Plymouth St"/>
      <sheetName val="D366 Pat Ree Drive"/>
      <sheetName val="D372 Caswell 1"/>
      <sheetName val="D373 Caswell 2"/>
      <sheetName val="D374 Caswell 3"/>
      <sheetName val="D375 Caswell 4"/>
      <sheetName val="D411 Williams House"/>
      <sheetName val="D412 Juliette St"/>
      <sheetName val="D413 Marlowe House"/>
      <sheetName val="D415 Pond St"/>
      <sheetName val="D416 Quincy Adams"/>
      <sheetName val="D417 Columbia Rd"/>
      <sheetName val="D418 Willers St"/>
      <sheetName val="D420 Dorchester Ave"/>
      <sheetName val="D421 Brett House"/>
      <sheetName val="D422 Canterbury St"/>
      <sheetName val="D424 Harbor Point"/>
      <sheetName val="D431 Truman Highway"/>
      <sheetName val="D432 Utica St"/>
      <sheetName val="D433 Mill St"/>
      <sheetName val="D434 Winthrop St"/>
      <sheetName val="D435 Washington Ave"/>
      <sheetName val="D436 Carol Circle"/>
      <sheetName val="D437 Freeland St"/>
      <sheetName val="D438 Orlando Street I &amp; II"/>
      <sheetName val="D439 Cook Ave"/>
      <sheetName val="D444 Hyde Park Ave"/>
      <sheetName val="D446 Connors House"/>
      <sheetName val="D448 Columbia West"/>
      <sheetName val="D449 Kittredge Street"/>
      <sheetName val="D471 Zelma Lacey Ass Living"/>
      <sheetName val="D491 Adelaide St Residential"/>
      <sheetName val="D492 Revere House"/>
      <sheetName val="All DD SH"/>
      <sheetName val="D825 Lindsay Supported Housing"/>
      <sheetName val="D826 Adelaide St Supp Housing"/>
      <sheetName val="D831 Individual Supports"/>
      <sheetName val="D832 SEAD"/>
      <sheetName val="All Family and Parent Support"/>
      <sheetName val="D856 Parent Support"/>
      <sheetName val="All Family Support"/>
      <sheetName val="D844 Family Support Services"/>
      <sheetName val="D845 Family Sup Financial Assis"/>
      <sheetName val="All DD Day Programs"/>
      <sheetName val="O862 Bradston Street"/>
      <sheetName val="D874 Social Recreation"/>
      <sheetName val="All CBDS"/>
      <sheetName val="D863 CHES CBDS"/>
      <sheetName val="D873 City Square CBDS"/>
      <sheetName val="All Day Hab"/>
      <sheetName val="D866 Bradston Day Hab"/>
      <sheetName val="D876 Charlestown Day Hab"/>
      <sheetName val="F651 Early Intervention"/>
      <sheetName val="All Kit Clark"/>
      <sheetName val="K191 KCSS Administration"/>
      <sheetName val="All KC Occupancy"/>
      <sheetName val="O192 1500 Dorchester Ave"/>
      <sheetName val="O193 645 Washington Street"/>
      <sheetName val="K105 Kit Clark Clinic"/>
      <sheetName val="All Long Term Services"/>
      <sheetName val="All ADH"/>
      <sheetName val="K910 ADH AGO"/>
      <sheetName val="K911 Adult Day Health"/>
      <sheetName val="ADH Staffing"/>
      <sheetName val="All In Home Services"/>
      <sheetName val="K912 Foley Assisted Living"/>
      <sheetName val="K914 Homecare Program"/>
      <sheetName val="All Social and Health"/>
      <sheetName val="K921 Health Clinic"/>
      <sheetName val="K925 Senior Center"/>
      <sheetName val="K926 Fit for Life"/>
      <sheetName val="K928 SNAP"/>
      <sheetName val="All Housing and Homeless"/>
      <sheetName val="K933 MHSA YMCA"/>
      <sheetName val="K934 Congregate Housing"/>
      <sheetName val="K935 Cardinal Medeiros Center"/>
      <sheetName val="K937 Home Repair Program"/>
      <sheetName val="All Nutrition and Trans"/>
      <sheetName val="All Nutrition"/>
      <sheetName val="Meals"/>
      <sheetName val="All Public Nutrition"/>
      <sheetName val="All Private Nutrition"/>
      <sheetName val="K941 Public Nutrition"/>
      <sheetName val="K942 Private Nutrition"/>
      <sheetName val="K945 ADH Nutrition"/>
      <sheetName val="All Transportation"/>
      <sheetName val="K943 Transporation Private Food"/>
      <sheetName val="K944 Transporation Public Nutri"/>
      <sheetName val="K951 ADH Transportation"/>
      <sheetName val="K952 Private Transportation"/>
      <sheetName val="Vehicle List"/>
      <sheetName val="All MH + Clinic"/>
      <sheetName val="L206 Mental Health Clinic"/>
      <sheetName val="All MH"/>
      <sheetName val="All MH by Program"/>
      <sheetName val="M200 MH Non-CBFS Central Costs"/>
      <sheetName val="O177 Bowker Street"/>
      <sheetName val="O180 1960 Washington Street"/>
      <sheetName val="O181 3313 Washington Street"/>
      <sheetName val="M202 TPP"/>
      <sheetName val="M208 Bay View Inn"/>
      <sheetName val="M605 Home At Last"/>
      <sheetName val="M608 Health Home"/>
      <sheetName val="M609 CMMI Health Outreach"/>
      <sheetName val="M808 Boston Night Center"/>
      <sheetName val="All CCA CCS"/>
      <sheetName val="M214 CCA CCS - Brighton"/>
      <sheetName val="M215 CCA CCS - Carney"/>
      <sheetName val="All BEST"/>
      <sheetName val="All BEST CCS + Fuller"/>
      <sheetName val="M203 BEST CCS (Fuller)"/>
      <sheetName val="M204 BEST UCC"/>
      <sheetName val="M213 Longwood CCS"/>
      <sheetName val="All North Suffolk"/>
      <sheetName val="M209 Staniford House"/>
      <sheetName val="M400 Harbor House"/>
      <sheetName val="All MH Day Programs"/>
      <sheetName val="M750 PACT"/>
      <sheetName val="M821 Day Treatment"/>
      <sheetName val="M841 Employment Services"/>
      <sheetName val="All Clubs"/>
      <sheetName val="M801 Center Club"/>
      <sheetName val="M802 Transitions"/>
      <sheetName val="M803 Ruby Rogers"/>
      <sheetName val="All FBC CBFS"/>
      <sheetName val="O178 Amory Street"/>
      <sheetName val="M201 MH CBFS Centralized Costs"/>
      <sheetName val="M601 Wellness Center"/>
      <sheetName val="All Safety Net"/>
      <sheetName val="M603 Safety Net Respite"/>
      <sheetName val="M604 Safety Net Outreach"/>
      <sheetName val="All Teams"/>
      <sheetName val="M610 CBFS Teams - Occupancy"/>
      <sheetName val="M611 CBFS Team 2"/>
      <sheetName val="M612 CBFS Team 3"/>
      <sheetName val="M613 CBFS Team 4"/>
      <sheetName val="M614 CBFS Team 5"/>
      <sheetName val="All CBFS Residential"/>
      <sheetName val="M620 Hamilton"/>
      <sheetName val="M621 Gordon"/>
      <sheetName val="M622 Perrin Street"/>
      <sheetName val="M623 Walnut Residence"/>
      <sheetName val="M624 Speedwell"/>
      <sheetName val="M625 Walk Hill"/>
      <sheetName val="M626 Bowdoin"/>
      <sheetName val="M627 Bailey"/>
      <sheetName val="M628 Astoria Street"/>
      <sheetName val="M629 Dudley"/>
      <sheetName val="M630 Fessenden"/>
      <sheetName val="M631 Vincent"/>
      <sheetName val="M632 Betances"/>
      <sheetName val="M633 Stanley"/>
      <sheetName val="M634 Daly House"/>
      <sheetName val="M636 Lyon &amp; Orchardfield"/>
      <sheetName val="M637 Central Ave"/>
      <sheetName val="M638 Bartlett"/>
      <sheetName val="M639 Winston"/>
      <sheetName val="M640 Maple"/>
      <sheetName val="M641 Hollander"/>
      <sheetName val="M642 Pleasant St"/>
      <sheetName val="M643 Boylston Place"/>
      <sheetName val="M644 Charles"/>
      <sheetName val="M645 Harvard street"/>
      <sheetName val="M647 Tremont"/>
      <sheetName val="M648 Fenway"/>
      <sheetName val="M649 Fuller"/>
      <sheetName val="M650 Souris"/>
      <sheetName val="M651 Hosmer Street"/>
      <sheetName val="M653 Bay Cove Modified Apts"/>
      <sheetName val="M654 Norfolk"/>
      <sheetName val="M659 Dorchester Street "/>
      <sheetName val="M660 Aspinwall"/>
      <sheetName val="M661 Stanwood"/>
      <sheetName val="All AS"/>
      <sheetName val="S512 Andrew House ATS"/>
      <sheetName val="S531 New Hope TSS"/>
      <sheetName val="S543 Bay Cove Treatment Center"/>
      <sheetName val="S557 Charlestown Recovery House"/>
      <sheetName val="All Chelsea ASAP"/>
      <sheetName val="S571 Chelsea ASAP"/>
      <sheetName val="S572 DSS Family Services"/>
      <sheetName val="S573 Outpatient Counseling"/>
      <sheetName val="S574 Driver Alcohol Ed"/>
      <sheetName val="S575 Youth Program"/>
      <sheetName val="S578 Chelsea Batterers"/>
      <sheetName val="S581 Drug Free Communities"/>
      <sheetName val="All CASPAR"/>
      <sheetName val="S701 CASPAR Centralized Costs"/>
      <sheetName val="O702 Middlesex Ave"/>
      <sheetName val="All CASPAR Programs"/>
      <sheetName val="All Emergency Services"/>
      <sheetName val="S721 Shelter"/>
      <sheetName val="S725 First Step"/>
      <sheetName val="All Support Services"/>
      <sheetName val="S761 Phoenix Outpatient Svcs"/>
      <sheetName val="S771 Youth Services"/>
      <sheetName val="S791 Employment Services"/>
      <sheetName val="All Mens Residential"/>
      <sheetName val="S741 Highland Ave"/>
      <sheetName val="S742 Summit Ave"/>
      <sheetName val="S743 Hagan Manor"/>
      <sheetName val="All Womens Residential"/>
      <sheetName val="S751 WomanPlace"/>
      <sheetName val="S752 New Day"/>
      <sheetName val="S753 Grow-House"/>
      <sheetName val="All Intercompany"/>
      <sheetName val="X901 BayCove Group Homes I"/>
      <sheetName val="X902 BayCove Group Homes II"/>
      <sheetName val="X903 BayCove Group Homes III"/>
      <sheetName val="X904 BayCove Moseley"/>
      <sheetName val="X906 BayCove Hamilton"/>
      <sheetName val="X907 HUD 7"/>
      <sheetName val="2015 Orig Budget"/>
    </sheetNames>
    <sheetDataSet>
      <sheetData sheetId="0" refreshError="1"/>
      <sheetData sheetId="1" refreshError="1">
        <row r="7">
          <cell r="C7">
            <v>7.6499999999999999E-2</v>
          </cell>
        </row>
        <row r="8">
          <cell r="C8">
            <v>0.1285</v>
          </cell>
        </row>
        <row r="9">
          <cell r="C9">
            <v>2.3E-3</v>
          </cell>
        </row>
        <row r="10">
          <cell r="C10">
            <v>0.02</v>
          </cell>
        </row>
        <row r="11">
          <cell r="C11">
            <v>50</v>
          </cell>
        </row>
        <row r="12">
          <cell r="C12">
            <v>0.02</v>
          </cell>
        </row>
        <row r="13">
          <cell r="C13">
            <v>0.109</v>
          </cell>
        </row>
        <row r="14">
          <cell r="C14">
            <v>11.15</v>
          </cell>
        </row>
        <row r="17">
          <cell r="C17">
            <v>52.4</v>
          </cell>
        </row>
        <row r="18">
          <cell r="C18">
            <v>52.285714285714285</v>
          </cell>
        </row>
        <row r="19">
          <cell r="C19">
            <v>0.03</v>
          </cell>
        </row>
        <row r="20">
          <cell r="C20">
            <v>0.03</v>
          </cell>
        </row>
        <row r="21">
          <cell r="C21">
            <v>0.03</v>
          </cell>
        </row>
        <row r="22">
          <cell r="C22">
            <v>0.01</v>
          </cell>
        </row>
        <row r="23">
          <cell r="C23">
            <v>0.03</v>
          </cell>
        </row>
        <row r="24">
          <cell r="C24">
            <v>0.03</v>
          </cell>
        </row>
        <row r="25">
          <cell r="C25">
            <v>0.05</v>
          </cell>
        </row>
        <row r="30">
          <cell r="C30">
            <v>31</v>
          </cell>
          <cell r="D30">
            <v>31</v>
          </cell>
          <cell r="E30">
            <v>30</v>
          </cell>
          <cell r="F30">
            <v>31</v>
          </cell>
          <cell r="G30">
            <v>30</v>
          </cell>
          <cell r="H30">
            <v>31</v>
          </cell>
          <cell r="I30">
            <v>31</v>
          </cell>
          <cell r="J30">
            <v>29</v>
          </cell>
          <cell r="K30">
            <v>31</v>
          </cell>
          <cell r="L30">
            <v>30</v>
          </cell>
          <cell r="M30">
            <v>31</v>
          </cell>
          <cell r="N30">
            <v>30</v>
          </cell>
        </row>
        <row r="31">
          <cell r="C31">
            <v>23</v>
          </cell>
          <cell r="D31">
            <v>21</v>
          </cell>
          <cell r="E31">
            <v>22</v>
          </cell>
          <cell r="F31">
            <v>22</v>
          </cell>
          <cell r="G31">
            <v>21</v>
          </cell>
          <cell r="H31">
            <v>23</v>
          </cell>
          <cell r="I31">
            <v>21</v>
          </cell>
          <cell r="J31">
            <v>21</v>
          </cell>
          <cell r="K31">
            <v>23</v>
          </cell>
          <cell r="L31">
            <v>21</v>
          </cell>
          <cell r="M31">
            <v>22</v>
          </cell>
          <cell r="N31">
            <v>22</v>
          </cell>
        </row>
        <row r="33">
          <cell r="C33">
            <v>5</v>
          </cell>
          <cell r="D33">
            <v>4</v>
          </cell>
          <cell r="E33">
            <v>4</v>
          </cell>
          <cell r="F33">
            <v>5</v>
          </cell>
          <cell r="G33">
            <v>4</v>
          </cell>
          <cell r="H33">
            <v>5</v>
          </cell>
          <cell r="I33">
            <v>4</v>
          </cell>
          <cell r="J33">
            <v>4</v>
          </cell>
          <cell r="K33">
            <v>5</v>
          </cell>
          <cell r="L33">
            <v>4</v>
          </cell>
          <cell r="M33">
            <v>4</v>
          </cell>
          <cell r="N33">
            <v>5</v>
          </cell>
        </row>
        <row r="35">
          <cell r="B35" t="str">
            <v>DISTRIBUTION FOR VACATION BUYBACK</v>
          </cell>
          <cell r="C35">
            <v>0.11273627238600022</v>
          </cell>
          <cell r="D35">
            <v>8.4201725671216074E-2</v>
          </cell>
          <cell r="E35">
            <v>5.2132930663845105E-2</v>
          </cell>
          <cell r="F35">
            <v>6.2362634168389455E-2</v>
          </cell>
          <cell r="G35">
            <v>7.8957880368337438E-2</v>
          </cell>
          <cell r="H35">
            <v>0.11340406968814248</v>
          </cell>
          <cell r="I35">
            <v>8.2846422722826857E-2</v>
          </cell>
          <cell r="J35">
            <v>7.8949799086628136E-2</v>
          </cell>
          <cell r="K35">
            <v>7.8437634590311528E-2</v>
          </cell>
          <cell r="L35">
            <v>8.7033625381253546E-2</v>
          </cell>
          <cell r="M35">
            <v>7.6279140597660097E-2</v>
          </cell>
          <cell r="N35">
            <v>9.265786467538914E-2</v>
          </cell>
        </row>
        <row r="37">
          <cell r="C37">
            <v>8.7786259541984726E-2</v>
          </cell>
          <cell r="D37">
            <v>8.0152671755725186E-2</v>
          </cell>
          <cell r="E37">
            <v>8.3969465648854963E-2</v>
          </cell>
          <cell r="F37">
            <v>8.3969465648854963E-2</v>
          </cell>
          <cell r="G37">
            <v>8.0152671755725186E-2</v>
          </cell>
          <cell r="H37">
            <v>8.7786259541984726E-2</v>
          </cell>
          <cell r="I37">
            <v>8.0152671755725186E-2</v>
          </cell>
          <cell r="J37">
            <v>8.0152671755725186E-2</v>
          </cell>
          <cell r="K37">
            <v>8.7786259541984726E-2</v>
          </cell>
          <cell r="L37">
            <v>8.0152671755725186E-2</v>
          </cell>
          <cell r="M37">
            <v>8.3969465648854963E-2</v>
          </cell>
          <cell r="N37">
            <v>8.3969465648854963E-2</v>
          </cell>
        </row>
        <row r="38">
          <cell r="C38">
            <v>8.4699453551912565E-2</v>
          </cell>
          <cell r="D38">
            <v>8.4699453551912565E-2</v>
          </cell>
          <cell r="E38">
            <v>8.1967213114754092E-2</v>
          </cell>
          <cell r="F38">
            <v>8.4699453551912565E-2</v>
          </cell>
          <cell r="G38">
            <v>8.1967213114754092E-2</v>
          </cell>
          <cell r="H38">
            <v>8.4699453551912565E-2</v>
          </cell>
          <cell r="I38">
            <v>8.4699453551912565E-2</v>
          </cell>
          <cell r="J38">
            <v>7.9234972677595633E-2</v>
          </cell>
          <cell r="K38">
            <v>8.4699453551912565E-2</v>
          </cell>
          <cell r="L38">
            <v>8.1967213114754092E-2</v>
          </cell>
          <cell r="M38">
            <v>8.4699453551912565E-2</v>
          </cell>
          <cell r="N38">
            <v>8.1967213114754092E-2</v>
          </cell>
        </row>
        <row r="49">
          <cell r="C49">
            <v>42189</v>
          </cell>
        </row>
        <row r="50">
          <cell r="C50">
            <v>42254</v>
          </cell>
        </row>
        <row r="51">
          <cell r="C51">
            <v>42289</v>
          </cell>
        </row>
        <row r="52">
          <cell r="C52">
            <v>42319</v>
          </cell>
        </row>
        <row r="53">
          <cell r="C53">
            <v>42334</v>
          </cell>
        </row>
        <row r="54">
          <cell r="C54">
            <v>42363</v>
          </cell>
        </row>
        <row r="55">
          <cell r="C55">
            <v>42370</v>
          </cell>
        </row>
        <row r="56">
          <cell r="C56">
            <v>42387</v>
          </cell>
        </row>
        <row r="57">
          <cell r="C57">
            <v>42415</v>
          </cell>
        </row>
        <row r="58">
          <cell r="C58">
            <v>42478</v>
          </cell>
        </row>
        <row r="59">
          <cell r="C59">
            <v>42520</v>
          </cell>
        </row>
        <row r="72">
          <cell r="B72">
            <v>1</v>
          </cell>
          <cell r="F72">
            <v>215.35999999999999</v>
          </cell>
        </row>
        <row r="73">
          <cell r="B73">
            <v>2</v>
          </cell>
          <cell r="F73">
            <v>256.96000000000004</v>
          </cell>
        </row>
        <row r="74">
          <cell r="B74">
            <v>3</v>
          </cell>
          <cell r="F74">
            <v>272.55999999999995</v>
          </cell>
        </row>
        <row r="75">
          <cell r="B75">
            <v>4</v>
          </cell>
          <cell r="F75">
            <v>288.15999999999997</v>
          </cell>
        </row>
        <row r="76">
          <cell r="B76">
            <v>5</v>
          </cell>
          <cell r="F76">
            <v>303.76</v>
          </cell>
        </row>
        <row r="77">
          <cell r="B77">
            <v>6</v>
          </cell>
          <cell r="F77">
            <v>319.36</v>
          </cell>
        </row>
        <row r="78">
          <cell r="B78">
            <v>7</v>
          </cell>
          <cell r="F78">
            <v>334.96</v>
          </cell>
        </row>
        <row r="85">
          <cell r="B85">
            <v>5090</v>
          </cell>
        </row>
        <row r="86">
          <cell r="B86">
            <v>5110</v>
          </cell>
        </row>
        <row r="87">
          <cell r="B87">
            <v>5130</v>
          </cell>
        </row>
        <row r="88">
          <cell r="B88">
            <v>5160</v>
          </cell>
        </row>
        <row r="89">
          <cell r="B89">
            <v>5230</v>
          </cell>
        </row>
        <row r="90">
          <cell r="B90">
            <v>5250</v>
          </cell>
        </row>
        <row r="91">
          <cell r="B91">
            <v>5320</v>
          </cell>
        </row>
        <row r="92">
          <cell r="B92">
            <v>5330</v>
          </cell>
        </row>
        <row r="93">
          <cell r="B93">
            <v>5340</v>
          </cell>
        </row>
        <row r="94">
          <cell r="B94">
            <v>5350</v>
          </cell>
        </row>
        <row r="95">
          <cell r="B95">
            <v>5410</v>
          </cell>
        </row>
        <row r="96">
          <cell r="B96">
            <v>5420</v>
          </cell>
        </row>
        <row r="97">
          <cell r="B97">
            <v>5430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
      <sheetName val="Util by Contract &amp; Month"/>
      <sheetName val="Util by Claimability, Contr, Mo"/>
      <sheetName val="Util by Month &amp; Attend Code"/>
      <sheetName val="Tech Stuff"/>
    </sheetNames>
    <sheetDataSet>
      <sheetData sheetId="0" refreshError="1"/>
      <sheetData sheetId="1" refreshError="1"/>
      <sheetData sheetId="2" refreshError="1"/>
      <sheetData sheetId="3"/>
      <sheetData sheetId="4">
        <row r="4">
          <cell r="E4" t="str">
            <v xml:space="preserve">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s OPC031813"/>
      <sheetName val="Family &amp; Group 031813"/>
      <sheetName val="Sxn35_031813"/>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DCI &amp;II"/>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1012"/>
      <sheetName val="Category Detail"/>
      <sheetName val="Admin3385"/>
      <sheetName val="AdminALL"/>
      <sheetName val="medical FTE3385"/>
      <sheetName val="medicalALL"/>
      <sheetName val="SupportALL"/>
      <sheetName val="Support3385"/>
      <sheetName val="prog mgmtALL"/>
      <sheetName val="prog mgmt3385"/>
      <sheetName val="Occ3385"/>
      <sheetName val="OtherDC3385"/>
      <sheetName val="OtherProgExp3385"/>
      <sheetName val="Clean3397"/>
      <sheetName val="Clean ALL"/>
      <sheetName val="RawDataCalcs"/>
      <sheetName val="new CAF"/>
      <sheetName val="for pres"/>
      <sheetName val="Source"/>
      <sheetName val="Sheet1"/>
      <sheetName val="Sheet2"/>
      <sheetName val="Sheet3"/>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ow r="69">
          <cell r="L69">
            <v>0</v>
          </cell>
        </row>
      </sheetData>
      <sheetData sheetId="43">
        <row r="69">
          <cell r="L69">
            <v>0</v>
          </cell>
          <cell r="M69">
            <v>0</v>
          </cell>
          <cell r="N69">
            <v>0</v>
          </cell>
          <cell r="O69">
            <v>0</v>
          </cell>
          <cell r="P69">
            <v>0</v>
          </cell>
          <cell r="Q69">
            <v>0</v>
          </cell>
          <cell r="R69">
            <v>0</v>
          </cell>
          <cell r="S69">
            <v>0</v>
          </cell>
          <cell r="T69">
            <v>0</v>
          </cell>
          <cell r="U69">
            <v>0</v>
          </cell>
          <cell r="V69">
            <v>0</v>
          </cell>
          <cell r="W69">
            <v>0</v>
          </cell>
          <cell r="X69">
            <v>0</v>
          </cell>
          <cell r="Y69">
            <v>0</v>
          </cell>
          <cell r="Z69">
            <v>31254.922841553554</v>
          </cell>
          <cell r="AA69">
            <v>33105.937943376768</v>
          </cell>
          <cell r="AB69">
            <v>20741.307122210026</v>
          </cell>
          <cell r="AC69">
            <v>25113.779210245128</v>
          </cell>
          <cell r="AD69">
            <v>88786.823580613331</v>
          </cell>
          <cell r="AE69">
            <v>62810.713447732443</v>
          </cell>
          <cell r="AF69">
            <v>40956.196976734464</v>
          </cell>
          <cell r="AG69">
            <v>17680</v>
          </cell>
          <cell r="AH69">
            <v>25681.000758506118</v>
          </cell>
          <cell r="AI69">
            <v>0</v>
          </cell>
          <cell r="AJ69">
            <v>0</v>
          </cell>
          <cell r="AK69">
            <v>0</v>
          </cell>
          <cell r="AL69">
            <v>0</v>
          </cell>
          <cell r="AM69">
            <v>0</v>
          </cell>
          <cell r="AN69">
            <v>0</v>
          </cell>
          <cell r="AO69">
            <v>0</v>
          </cell>
          <cell r="AP69">
            <v>0</v>
          </cell>
          <cell r="AQ69">
            <v>0</v>
          </cell>
          <cell r="AR69">
            <v>0</v>
          </cell>
          <cell r="AS69">
            <v>0</v>
          </cell>
          <cell r="AT69">
            <v>37793.970923453351</v>
          </cell>
          <cell r="AU69">
            <v>20099.452159556731</v>
          </cell>
          <cell r="AV69">
            <v>20286.405563557739</v>
          </cell>
          <cell r="AW69">
            <v>17680</v>
          </cell>
          <cell r="AX69">
            <v>17680</v>
          </cell>
          <cell r="AY69">
            <v>0</v>
          </cell>
          <cell r="AZ69">
            <v>17680</v>
          </cell>
          <cell r="BA69">
            <v>17680</v>
          </cell>
          <cell r="BB69">
            <v>33977.415363675485</v>
          </cell>
          <cell r="BC69">
            <v>17680</v>
          </cell>
          <cell r="BD69">
            <v>17680</v>
          </cell>
          <cell r="BE69">
            <v>30167.461826569073</v>
          </cell>
          <cell r="BF69">
            <v>17680</v>
          </cell>
          <cell r="BG69">
            <v>17680</v>
          </cell>
          <cell r="BH69">
            <v>17680</v>
          </cell>
          <cell r="BI69">
            <v>17680</v>
          </cell>
          <cell r="BJ69">
            <v>0</v>
          </cell>
          <cell r="BK69">
            <v>0</v>
          </cell>
          <cell r="BL69">
            <v>21250.045125851197</v>
          </cell>
          <cell r="BM69">
            <v>17680</v>
          </cell>
          <cell r="BN69">
            <v>35930.97602494889</v>
          </cell>
          <cell r="BO69">
            <v>17680</v>
          </cell>
          <cell r="BP69">
            <v>22322.199991457768</v>
          </cell>
          <cell r="BQ69">
            <v>20275.023061164669</v>
          </cell>
          <cell r="BR69">
            <v>17680</v>
          </cell>
          <cell r="BS69">
            <v>17680</v>
          </cell>
          <cell r="BT69">
            <v>-194223.15407576266</v>
          </cell>
          <cell r="BU69">
            <v>3.9224062254462094E-2</v>
          </cell>
          <cell r="BV69">
            <v>-19524.116453252951</v>
          </cell>
          <cell r="BW69">
            <v>-194535.86717894004</v>
          </cell>
          <cell r="BX69">
            <v>-95994.996520439629</v>
          </cell>
          <cell r="BY69">
            <v>-40211.35347342863</v>
          </cell>
          <cell r="BZ69">
            <v>-173811.76878527104</v>
          </cell>
          <cell r="CA69">
            <v>0</v>
          </cell>
          <cell r="CB69">
            <v>-5.0164293090607048E-2</v>
          </cell>
          <cell r="CC69">
            <v>-167041.88358041737</v>
          </cell>
          <cell r="CD69">
            <v>-426204.38478022406</v>
          </cell>
          <cell r="CE69">
            <v>-592175.48191499163</v>
          </cell>
          <cell r="CF69">
            <v>-18092.124466100388</v>
          </cell>
          <cell r="CG69">
            <v>-202133.05620748765</v>
          </cell>
          <cell r="CH69">
            <v>-93888.866422877749</v>
          </cell>
          <cell r="CI69">
            <v>-898471.45258220169</v>
          </cell>
          <cell r="CJ69">
            <v>-194535.86717894004</v>
          </cell>
          <cell r="CK69">
            <v>-143809.07008855077</v>
          </cell>
          <cell r="CL69">
            <v>-40211.35347342863</v>
          </cell>
          <cell r="CM69">
            <v>-65521.629016254272</v>
          </cell>
          <cell r="CN69">
            <v>-173811.76878527104</v>
          </cell>
          <cell r="CO69">
            <v>-1358636.8778598411</v>
          </cell>
          <cell r="CP69">
            <v>0.37547339478605335</v>
          </cell>
          <cell r="CQ69">
            <v>-0.10393756019323813</v>
          </cell>
          <cell r="CR69">
            <v>-2.8874890700291964E-2</v>
          </cell>
          <cell r="CS69">
            <v>-3.7678320803372217E-2</v>
          </cell>
          <cell r="CT69">
            <v>-2.5772778991081248E-2</v>
          </cell>
          <cell r="CU69">
            <v>-3.2345743847847497E-4</v>
          </cell>
          <cell r="CV69">
            <v>-79.526942030054457</v>
          </cell>
          <cell r="CW69">
            <v>-7.6406036602279794</v>
          </cell>
          <cell r="CX69">
            <v>-18.285188285733192</v>
          </cell>
          <cell r="CY69">
            <v>-5.4438574934901895</v>
          </cell>
          <cell r="CZ69">
            <v>-7.6767440812364649</v>
          </cell>
          <cell r="DA69">
            <v>-22.20634650407974</v>
          </cell>
          <cell r="DB69">
            <v>-132.13870694560796</v>
          </cell>
        </row>
        <row r="70">
          <cell r="L70">
            <v>138.34594029064516</v>
          </cell>
          <cell r="M70">
            <v>1.6121217240410697</v>
          </cell>
          <cell r="N70">
            <v>5.367883702073212</v>
          </cell>
          <cell r="O70">
            <v>5.5443017926485414</v>
          </cell>
          <cell r="P70">
            <v>23.436665346994968</v>
          </cell>
          <cell r="Q70">
            <v>0.92053721849469439</v>
          </cell>
          <cell r="R70">
            <v>11.491251469582075</v>
          </cell>
          <cell r="S70">
            <v>8.3369720157031253</v>
          </cell>
          <cell r="T70">
            <v>0.46671774746888461</v>
          </cell>
          <cell r="U70">
            <v>3.9338161659253364E-2</v>
          </cell>
          <cell r="V70">
            <v>0.58271691190153574</v>
          </cell>
          <cell r="W70">
            <v>0</v>
          </cell>
          <cell r="X70">
            <v>0.413026454258828</v>
          </cell>
          <cell r="Y70">
            <v>0.38527440192993595</v>
          </cell>
          <cell r="Z70">
            <v>104265.75261250997</v>
          </cell>
          <cell r="AA70">
            <v>119850.46256141673</v>
          </cell>
          <cell r="AB70">
            <v>75365.537857882664</v>
          </cell>
          <cell r="AC70">
            <v>87713.345102379797</v>
          </cell>
          <cell r="AD70">
            <v>274645.34062789753</v>
          </cell>
          <cell r="AE70">
            <v>121952.79082577181</v>
          </cell>
          <cell r="AF70">
            <v>156188.25202112697</v>
          </cell>
          <cell r="AG70">
            <v>131035.67054489572</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88734.403501087392</v>
          </cell>
          <cell r="BB70">
            <v>44612.240694392625</v>
          </cell>
          <cell r="BC70">
            <v>64756.115162231254</v>
          </cell>
          <cell r="BD70">
            <v>106328.730294454</v>
          </cell>
          <cell r="BE70">
            <v>50740.864225570673</v>
          </cell>
          <cell r="BF70">
            <v>59950.457068107869</v>
          </cell>
          <cell r="BG70">
            <v>54804.33860692798</v>
          </cell>
          <cell r="BH70">
            <v>45936.617400235766</v>
          </cell>
          <cell r="BI70">
            <v>61613.675135025253</v>
          </cell>
          <cell r="BJ70">
            <v>0</v>
          </cell>
          <cell r="BK70">
            <v>0</v>
          </cell>
          <cell r="BL70">
            <v>72317.924874135264</v>
          </cell>
          <cell r="BM70">
            <v>45583.045099364717</v>
          </cell>
          <cell r="BN70">
            <v>101748.99035154989</v>
          </cell>
          <cell r="BO70">
            <v>229416.87476371037</v>
          </cell>
          <cell r="BP70">
            <v>78869.379225986195</v>
          </cell>
          <cell r="BQ70">
            <v>86360.302370659803</v>
          </cell>
          <cell r="BR70">
            <v>77156.710228375523</v>
          </cell>
          <cell r="BS70">
            <v>48318.756121997882</v>
          </cell>
          <cell r="BT70">
            <v>398136.88321278704</v>
          </cell>
          <cell r="BU70">
            <v>0.36724114202935465</v>
          </cell>
          <cell r="BV70">
            <v>39854.580999063852</v>
          </cell>
          <cell r="BW70">
            <v>394450.1606676082</v>
          </cell>
          <cell r="BX70">
            <v>222860.81281305797</v>
          </cell>
          <cell r="BY70">
            <v>72569.642572709854</v>
          </cell>
          <cell r="BZ70">
            <v>427779.81149033637</v>
          </cell>
          <cell r="CA70">
            <v>0</v>
          </cell>
          <cell r="CB70">
            <v>0.40671704877585924</v>
          </cell>
          <cell r="CC70">
            <v>323721.81080892892</v>
          </cell>
          <cell r="CD70">
            <v>717868.8556900773</v>
          </cell>
          <cell r="CE70">
            <v>1081621.3826737017</v>
          </cell>
          <cell r="CF70">
            <v>38284.146059391795</v>
          </cell>
          <cell r="CG70">
            <v>488082.61516012525</v>
          </cell>
          <cell r="CH70">
            <v>249415.03043732973</v>
          </cell>
          <cell r="CI70">
            <v>1833618.6346573296</v>
          </cell>
          <cell r="CJ70">
            <v>394450.1606676082</v>
          </cell>
          <cell r="CK70">
            <v>291256.65648656304</v>
          </cell>
          <cell r="CL70">
            <v>72569.642572709854</v>
          </cell>
          <cell r="CM70">
            <v>130870.89572562612</v>
          </cell>
          <cell r="CN70">
            <v>427779.81149033637</v>
          </cell>
          <cell r="CO70">
            <v>2949096.2663998213</v>
          </cell>
          <cell r="CP70">
            <v>0.80827066017194205</v>
          </cell>
          <cell r="CQ70">
            <v>0.36850490579106859</v>
          </cell>
          <cell r="CR70">
            <v>0.20498011936487076</v>
          </cell>
          <cell r="CS70">
            <v>8.3014594940582179E-2</v>
          </cell>
          <cell r="CT70">
            <v>0.10988940111723</v>
          </cell>
          <cell r="CU70">
            <v>0.32042762106426059</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44"/>
      <sheetData sheetId="45"/>
      <sheetData sheetId="46"/>
      <sheetData sheetId="47"/>
      <sheetData sheetId="48"/>
      <sheetData sheetId="49"/>
      <sheetData sheetId="5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nchmark Table"/>
      <sheetName val="ADULT RESI MODELS"/>
      <sheetName val="JAIL DIVERSION MODELS"/>
      <sheetName val="2nd OFFENDER MODELS"/>
      <sheetName val="updated CAF"/>
      <sheetName val="FTE Chart"/>
      <sheetName val="Salaries Resi"/>
      <sheetName val="Travel noPP"/>
      <sheetName val="Occupancy "/>
      <sheetName val="OthProgExp&amp;Meals "/>
      <sheetName val="RecSp"/>
      <sheetName val="Counselor"/>
      <sheetName val="CleanData3386&amp;3401"/>
      <sheetName val="RawDataCalcs3386&amp;3401"/>
      <sheetName val="Source3386&amp;3401"/>
      <sheetName val="Preg&amp;PostP Source"/>
      <sheetName val="All Others (WomenNoPP+Men)"/>
      <sheetName val="JailD Travel"/>
      <sheetName val="Source4958"/>
      <sheetName val="2ndOffSource"/>
      <sheetName val="AdminAnlys"/>
      <sheetName val="CAF"/>
      <sheetName val="ALLClean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65">
          <cell r="L65">
            <v>0</v>
          </cell>
          <cell r="M65">
            <v>0.60401394157367827</v>
          </cell>
          <cell r="N65">
            <v>0</v>
          </cell>
          <cell r="O65">
            <v>0</v>
          </cell>
          <cell r="P65">
            <v>0</v>
          </cell>
          <cell r="Q65">
            <v>0</v>
          </cell>
          <cell r="R65">
            <v>0</v>
          </cell>
          <cell r="S65">
            <v>0</v>
          </cell>
          <cell r="T65">
            <v>0</v>
          </cell>
          <cell r="U65">
            <v>0</v>
          </cell>
          <cell r="V65">
            <v>0</v>
          </cell>
          <cell r="W65">
            <v>0</v>
          </cell>
          <cell r="X65">
            <v>0</v>
          </cell>
          <cell r="Y65">
            <v>0</v>
          </cell>
          <cell r="Z65">
            <v>27001.321817500786</v>
          </cell>
          <cell r="AA65">
            <v>17680</v>
          </cell>
          <cell r="AB65">
            <v>17680</v>
          </cell>
          <cell r="AC65">
            <v>18070.851702516127</v>
          </cell>
          <cell r="AD65">
            <v>0</v>
          </cell>
          <cell r="AE65">
            <v>0</v>
          </cell>
          <cell r="AF65">
            <v>17680</v>
          </cell>
          <cell r="AG65">
            <v>17680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17680</v>
          </cell>
          <cell r="AX65">
            <v>17680</v>
          </cell>
          <cell r="AY65">
            <v>0</v>
          </cell>
          <cell r="AZ65">
            <v>17680</v>
          </cell>
          <cell r="BA65">
            <v>17680</v>
          </cell>
          <cell r="BB65">
            <v>38683.69077867044</v>
          </cell>
          <cell r="BC65">
            <v>17680</v>
          </cell>
          <cell r="BD65">
            <v>17680</v>
          </cell>
          <cell r="BE65">
            <v>17680</v>
          </cell>
          <cell r="BF65">
            <v>17680</v>
          </cell>
          <cell r="BG65">
            <v>17680</v>
          </cell>
          <cell r="BH65">
            <v>20933.577544700503</v>
          </cell>
          <cell r="BI65">
            <v>18113.272969175363</v>
          </cell>
          <cell r="BJ65">
            <v>17680</v>
          </cell>
          <cell r="BK65">
            <v>0</v>
          </cell>
          <cell r="BL65">
            <v>20636.434820465383</v>
          </cell>
          <cell r="BM65">
            <v>17680</v>
          </cell>
          <cell r="BN65">
            <v>25004.04305351575</v>
          </cell>
          <cell r="BO65">
            <v>17680</v>
          </cell>
          <cell r="BP65">
            <v>17680</v>
          </cell>
          <cell r="BQ65">
            <v>0</v>
          </cell>
          <cell r="BR65">
            <v>17680</v>
          </cell>
          <cell r="BS65">
            <v>18141.222518283183</v>
          </cell>
          <cell r="BT65">
            <v>-41676.244265701374</v>
          </cell>
          <cell r="BU65">
            <v>8.7288553321896611E-2</v>
          </cell>
          <cell r="BV65">
            <v>-7668.9054664861869</v>
          </cell>
          <cell r="BW65">
            <v>-42994.589046928275</v>
          </cell>
          <cell r="BX65">
            <v>-31114.543559342434</v>
          </cell>
          <cell r="BY65">
            <v>-56549.921023847928</v>
          </cell>
          <cell r="BZ65">
            <v>-97003.786231626596</v>
          </cell>
          <cell r="CA65">
            <v>-313429.46542299842</v>
          </cell>
          <cell r="CB65">
            <v>-8.2635046624321695E-2</v>
          </cell>
          <cell r="CC65">
            <v>-43306.662961698195</v>
          </cell>
          <cell r="CD65">
            <v>-12782.185157235559</v>
          </cell>
          <cell r="CE65">
            <v>-49503.565553759647</v>
          </cell>
          <cell r="CF65">
            <v>0</v>
          </cell>
          <cell r="CG65">
            <v>-163357.23525071022</v>
          </cell>
          <cell r="CH65">
            <v>-92717.288808833691</v>
          </cell>
          <cell r="CI65">
            <v>-174238.57910238783</v>
          </cell>
          <cell r="CJ65">
            <v>-42994.589046928275</v>
          </cell>
          <cell r="CK65">
            <v>-63601.184466556078</v>
          </cell>
          <cell r="CL65">
            <v>-56549.921023847928</v>
          </cell>
          <cell r="CM65">
            <v>-24625.24467496722</v>
          </cell>
          <cell r="CN65">
            <v>-97003.786231626596</v>
          </cell>
          <cell r="CO65">
            <v>-351019.03335486259</v>
          </cell>
          <cell r="CP65">
            <v>0.29484957486879515</v>
          </cell>
          <cell r="CQ65">
            <v>5.4246351913831613E-2</v>
          </cell>
          <cell r="CR65">
            <v>4.5873466392117951E-2</v>
          </cell>
          <cell r="CS65">
            <v>3.5437273933393951E-2</v>
          </cell>
          <cell r="CT65">
            <v>-1.2333323520703935E-2</v>
          </cell>
          <cell r="CU65">
            <v>2.2913027561376476E-3</v>
          </cell>
          <cell r="CV65">
            <v>-2001.7395150477046</v>
          </cell>
          <cell r="CW65">
            <v>-449.92512739559015</v>
          </cell>
          <cell r="CX65">
            <v>-669.49380618456928</v>
          </cell>
          <cell r="CY65">
            <v>-742.75307693203445</v>
          </cell>
          <cell r="CZ65">
            <v>-28.06467652645356</v>
          </cell>
          <cell r="DA65">
            <v>-1831.0673764395974</v>
          </cell>
          <cell r="DB65">
            <v>-5722.7534056118502</v>
          </cell>
        </row>
        <row r="66">
          <cell r="L66">
            <v>68.638763831408127</v>
          </cell>
          <cell r="M66">
            <v>1.1713867216116371</v>
          </cell>
          <cell r="N66">
            <v>3.5436133878559533</v>
          </cell>
          <cell r="O66">
            <v>0.95881574526748314</v>
          </cell>
          <cell r="P66">
            <v>2.9922523651988402</v>
          </cell>
          <cell r="Q66">
            <v>0</v>
          </cell>
          <cell r="R66">
            <v>22.160404778842953</v>
          </cell>
          <cell r="S66">
            <v>7.4242654635805723</v>
          </cell>
          <cell r="T66">
            <v>2.8643600293925418</v>
          </cell>
          <cell r="U66">
            <v>5.1022146796734415E-3</v>
          </cell>
          <cell r="V66">
            <v>12.069142094975193</v>
          </cell>
          <cell r="W66">
            <v>0</v>
          </cell>
          <cell r="X66">
            <v>9.5889565937970307</v>
          </cell>
          <cell r="Y66">
            <v>7.3186088533890681</v>
          </cell>
          <cell r="Z66">
            <v>89011.525515165966</v>
          </cell>
          <cell r="AA66">
            <v>124711.18739604187</v>
          </cell>
          <cell r="AB66">
            <v>61892.043668045008</v>
          </cell>
          <cell r="AC66">
            <v>87195.593448715823</v>
          </cell>
          <cell r="AD66">
            <v>0</v>
          </cell>
          <cell r="AE66">
            <v>0</v>
          </cell>
          <cell r="AF66">
            <v>167549.29408607361</v>
          </cell>
          <cell r="AG66">
            <v>79437.240789242293</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115332.99841003475</v>
          </cell>
          <cell r="AX66">
            <v>90839.543238665152</v>
          </cell>
          <cell r="AY66">
            <v>0</v>
          </cell>
          <cell r="AZ66">
            <v>59076.726041829606</v>
          </cell>
          <cell r="BA66">
            <v>55600.502579381842</v>
          </cell>
          <cell r="BB66">
            <v>46993.941797087129</v>
          </cell>
          <cell r="BC66">
            <v>47942.60200592941</v>
          </cell>
          <cell r="BD66">
            <v>85121.186442077829</v>
          </cell>
          <cell r="BE66">
            <v>60150.264866991725</v>
          </cell>
          <cell r="BF66">
            <v>37107.840583638354</v>
          </cell>
          <cell r="BG66">
            <v>34103.875436210852</v>
          </cell>
          <cell r="BH66">
            <v>43390.477411873391</v>
          </cell>
          <cell r="BI66">
            <v>42074.135709455113</v>
          </cell>
          <cell r="BJ66">
            <v>36682.268470282579</v>
          </cell>
          <cell r="BK66">
            <v>0</v>
          </cell>
          <cell r="BL66">
            <v>44994.274591165755</v>
          </cell>
          <cell r="BM66">
            <v>97222.235686431435</v>
          </cell>
          <cell r="BN66">
            <v>90762.603215714815</v>
          </cell>
          <cell r="BO66">
            <v>119552.2873416293</v>
          </cell>
          <cell r="BP66">
            <v>75684.090495463184</v>
          </cell>
          <cell r="BQ66">
            <v>0</v>
          </cell>
          <cell r="BR66">
            <v>46682.215048048798</v>
          </cell>
          <cell r="BS66">
            <v>41691.468549205456</v>
          </cell>
          <cell r="BT66">
            <v>215813.24914156343</v>
          </cell>
          <cell r="BU66">
            <v>0.38712105109997308</v>
          </cell>
          <cell r="BV66">
            <v>12566.14239091755</v>
          </cell>
          <cell r="BW66">
            <v>212234.356998359</v>
          </cell>
          <cell r="BX66">
            <v>46071.344248997601</v>
          </cell>
          <cell r="BY66">
            <v>226902.57309281343</v>
          </cell>
          <cell r="BZ66">
            <v>349599.7084215752</v>
          </cell>
          <cell r="CA66">
            <v>1685831.3957882223</v>
          </cell>
          <cell r="CB66">
            <v>0.48343558589893837</v>
          </cell>
          <cell r="CC66">
            <v>173231.84261687062</v>
          </cell>
          <cell r="CD66">
            <v>15056.319295166595</v>
          </cell>
          <cell r="CE66">
            <v>70578.736588242406</v>
          </cell>
          <cell r="CF66">
            <v>0</v>
          </cell>
          <cell r="CG66">
            <v>643703.17145760683</v>
          </cell>
          <cell r="CH66">
            <v>168723.38432607506</v>
          </cell>
          <cell r="CI66">
            <v>883865.09565411182</v>
          </cell>
          <cell r="CJ66">
            <v>212234.356998359</v>
          </cell>
          <cell r="CK66">
            <v>311211.60929414228</v>
          </cell>
          <cell r="CL66">
            <v>226902.57309281343</v>
          </cell>
          <cell r="CM66">
            <v>64778.990192208599</v>
          </cell>
          <cell r="CN66">
            <v>349599.7084215752</v>
          </cell>
          <cell r="CO66">
            <v>1940598.0624617594</v>
          </cell>
          <cell r="CP66">
            <v>0.59656020338447291</v>
          </cell>
          <cell r="CQ66">
            <v>0.1566637906768488</v>
          </cell>
          <cell r="CR66">
            <v>0.27180008495921093</v>
          </cell>
          <cell r="CS66">
            <v>0.17157983368640611</v>
          </cell>
          <cell r="CT66">
            <v>6.7111788746459594E-2</v>
          </cell>
          <cell r="CU66">
            <v>0.32064193368800842</v>
          </cell>
          <cell r="CV66">
            <v>2362.7914588359358</v>
          </cell>
          <cell r="CW66">
            <v>531.92173452915699</v>
          </cell>
          <cell r="CX66">
            <v>790.78617106937202</v>
          </cell>
          <cell r="CY66">
            <v>866.65490806017237</v>
          </cell>
          <cell r="CZ66">
            <v>36.082840081274462</v>
          </cell>
          <cell r="DA66">
            <v>2121.643831764482</v>
          </cell>
          <cell r="DB66">
            <v>6709.5907714262949</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persons/person.xml><?xml version="1.0" encoding="utf-8"?>
<personList xmlns="http://schemas.microsoft.com/office/spreadsheetml/2018/threadedcomments" xmlns:x="http://schemas.openxmlformats.org/spreadsheetml/2006/main">
  <person displayName="Farrell, Conor (EHS)" id="{5FB7E3CE-3187-4F36-9660-120CF4DE9AF7}" userId="S::conor.farrell@mass.gov::8a489186-76d8-4ef1-99e1-19ca1523f914" providerId="AD"/>
  <person displayName="Solimini, Kara (EHS)" id="{B910B258-5498-4D10-88DD-FA66C56C2ED9}" userId="S::kara.solimini@mass.gov::de77a263-d243-4b14-b747-70989777cd44"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11" dT="2025-02-24T19:23:49.18" personId="{5FB7E3CE-3187-4F36-9660-120CF4DE9AF7}" id="{6D672016-79CA-4C7D-8F1A-75613D2A96F9}">
    <text>Add .35 to absorb RN position being removed</text>
  </threadedComment>
</ThreadedComments>
</file>

<file path=xl/threadedComments/threadedComment2.xml><?xml version="1.0" encoding="utf-8"?>
<ThreadedComments xmlns="http://schemas.microsoft.com/office/spreadsheetml/2018/threadedcomments" xmlns:x="http://schemas.openxmlformats.org/spreadsheetml/2006/main">
  <threadedComment ref="O38" dT="2025-02-24T19:18:57.39" personId="{5FB7E3CE-3187-4F36-9660-120CF4DE9AF7}" id="{738FF078-D875-4435-B01E-554457D623AA}">
    <text>Move to 85% from 90%</text>
  </threadedComment>
</ThreadedComments>
</file>

<file path=xl/threadedComments/threadedComment3.xml><?xml version="1.0" encoding="utf-8"?>
<ThreadedComments xmlns="http://schemas.microsoft.com/office/spreadsheetml/2018/threadedcomments" xmlns:x="http://schemas.openxmlformats.org/spreadsheetml/2006/main">
  <threadedComment ref="B4" dT="2022-11-30T20:28:14.93" personId="{B910B258-5498-4D10-88DD-FA66C56C2ED9}" id="{5248D7D4-9639-4652-97B7-129A07D64811}">
    <text>this is comprised of Prgm Mgr and Clinician(s)</text>
  </threadedComment>
  <threadedComment ref="E4" dT="2022-11-30T20:28:25.51" personId="{B910B258-5498-4D10-88DD-FA66C56C2ED9}" id="{F25AA710-1404-464F-AA05-6110C565E45A}">
    <text>this is comprised of Prgm Mgr and Clinician(s)</text>
  </threadedComment>
  <threadedComment ref="H4" dT="2022-11-30T20:28:37.00" personId="{B910B258-5498-4D10-88DD-FA66C56C2ED9}" id="{59B298A6-F17A-46B3-A37F-C94B482FA3D7}">
    <text>this is comprised of Prgm Mgr and Clinician(s)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4.bin"/><Relationship Id="rId4" Type="http://schemas.microsoft.com/office/2017/10/relationships/threadedComment" Target="../threadedComments/threadedComment1.xml"/></Relationships>
</file>

<file path=xl/worksheets/_rels/sheet2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5.bin"/><Relationship Id="rId4" Type="http://schemas.microsoft.com/office/2017/10/relationships/threadedComment" Target="../threadedComments/threadedComment2.xm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0.bin"/><Relationship Id="rId4" Type="http://schemas.microsoft.com/office/2017/10/relationships/threadedComment" Target="../threadedComments/threadedComment3.xml"/></Relationships>
</file>

<file path=xl/worksheets/_rels/sheet3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1:J33"/>
  <sheetViews>
    <sheetView zoomScale="90" zoomScaleNormal="90" workbookViewId="0">
      <selection activeCell="G41" sqref="G41"/>
    </sheetView>
  </sheetViews>
  <sheetFormatPr defaultRowHeight="15" x14ac:dyDescent="0.25"/>
  <cols>
    <col min="1" max="1" width="5.5703125" customWidth="1"/>
    <col min="2" max="2" width="58" customWidth="1"/>
    <col min="3" max="3" width="16.140625" customWidth="1"/>
    <col min="4" max="4" width="10" hidden="1" customWidth="1"/>
    <col min="5" max="5" width="1.7109375" customWidth="1"/>
    <col min="6" max="6" width="50.5703125" customWidth="1"/>
    <col min="7" max="7" width="65" style="74" customWidth="1"/>
    <col min="8" max="8" width="14.7109375" hidden="1" customWidth="1"/>
    <col min="9" max="9" width="0" hidden="1" customWidth="1"/>
    <col min="10" max="10" width="11" hidden="1" customWidth="1"/>
    <col min="11" max="11" width="0" hidden="1" customWidth="1"/>
  </cols>
  <sheetData>
    <row r="1" spans="2:10" ht="69.75" customHeight="1" x14ac:dyDescent="0.25">
      <c r="B1" s="72"/>
      <c r="C1" s="73" t="s">
        <v>180</v>
      </c>
      <c r="D1" s="73" t="s">
        <v>181</v>
      </c>
    </row>
    <row r="2" spans="2:10" ht="27.75" customHeight="1" thickBot="1" x14ac:dyDescent="0.3">
      <c r="B2" s="75" t="s">
        <v>182</v>
      </c>
      <c r="C2" s="76" t="s">
        <v>183</v>
      </c>
      <c r="D2" s="73" t="s">
        <v>184</v>
      </c>
      <c r="G2" s="77" t="s">
        <v>185</v>
      </c>
      <c r="H2" s="73" t="s">
        <v>186</v>
      </c>
      <c r="J2" t="s">
        <v>187</v>
      </c>
    </row>
    <row r="3" spans="2:10" ht="31.15" customHeight="1" x14ac:dyDescent="0.25">
      <c r="B3" s="78" t="s">
        <v>188</v>
      </c>
      <c r="C3" s="79">
        <v>15.48</v>
      </c>
      <c r="D3" s="79">
        <f>'[22]DC I &amp; II'!J12</f>
        <v>16.796506410256413</v>
      </c>
      <c r="E3" s="80"/>
      <c r="F3" s="1853" t="s">
        <v>189</v>
      </c>
      <c r="G3" s="1848" t="s">
        <v>190</v>
      </c>
      <c r="H3" s="81">
        <f>H4/2080</f>
        <v>15.480288461538462</v>
      </c>
      <c r="J3" s="82">
        <f>D3-H3</f>
        <v>1.3162179487179504</v>
      </c>
    </row>
    <row r="4" spans="2:10" ht="16.5" thickBot="1" x14ac:dyDescent="0.3">
      <c r="B4" s="83" t="s">
        <v>191</v>
      </c>
      <c r="C4" s="84">
        <f>C3*2080</f>
        <v>32198.400000000001</v>
      </c>
      <c r="D4" s="84">
        <f>D3*2080</f>
        <v>34936.733333333337</v>
      </c>
      <c r="E4" s="85"/>
      <c r="F4" s="1854"/>
      <c r="G4" s="1849"/>
      <c r="H4" s="86">
        <v>32199</v>
      </c>
      <c r="J4" s="82"/>
    </row>
    <row r="5" spans="2:10" ht="15.75" x14ac:dyDescent="0.25">
      <c r="B5" s="78" t="s">
        <v>192</v>
      </c>
      <c r="C5" s="79">
        <v>19.96</v>
      </c>
      <c r="D5" s="79">
        <f>'[22]DC III '!J11</f>
        <v>20.893115384615385</v>
      </c>
      <c r="E5" s="80"/>
      <c r="F5" s="80" t="s">
        <v>193</v>
      </c>
      <c r="G5" s="1848" t="s">
        <v>194</v>
      </c>
      <c r="H5" s="81">
        <f>H6/2080</f>
        <v>18.400480769230768</v>
      </c>
      <c r="J5" s="82">
        <f>D5-H5</f>
        <v>2.4926346153846168</v>
      </c>
    </row>
    <row r="6" spans="2:10" ht="16.5" thickBot="1" x14ac:dyDescent="0.3">
      <c r="B6" s="87" t="s">
        <v>195</v>
      </c>
      <c r="C6" s="88">
        <f>C5*2080</f>
        <v>41516.800000000003</v>
      </c>
      <c r="D6" s="88">
        <f>D5*2080</f>
        <v>43457.68</v>
      </c>
      <c r="E6" s="89"/>
      <c r="F6" s="89"/>
      <c r="G6" s="1849"/>
      <c r="H6" s="86">
        <v>38273</v>
      </c>
      <c r="J6" s="82"/>
    </row>
    <row r="7" spans="2:10" ht="15.75" x14ac:dyDescent="0.25">
      <c r="B7" s="78" t="s">
        <v>196</v>
      </c>
      <c r="C7" s="79">
        <v>15.53</v>
      </c>
      <c r="D7" s="79">
        <f>[22]CNA!L13</f>
        <v>16.170000000000002</v>
      </c>
      <c r="E7" s="80"/>
      <c r="F7" s="80"/>
      <c r="G7" s="1848" t="s">
        <v>197</v>
      </c>
      <c r="H7" s="81">
        <f>H8/2080</f>
        <v>20.43028846153846</v>
      </c>
      <c r="J7" s="90">
        <f>D7-H7</f>
        <v>-4.2602884615384582</v>
      </c>
    </row>
    <row r="8" spans="2:10" ht="16.5" thickBot="1" x14ac:dyDescent="0.3">
      <c r="B8" s="87" t="s">
        <v>198</v>
      </c>
      <c r="C8" s="88">
        <f>C7*2080</f>
        <v>32302.399999999998</v>
      </c>
      <c r="D8" s="88">
        <f>D7*2080</f>
        <v>33633.600000000006</v>
      </c>
      <c r="E8" s="89"/>
      <c r="F8" s="89"/>
      <c r="G8" s="1849"/>
      <c r="H8" s="86">
        <v>42495</v>
      </c>
      <c r="J8" s="82"/>
    </row>
    <row r="9" spans="2:10" ht="15.75" x14ac:dyDescent="0.25">
      <c r="B9" s="78" t="s">
        <v>199</v>
      </c>
      <c r="C9" s="79">
        <f>'[22]Caseworker BA'!L9</f>
        <v>21.14</v>
      </c>
      <c r="D9" s="79">
        <f>'[22]Caseworker BA'!J9</f>
        <v>22.073999999999998</v>
      </c>
      <c r="E9" s="80"/>
      <c r="F9" s="80" t="s">
        <v>200</v>
      </c>
      <c r="G9" s="1848" t="s">
        <v>201</v>
      </c>
      <c r="H9" s="1846" t="s">
        <v>202</v>
      </c>
      <c r="J9" s="82"/>
    </row>
    <row r="10" spans="2:10" ht="16.5" thickBot="1" x14ac:dyDescent="0.3">
      <c r="B10" s="87" t="s">
        <v>203</v>
      </c>
      <c r="C10" s="88">
        <f>C9*2080</f>
        <v>43971.200000000004</v>
      </c>
      <c r="D10" s="88">
        <f>D9*2080</f>
        <v>45913.919999999998</v>
      </c>
      <c r="E10" s="89"/>
      <c r="F10" s="89"/>
      <c r="G10" s="1849"/>
      <c r="H10" s="1847"/>
      <c r="J10" s="82"/>
    </row>
    <row r="11" spans="2:10" ht="31.5" x14ac:dyDescent="0.25">
      <c r="B11" s="91" t="s">
        <v>204</v>
      </c>
      <c r="C11" s="92">
        <v>25.32</v>
      </c>
      <c r="D11" s="92">
        <f>'[22]Casemanager MA '!J13</f>
        <v>26.866666666666664</v>
      </c>
      <c r="E11" s="85"/>
      <c r="F11" s="85" t="s">
        <v>205</v>
      </c>
      <c r="G11" s="1850" t="s">
        <v>206</v>
      </c>
      <c r="H11" s="81">
        <f>H12/2080</f>
        <v>19.703365384615385</v>
      </c>
      <c r="J11" s="82">
        <f>D11-H11</f>
        <v>7.1633012820512789</v>
      </c>
    </row>
    <row r="12" spans="2:10" ht="32.25" thickBot="1" x14ac:dyDescent="0.3">
      <c r="B12" s="91" t="s">
        <v>207</v>
      </c>
      <c r="C12" s="88">
        <f>C11*2080</f>
        <v>52665.599999999999</v>
      </c>
      <c r="D12" s="88">
        <f>D11*2080</f>
        <v>55882.666666666657</v>
      </c>
      <c r="E12" s="89"/>
      <c r="F12" s="89" t="s">
        <v>208</v>
      </c>
      <c r="G12" s="1849"/>
      <c r="H12" s="86">
        <v>40983</v>
      </c>
      <c r="J12" s="82"/>
    </row>
    <row r="13" spans="2:10" ht="15.75" x14ac:dyDescent="0.25">
      <c r="B13" s="78" t="s">
        <v>209</v>
      </c>
      <c r="C13" s="79">
        <v>29.29</v>
      </c>
      <c r="D13" s="79">
        <f>'[22]Clinician w indep Lic'!O13</f>
        <v>30.101111111111109</v>
      </c>
      <c r="E13" s="80"/>
      <c r="F13" s="80" t="s">
        <v>210</v>
      </c>
      <c r="G13" s="1848" t="s">
        <v>211</v>
      </c>
      <c r="H13" s="81">
        <f>H14/2080</f>
        <v>27.190865384615385</v>
      </c>
      <c r="J13" s="82">
        <f>D13-H13</f>
        <v>2.9102457264957238</v>
      </c>
    </row>
    <row r="14" spans="2:10" ht="16.5" thickBot="1" x14ac:dyDescent="0.3">
      <c r="B14" s="87" t="s">
        <v>212</v>
      </c>
      <c r="C14" s="88">
        <f>C13*2080</f>
        <v>60923.199999999997</v>
      </c>
      <c r="D14" s="88">
        <f>D13*2080</f>
        <v>62610.311111111107</v>
      </c>
      <c r="E14" s="89"/>
      <c r="F14" s="89"/>
      <c r="G14" s="1849"/>
      <c r="H14" s="86">
        <v>56557</v>
      </c>
      <c r="J14" s="82"/>
    </row>
    <row r="15" spans="2:10" ht="15.75" x14ac:dyDescent="0.25">
      <c r="B15" s="78" t="s">
        <v>213</v>
      </c>
      <c r="C15" s="79">
        <v>40.06</v>
      </c>
      <c r="D15" s="79">
        <f>'[22]Clinical Manager'!I6</f>
        <v>42.94</v>
      </c>
      <c r="E15" s="80"/>
      <c r="F15" s="1851" t="s">
        <v>214</v>
      </c>
      <c r="G15" s="1848" t="s">
        <v>215</v>
      </c>
      <c r="H15" s="81">
        <f>H16/2080</f>
        <v>33.217788461538461</v>
      </c>
      <c r="J15" s="82">
        <f>D15-H15</f>
        <v>9.7222115384615364</v>
      </c>
    </row>
    <row r="16" spans="2:10" ht="16.5" thickBot="1" x14ac:dyDescent="0.3">
      <c r="B16" s="87" t="s">
        <v>216</v>
      </c>
      <c r="C16" s="88">
        <f>C15*2080</f>
        <v>83324.800000000003</v>
      </c>
      <c r="D16" s="88">
        <f>D15*2080</f>
        <v>89315.199999999997</v>
      </c>
      <c r="E16" s="89"/>
      <c r="F16" s="1852"/>
      <c r="G16" s="1849"/>
      <c r="H16" s="86">
        <v>69093</v>
      </c>
      <c r="J16" s="82"/>
    </row>
    <row r="17" spans="2:10" ht="15.75" x14ac:dyDescent="0.25">
      <c r="B17" s="78" t="s">
        <v>217</v>
      </c>
      <c r="C17" s="79">
        <v>27.62</v>
      </c>
      <c r="D17" s="79">
        <f>[22]LPN!H6</f>
        <v>28.36</v>
      </c>
      <c r="E17" s="80"/>
      <c r="F17" s="80"/>
      <c r="G17" s="1848" t="s">
        <v>218</v>
      </c>
      <c r="H17" s="81">
        <f>H18/2080</f>
        <v>25.143750000000001</v>
      </c>
      <c r="J17" s="82">
        <f>D17-H17</f>
        <v>3.2162499999999987</v>
      </c>
    </row>
    <row r="18" spans="2:10" ht="16.5" thickBot="1" x14ac:dyDescent="0.3">
      <c r="B18" s="87" t="s">
        <v>219</v>
      </c>
      <c r="C18" s="88">
        <f>C17*2080</f>
        <v>57449.599999999999</v>
      </c>
      <c r="D18" s="88">
        <f>D17*2080</f>
        <v>58988.799999999996</v>
      </c>
      <c r="E18" s="89"/>
      <c r="F18" s="89"/>
      <c r="G18" s="1849"/>
      <c r="H18" s="86">
        <v>52299</v>
      </c>
      <c r="J18" s="82"/>
    </row>
    <row r="19" spans="2:10" ht="15.75" x14ac:dyDescent="0.25">
      <c r="B19" s="78" t="s">
        <v>220</v>
      </c>
      <c r="C19" s="79">
        <v>41.76</v>
      </c>
      <c r="D19" s="79">
        <f>'[22]BS RN'!K16</f>
        <v>44.3</v>
      </c>
      <c r="E19" s="80"/>
      <c r="F19" s="80"/>
      <c r="G19" s="1848" t="s">
        <v>221</v>
      </c>
      <c r="H19" s="93">
        <f>H20/2080</f>
        <v>33.460576923076921</v>
      </c>
      <c r="J19" s="82">
        <f>D19-H19</f>
        <v>10.839423076923076</v>
      </c>
    </row>
    <row r="20" spans="2:10" ht="16.5" thickBot="1" x14ac:dyDescent="0.3">
      <c r="B20" s="87" t="s">
        <v>222</v>
      </c>
      <c r="C20" s="88">
        <f>C19*2080</f>
        <v>86860.800000000003</v>
      </c>
      <c r="D20" s="88">
        <f>D19*2080</f>
        <v>92144</v>
      </c>
      <c r="E20" s="89"/>
      <c r="F20" s="89"/>
      <c r="G20" s="1849"/>
      <c r="H20" s="86">
        <v>69598</v>
      </c>
      <c r="J20" s="82"/>
    </row>
    <row r="21" spans="2:10" ht="15.75" x14ac:dyDescent="0.25">
      <c r="B21" s="78" t="s">
        <v>223</v>
      </c>
      <c r="C21" s="79">
        <v>57.41</v>
      </c>
      <c r="D21" s="79">
        <f>'[22]MS RN. APRN'!K15</f>
        <v>59.01</v>
      </c>
      <c r="E21" s="80"/>
      <c r="F21" s="80"/>
      <c r="G21" s="1848" t="s">
        <v>224</v>
      </c>
      <c r="H21" s="81">
        <f>H22/2080</f>
        <v>48.354326923076925</v>
      </c>
      <c r="J21" s="82">
        <f>D21-H21</f>
        <v>10.655673076923073</v>
      </c>
    </row>
    <row r="22" spans="2:10" ht="16.5" thickBot="1" x14ac:dyDescent="0.3">
      <c r="B22" s="87" t="s">
        <v>225</v>
      </c>
      <c r="C22" s="88">
        <f>C21*2080</f>
        <v>119412.79999999999</v>
      </c>
      <c r="D22" s="88">
        <f>D21*2080</f>
        <v>122740.8</v>
      </c>
      <c r="E22" s="89"/>
      <c r="F22" s="89"/>
      <c r="G22" s="1849"/>
      <c r="H22" s="86">
        <v>100577</v>
      </c>
      <c r="J22" s="82"/>
    </row>
    <row r="26" spans="2:10" ht="15.75" x14ac:dyDescent="0.25">
      <c r="B26" s="94" t="s">
        <v>226</v>
      </c>
      <c r="C26" s="84">
        <f>C4</f>
        <v>32198.400000000001</v>
      </c>
    </row>
    <row r="27" spans="2:10" ht="15.75" x14ac:dyDescent="0.25">
      <c r="B27" s="85"/>
      <c r="C27" s="85"/>
    </row>
    <row r="28" spans="2:10" ht="15.75" x14ac:dyDescent="0.25">
      <c r="B28" s="94" t="s">
        <v>227</v>
      </c>
      <c r="C28" s="84">
        <v>29640</v>
      </c>
    </row>
    <row r="29" spans="2:10" ht="15.75" x14ac:dyDescent="0.25">
      <c r="B29" s="85"/>
      <c r="C29" s="85"/>
    </row>
    <row r="30" spans="2:10" ht="15.75" x14ac:dyDescent="0.25">
      <c r="B30" s="94" t="s">
        <v>228</v>
      </c>
      <c r="C30" s="95">
        <v>0.224</v>
      </c>
      <c r="F30" t="s">
        <v>229</v>
      </c>
    </row>
    <row r="31" spans="2:10" ht="15.75" x14ac:dyDescent="0.25">
      <c r="B31" s="94" t="s">
        <v>230</v>
      </c>
      <c r="C31" s="95">
        <v>0.02</v>
      </c>
      <c r="F31" t="s">
        <v>231</v>
      </c>
    </row>
    <row r="32" spans="2:10" ht="15.75" x14ac:dyDescent="0.25">
      <c r="B32" s="94" t="s">
        <v>232</v>
      </c>
      <c r="C32" s="95">
        <v>3.7000000000000002E-3</v>
      </c>
    </row>
    <row r="33" spans="2:6" ht="15.75" x14ac:dyDescent="0.25">
      <c r="B33" s="94" t="s">
        <v>233</v>
      </c>
      <c r="C33" s="26">
        <v>0.12</v>
      </c>
      <c r="F33" t="s">
        <v>234</v>
      </c>
    </row>
  </sheetData>
  <mergeCells count="13">
    <mergeCell ref="F3:F4"/>
    <mergeCell ref="G3:G4"/>
    <mergeCell ref="G5:G6"/>
    <mergeCell ref="G7:G8"/>
    <mergeCell ref="G9:G10"/>
    <mergeCell ref="H9:H10"/>
    <mergeCell ref="G21:G22"/>
    <mergeCell ref="G11:G12"/>
    <mergeCell ref="G13:G14"/>
    <mergeCell ref="F15:F16"/>
    <mergeCell ref="G15:G16"/>
    <mergeCell ref="G17:G18"/>
    <mergeCell ref="G19:G20"/>
  </mergeCells>
  <pageMargins left="0.25" right="0.25" top="0.75" bottom="0.75" header="0.3" footer="0.3"/>
  <pageSetup scale="70" fitToHeight="0" orientation="landscape" cellComments="asDisplayed"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A7415-BE24-4D0F-89B4-8ED930D5947E}">
  <sheetPr>
    <pageSetUpPr fitToPage="1"/>
  </sheetPr>
  <dimension ref="A1:G147"/>
  <sheetViews>
    <sheetView topLeftCell="A5" zoomScaleNormal="100" zoomScaleSheetLayoutView="80" workbookViewId="0">
      <selection activeCell="I25" sqref="I25"/>
    </sheetView>
  </sheetViews>
  <sheetFormatPr defaultColWidth="19.42578125" defaultRowHeight="12.75" x14ac:dyDescent="0.2"/>
  <cols>
    <col min="1" max="1" width="7.28515625" style="383" customWidth="1"/>
    <col min="2" max="2" width="30.140625" style="383" bestFit="1" customWidth="1"/>
    <col min="3" max="3" width="13.140625" style="383" customWidth="1"/>
    <col min="4" max="4" width="9.5703125" style="383" bestFit="1" customWidth="1"/>
    <col min="5" max="5" width="10.28515625" style="383" bestFit="1" customWidth="1"/>
    <col min="6" max="6" width="11" style="383" bestFit="1" customWidth="1"/>
    <col min="7" max="16384" width="19.42578125" style="383"/>
  </cols>
  <sheetData>
    <row r="1" spans="1:7" x14ac:dyDescent="0.2">
      <c r="B1" s="1896" t="s">
        <v>2297</v>
      </c>
      <c r="C1" s="1896"/>
      <c r="D1" s="1896"/>
      <c r="E1" s="1896"/>
      <c r="F1" s="1674">
        <f ca="1">TODAY()</f>
        <v>45805</v>
      </c>
    </row>
    <row r="4" spans="1:7" ht="13.5" thickBot="1" x14ac:dyDescent="0.25"/>
    <row r="5" spans="1:7" ht="13.5" customHeight="1" x14ac:dyDescent="0.2">
      <c r="B5" s="1897" t="s">
        <v>2518</v>
      </c>
      <c r="C5" s="1898"/>
      <c r="D5" s="1898"/>
      <c r="E5" s="1898"/>
      <c r="F5" s="1899"/>
    </row>
    <row r="6" spans="1:7" ht="13.5" thickBot="1" x14ac:dyDescent="0.25">
      <c r="B6" s="1900"/>
      <c r="C6" s="1901"/>
      <c r="D6" s="1901"/>
      <c r="E6" s="1901"/>
      <c r="F6" s="1902"/>
    </row>
    <row r="7" spans="1:7" x14ac:dyDescent="0.2">
      <c r="B7" s="731" t="s">
        <v>0</v>
      </c>
      <c r="C7" s="1182">
        <v>12</v>
      </c>
      <c r="D7" s="1183"/>
      <c r="E7" s="1183" t="s">
        <v>1</v>
      </c>
      <c r="F7" s="1181">
        <f>C7*365</f>
        <v>4380</v>
      </c>
      <c r="G7" s="1796"/>
    </row>
    <row r="8" spans="1:7" x14ac:dyDescent="0.2">
      <c r="B8" s="724"/>
      <c r="F8" s="736"/>
      <c r="G8" s="1796"/>
    </row>
    <row r="9" spans="1:7" ht="15" customHeight="1" x14ac:dyDescent="0.2">
      <c r="B9" s="1432"/>
      <c r="C9" s="1675"/>
      <c r="D9" s="1433" t="s">
        <v>5</v>
      </c>
      <c r="E9" s="1433" t="s">
        <v>6</v>
      </c>
      <c r="F9" s="1676" t="s">
        <v>7</v>
      </c>
    </row>
    <row r="10" spans="1:7" ht="13.35" customHeight="1" x14ac:dyDescent="0.2">
      <c r="A10" s="1179"/>
      <c r="B10" s="1728" t="s">
        <v>9</v>
      </c>
      <c r="F10" s="1191"/>
    </row>
    <row r="11" spans="1:7" ht="17.45" customHeight="1" x14ac:dyDescent="0.2">
      <c r="A11" s="1179"/>
      <c r="B11" s="724" t="s">
        <v>2462</v>
      </c>
      <c r="D11" s="1184">
        <f>'[24]Master Data'!E17</f>
        <v>83639.712</v>
      </c>
      <c r="E11" s="1190">
        <v>1</v>
      </c>
      <c r="F11" s="1191">
        <f>D11*E11</f>
        <v>83639.712</v>
      </c>
    </row>
    <row r="12" spans="1:7" x14ac:dyDescent="0.2">
      <c r="A12" s="1179"/>
      <c r="B12" s="731" t="s">
        <v>13</v>
      </c>
      <c r="D12" s="1184"/>
      <c r="E12" s="1190"/>
      <c r="F12" s="1191"/>
    </row>
    <row r="13" spans="1:7" x14ac:dyDescent="0.2">
      <c r="A13" s="1179"/>
      <c r="B13" s="724" t="s">
        <v>2437</v>
      </c>
      <c r="D13" s="1184">
        <f>'[24]Master Data'!E23</f>
        <v>103622.27200000001</v>
      </c>
      <c r="E13" s="1190">
        <v>0.25</v>
      </c>
      <c r="F13" s="1191">
        <f>D13*E13</f>
        <v>25905.568000000003</v>
      </c>
      <c r="G13" s="384"/>
    </row>
    <row r="14" spans="1:7" x14ac:dyDescent="0.2">
      <c r="A14" s="1180"/>
      <c r="B14" s="724" t="s">
        <v>2463</v>
      </c>
      <c r="D14" s="1184">
        <f>'[24]Master Data'!E24</f>
        <v>73854.144</v>
      </c>
      <c r="E14" s="1190">
        <v>0.45</v>
      </c>
      <c r="F14" s="1191">
        <f>D14*E14</f>
        <v>33234.364800000003</v>
      </c>
      <c r="G14" s="384"/>
    </row>
    <row r="15" spans="1:7" x14ac:dyDescent="0.2">
      <c r="B15" s="724" t="s">
        <v>2438</v>
      </c>
      <c r="D15" s="1184">
        <f>'[24]Master Data'!E27</f>
        <v>83639.712</v>
      </c>
      <c r="E15" s="1190">
        <v>0.25</v>
      </c>
      <c r="F15" s="1191">
        <f>D15*E15</f>
        <v>20909.928</v>
      </c>
      <c r="G15" s="384"/>
    </row>
    <row r="16" spans="1:7" x14ac:dyDescent="0.2">
      <c r="B16" s="731" t="s">
        <v>18</v>
      </c>
      <c r="D16" s="1184"/>
      <c r="E16" s="1190"/>
      <c r="F16" s="1191"/>
      <c r="G16" s="384"/>
    </row>
    <row r="17" spans="2:7" x14ac:dyDescent="0.2">
      <c r="B17" s="724" t="s">
        <v>2441</v>
      </c>
      <c r="D17" s="1184">
        <f>'[24]Master Data'!E37</f>
        <v>64438.399999999994</v>
      </c>
      <c r="E17" s="1190">
        <v>1.2</v>
      </c>
      <c r="F17" s="1191">
        <f t="shared" ref="F17:F24" si="0">D17*E17</f>
        <v>77326.079999999987</v>
      </c>
      <c r="G17" s="384"/>
    </row>
    <row r="18" spans="2:7" x14ac:dyDescent="0.2">
      <c r="B18" s="724" t="s">
        <v>2443</v>
      </c>
      <c r="D18" s="1184">
        <f>'[24]Master Data'!E34</f>
        <v>56217.241600000001</v>
      </c>
      <c r="E18" s="1190">
        <v>1</v>
      </c>
      <c r="F18" s="1191">
        <f t="shared" si="0"/>
        <v>56217.241600000001</v>
      </c>
      <c r="G18" s="384"/>
    </row>
    <row r="19" spans="2:7" x14ac:dyDescent="0.2">
      <c r="B19" s="724" t="s">
        <v>2445</v>
      </c>
      <c r="D19" s="1184">
        <f>'[24]Master Data'!E39</f>
        <v>43247.567999999999</v>
      </c>
      <c r="E19" s="1190">
        <v>9.8000000000000007</v>
      </c>
      <c r="F19" s="1191">
        <f t="shared" si="0"/>
        <v>423826.16640000005</v>
      </c>
      <c r="G19" s="384"/>
    </row>
    <row r="20" spans="2:7" x14ac:dyDescent="0.2">
      <c r="B20" s="724" t="s">
        <v>2519</v>
      </c>
      <c r="D20" s="1184">
        <f>'[24]Master Data'!E33</f>
        <v>56217.241600000001</v>
      </c>
      <c r="E20" s="1190">
        <v>0.45</v>
      </c>
      <c r="F20" s="1191">
        <f t="shared" si="0"/>
        <v>25297.758720000002</v>
      </c>
      <c r="G20" s="384"/>
    </row>
    <row r="21" spans="2:7" x14ac:dyDescent="0.2">
      <c r="B21" s="724" t="s">
        <v>2446</v>
      </c>
      <c r="D21" s="1184">
        <f>'[24]Master Data'!E40</f>
        <v>43247.567999999999</v>
      </c>
      <c r="E21" s="1190">
        <v>1</v>
      </c>
      <c r="F21" s="1191">
        <f t="shared" si="0"/>
        <v>43247.567999999999</v>
      </c>
      <c r="G21" s="384"/>
    </row>
    <row r="22" spans="2:7" x14ac:dyDescent="0.2">
      <c r="B22" s="724" t="s">
        <v>2469</v>
      </c>
      <c r="D22" s="1184">
        <f>'[24]Master Data'!E41</f>
        <v>43247.567999999999</v>
      </c>
      <c r="E22" s="1190">
        <v>0.75</v>
      </c>
      <c r="F22" s="1191">
        <f t="shared" si="0"/>
        <v>32435.675999999999</v>
      </c>
      <c r="G22" s="384"/>
    </row>
    <row r="23" spans="2:7" x14ac:dyDescent="0.2">
      <c r="B23" s="724" t="s">
        <v>2470</v>
      </c>
      <c r="D23" s="1184">
        <f>'[24]Master Data'!E42</f>
        <v>43247.567999999999</v>
      </c>
      <c r="E23" s="1190">
        <v>7.4999999999999997E-2</v>
      </c>
      <c r="F23" s="1191">
        <f t="shared" si="0"/>
        <v>3243.5675999999999</v>
      </c>
      <c r="G23" s="384"/>
    </row>
    <row r="24" spans="2:7" x14ac:dyDescent="0.2">
      <c r="B24" s="724" t="s">
        <v>2449</v>
      </c>
      <c r="D24" s="1184">
        <f>D21</f>
        <v>43247.567999999999</v>
      </c>
      <c r="E24" s="1190">
        <f>E19*'[24]Master Data'!E11</f>
        <v>1.47</v>
      </c>
      <c r="F24" s="1191">
        <f t="shared" si="0"/>
        <v>63573.924959999997</v>
      </c>
      <c r="G24" s="384"/>
    </row>
    <row r="25" spans="2:7" x14ac:dyDescent="0.2">
      <c r="B25" s="1195" t="s">
        <v>20</v>
      </c>
      <c r="C25" s="1196"/>
      <c r="D25" s="1196"/>
      <c r="E25" s="1689">
        <f>SUM(E10:E24)</f>
        <v>17.694999999999997</v>
      </c>
      <c r="F25" s="1198">
        <f>SUM(F11:F24)</f>
        <v>888857.55608000001</v>
      </c>
      <c r="G25" s="384"/>
    </row>
    <row r="26" spans="2:7" x14ac:dyDescent="0.2">
      <c r="B26" s="731" t="s">
        <v>21</v>
      </c>
      <c r="E26" s="1183"/>
      <c r="F26" s="736"/>
      <c r="G26" s="384"/>
    </row>
    <row r="27" spans="2:7" x14ac:dyDescent="0.2">
      <c r="B27" s="724" t="s">
        <v>23</v>
      </c>
      <c r="D27" s="726">
        <f>'[24]Master Data'!E46</f>
        <v>0.24970000000000001</v>
      </c>
      <c r="F27" s="1191">
        <f>D27*F25</f>
        <v>221947.73175317602</v>
      </c>
      <c r="G27" s="384"/>
    </row>
    <row r="28" spans="2:7" x14ac:dyDescent="0.2">
      <c r="B28" s="1195" t="s">
        <v>24</v>
      </c>
      <c r="C28" s="1196"/>
      <c r="D28" s="1196"/>
      <c r="E28" s="1197">
        <f>F28/F7</f>
        <v>253.60851320392149</v>
      </c>
      <c r="F28" s="1198">
        <f>F27+F25</f>
        <v>1110805.2878331761</v>
      </c>
      <c r="G28" s="384"/>
    </row>
    <row r="29" spans="2:7" x14ac:dyDescent="0.2">
      <c r="B29" s="724"/>
      <c r="C29" s="1763"/>
      <c r="F29" s="1691"/>
    </row>
    <row r="30" spans="2:7" x14ac:dyDescent="0.2">
      <c r="B30" s="724" t="s">
        <v>26</v>
      </c>
      <c r="E30" s="1200">
        <f>'[24]Master Data'!E48</f>
        <v>31.419846000000003</v>
      </c>
      <c r="F30" s="1199">
        <f>E30*F7</f>
        <v>137618.92548000001</v>
      </c>
    </row>
    <row r="31" spans="2:7" x14ac:dyDescent="0.2">
      <c r="B31" s="724" t="str">
        <f>'[24]7.23 Youth&amp;YA Group Residence'!B27</f>
        <v>Programmatic expenses</v>
      </c>
      <c r="E31" s="1200">
        <f>'[24]Master Data'!E49</f>
        <v>25.695</v>
      </c>
      <c r="F31" s="1199">
        <f>E31*F7</f>
        <v>112544.1</v>
      </c>
    </row>
    <row r="32" spans="2:7" x14ac:dyDescent="0.2">
      <c r="B32" s="724" t="s">
        <v>2475</v>
      </c>
      <c r="E32" s="1200">
        <f>'[24]Master Data'!E50</f>
        <v>1.2847500000000001</v>
      </c>
      <c r="F32" s="1199">
        <f>E32*F7</f>
        <v>5627.2049999999999</v>
      </c>
    </row>
    <row r="33" spans="2:7" x14ac:dyDescent="0.2">
      <c r="B33" s="1195" t="s">
        <v>29</v>
      </c>
      <c r="C33" s="1196"/>
      <c r="D33" s="1196"/>
      <c r="E33" s="1196"/>
      <c r="F33" s="1198">
        <f>SUM(F28:F32)</f>
        <v>1366595.5183131762</v>
      </c>
    </row>
    <row r="34" spans="2:7" x14ac:dyDescent="0.2">
      <c r="B34" s="724" t="s">
        <v>30</v>
      </c>
      <c r="D34" s="726">
        <f>'[24]Master Data'!E53</f>
        <v>0.12</v>
      </c>
      <c r="F34" s="1191">
        <f>D34*F33</f>
        <v>163991.46219758113</v>
      </c>
    </row>
    <row r="35" spans="2:7" ht="13.5" thickBot="1" x14ac:dyDescent="0.25">
      <c r="B35" s="1203" t="s">
        <v>31</v>
      </c>
      <c r="C35" s="1204"/>
      <c r="D35" s="1204"/>
      <c r="E35" s="1204"/>
      <c r="F35" s="1205">
        <f>SUM(F33:F34)</f>
        <v>1530586.9805107573</v>
      </c>
    </row>
    <row r="36" spans="2:7" ht="13.5" thickTop="1" x14ac:dyDescent="0.2">
      <c r="B36" s="724" t="str">
        <f>'[24]Master Data'!C55</f>
        <v>CAF - BASELINE</v>
      </c>
      <c r="D36" s="726">
        <f>'[24]Master Data'!E55</f>
        <v>3.2549514448865162E-2</v>
      </c>
      <c r="F36" s="1693">
        <f>F33*(D36+1)+F34</f>
        <v>1575069.0010798464</v>
      </c>
    </row>
    <row r="37" spans="2:7" x14ac:dyDescent="0.2">
      <c r="B37" s="724"/>
      <c r="F37" s="1694" t="s">
        <v>32</v>
      </c>
    </row>
    <row r="38" spans="2:7" ht="13.5" thickBot="1" x14ac:dyDescent="0.25">
      <c r="B38" s="1805"/>
      <c r="D38" s="726"/>
      <c r="E38" s="1451"/>
      <c r="F38" s="1695">
        <f>F36/F7</f>
        <v>359.60479476708821</v>
      </c>
    </row>
    <row r="39" spans="2:7" ht="13.5" thickBot="1" x14ac:dyDescent="0.25">
      <c r="B39" s="1712" t="s">
        <v>2432</v>
      </c>
      <c r="C39" s="1817">
        <v>0.8</v>
      </c>
      <c r="D39" s="1818"/>
      <c r="E39" s="1819"/>
      <c r="F39" s="1699">
        <f>F38/C39</f>
        <v>449.50599345886025</v>
      </c>
    </row>
    <row r="40" spans="2:7" ht="13.5" thickBot="1" x14ac:dyDescent="0.25">
      <c r="B40" s="1713" t="s">
        <v>2429</v>
      </c>
      <c r="C40" s="1743">
        <v>0.9</v>
      </c>
      <c r="D40" s="1208"/>
      <c r="E40" s="1704"/>
      <c r="F40" s="1742">
        <f>F38/C40</f>
        <v>399.56088307454246</v>
      </c>
    </row>
    <row r="41" spans="2:7" ht="13.5" thickBot="1" x14ac:dyDescent="0.25">
      <c r="B41" s="1798"/>
      <c r="C41" s="1799"/>
      <c r="D41" s="1733"/>
      <c r="E41" s="1800"/>
      <c r="F41" s="1801"/>
    </row>
    <row r="42" spans="2:7" ht="13.5" thickBot="1" x14ac:dyDescent="0.25">
      <c r="F42" s="1701">
        <f>'[24]7.23 Youth&amp;YA Group Residence'!F35</f>
        <v>408.95734489839191</v>
      </c>
      <c r="G42" s="1721">
        <f>(F39-F42)/F42</f>
        <v>9.9151290632872507E-2</v>
      </c>
    </row>
    <row r="43" spans="2:7" x14ac:dyDescent="0.2">
      <c r="E43" s="383" t="s">
        <v>2458</v>
      </c>
    </row>
    <row r="44" spans="2:7" x14ac:dyDescent="0.2">
      <c r="G44" s="1736"/>
    </row>
    <row r="46" spans="2:7" ht="13.35" customHeight="1" x14ac:dyDescent="0.2"/>
    <row r="47" spans="2:7" x14ac:dyDescent="0.2">
      <c r="B47" s="1722"/>
    </row>
    <row r="48" spans="2:7" x14ac:dyDescent="0.2">
      <c r="B48" s="1722"/>
    </row>
    <row r="49" spans="2:2" x14ac:dyDescent="0.2">
      <c r="B49" s="1722"/>
    </row>
    <row r="50" spans="2:2" x14ac:dyDescent="0.2">
      <c r="B50" s="1722"/>
    </row>
    <row r="51" spans="2:2" ht="12.75" customHeight="1" x14ac:dyDescent="0.2"/>
    <row r="70" spans="1:1" ht="13.35" customHeight="1" x14ac:dyDescent="0.2"/>
    <row r="71" spans="1:1" ht="15" customHeight="1" x14ac:dyDescent="0.2"/>
    <row r="76" spans="1:1" ht="12.75" customHeight="1" x14ac:dyDescent="0.2"/>
    <row r="77" spans="1:1" x14ac:dyDescent="0.2">
      <c r="A77" s="1451"/>
    </row>
    <row r="78" spans="1:1" x14ac:dyDescent="0.2">
      <c r="A78" s="1200"/>
    </row>
    <row r="79" spans="1:1" x14ac:dyDescent="0.2">
      <c r="A79" s="1200"/>
    </row>
    <row r="80" spans="1:1" x14ac:dyDescent="0.2">
      <c r="A80" s="1200"/>
    </row>
    <row r="83" spans="1:1" x14ac:dyDescent="0.2">
      <c r="A83" s="1179"/>
    </row>
    <row r="84" spans="1:1" x14ac:dyDescent="0.2">
      <c r="A84" s="1180"/>
    </row>
    <row r="106" spans="1:1" ht="13.35" customHeight="1" x14ac:dyDescent="0.2"/>
    <row r="107" spans="1:1" ht="15" customHeight="1" x14ac:dyDescent="0.2"/>
    <row r="112" spans="1:1" ht="12.75" customHeight="1" x14ac:dyDescent="0.2">
      <c r="A112" s="1200"/>
    </row>
    <row r="113" spans="1:1" x14ac:dyDescent="0.2">
      <c r="A113" s="1451"/>
    </row>
    <row r="114" spans="1:1" x14ac:dyDescent="0.2">
      <c r="A114" s="1200"/>
    </row>
    <row r="115" spans="1:1" x14ac:dyDescent="0.2">
      <c r="A115" s="1200"/>
    </row>
    <row r="116" spans="1:1" x14ac:dyDescent="0.2">
      <c r="A116" s="1200"/>
    </row>
    <row r="118" spans="1:1" x14ac:dyDescent="0.2">
      <c r="A118" s="1471"/>
    </row>
    <row r="119" spans="1:1" x14ac:dyDescent="0.2">
      <c r="A119" s="1179"/>
    </row>
    <row r="120" spans="1:1" x14ac:dyDescent="0.2">
      <c r="A120" s="1180"/>
    </row>
    <row r="144" spans="1:1" x14ac:dyDescent="0.2">
      <c r="A144" s="1451"/>
    </row>
    <row r="145" spans="1:1" x14ac:dyDescent="0.2">
      <c r="A145" s="1200"/>
    </row>
    <row r="146" spans="1:1" x14ac:dyDescent="0.2">
      <c r="A146" s="1200"/>
    </row>
    <row r="147" spans="1:1" x14ac:dyDescent="0.2">
      <c r="A147" s="1200"/>
    </row>
  </sheetData>
  <mergeCells count="2">
    <mergeCell ref="B1:E1"/>
    <mergeCell ref="B5:F6"/>
  </mergeCells>
  <pageMargins left="0.7" right="0.7" top="0.75" bottom="0.75" header="0.3" footer="0.3"/>
  <pageSetup scale="87" fitToHeight="0" orientation="landscape" r:id="rId1"/>
  <headerFooter>
    <oddFooter>&amp;R&amp;A
&amp;F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AFAD1-7CEC-4538-88F4-4605DD0EC8A2}">
  <sheetPr>
    <pageSetUpPr fitToPage="1"/>
  </sheetPr>
  <dimension ref="A1:G60"/>
  <sheetViews>
    <sheetView zoomScaleNormal="100" zoomScaleSheetLayoutView="80" workbookViewId="0">
      <selection activeCell="I29" sqref="I29"/>
    </sheetView>
  </sheetViews>
  <sheetFormatPr defaultColWidth="14.140625" defaultRowHeight="12.75" x14ac:dyDescent="0.2"/>
  <cols>
    <col min="1" max="1" width="5.140625" style="383" customWidth="1"/>
    <col min="2" max="2" width="45.7109375" style="383" customWidth="1"/>
    <col min="3" max="3" width="9.140625" style="383" customWidth="1"/>
    <col min="4" max="4" width="9.5703125" style="383" bestFit="1" customWidth="1"/>
    <col min="5" max="5" width="8.5703125" style="383" bestFit="1" customWidth="1"/>
    <col min="6" max="6" width="18.28515625" style="383" customWidth="1"/>
    <col min="7" max="7" width="14.140625" style="384"/>
    <col min="8" max="16384" width="14.140625" style="383"/>
  </cols>
  <sheetData>
    <row r="1" spans="1:7" x14ac:dyDescent="0.2">
      <c r="B1" s="1896" t="s">
        <v>2297</v>
      </c>
      <c r="C1" s="1896"/>
      <c r="D1" s="1896"/>
      <c r="E1" s="1896"/>
      <c r="F1" s="1674">
        <f ca="1">TODAY()</f>
        <v>45805</v>
      </c>
    </row>
    <row r="4" spans="1:7" ht="13.5" thickBot="1" x14ac:dyDescent="0.25"/>
    <row r="5" spans="1:7" ht="13.5" customHeight="1" x14ac:dyDescent="0.2">
      <c r="B5" s="1897" t="s">
        <v>2520</v>
      </c>
      <c r="C5" s="1898"/>
      <c r="D5" s="1898"/>
      <c r="E5" s="1898"/>
      <c r="F5" s="1899"/>
    </row>
    <row r="6" spans="1:7" ht="13.5" thickBot="1" x14ac:dyDescent="0.25">
      <c r="B6" s="1900"/>
      <c r="C6" s="1901"/>
      <c r="D6" s="1901"/>
      <c r="E6" s="1901"/>
      <c r="F6" s="1902"/>
    </row>
    <row r="7" spans="1:7" x14ac:dyDescent="0.2">
      <c r="B7" s="731" t="s">
        <v>0</v>
      </c>
      <c r="C7" s="1182">
        <v>10</v>
      </c>
      <c r="D7" s="1183"/>
      <c r="E7" s="1183" t="s">
        <v>1</v>
      </c>
      <c r="F7" s="1181">
        <f>C7*365</f>
        <v>3650</v>
      </c>
      <c r="G7" s="1727"/>
    </row>
    <row r="8" spans="1:7" x14ac:dyDescent="0.2">
      <c r="B8" s="724"/>
      <c r="F8" s="736"/>
      <c r="G8" s="1727"/>
    </row>
    <row r="9" spans="1:7" ht="15" customHeight="1" x14ac:dyDescent="0.2">
      <c r="B9" s="1432"/>
      <c r="C9" s="1675"/>
      <c r="D9" s="1433" t="s">
        <v>5</v>
      </c>
      <c r="E9" s="1433" t="s">
        <v>6</v>
      </c>
      <c r="F9" s="1676" t="s">
        <v>7</v>
      </c>
    </row>
    <row r="10" spans="1:7" ht="13.35" customHeight="1" x14ac:dyDescent="0.2">
      <c r="A10" s="1179"/>
      <c r="B10" s="1728" t="s">
        <v>9</v>
      </c>
      <c r="F10" s="1191"/>
    </row>
    <row r="11" spans="1:7" ht="17.45" customHeight="1" x14ac:dyDescent="0.2">
      <c r="A11" s="1179"/>
      <c r="B11" s="724" t="s">
        <v>2462</v>
      </c>
      <c r="D11" s="1184">
        <f>'[24]Master Data'!E17</f>
        <v>83639.712</v>
      </c>
      <c r="E11" s="1190">
        <v>1</v>
      </c>
      <c r="F11" s="1191">
        <f>D11*E11</f>
        <v>83639.712</v>
      </c>
    </row>
    <row r="12" spans="1:7" x14ac:dyDescent="0.2">
      <c r="A12" s="1179"/>
      <c r="B12" s="731" t="s">
        <v>13</v>
      </c>
      <c r="D12" s="1184"/>
      <c r="E12" s="1190"/>
      <c r="F12" s="1191"/>
    </row>
    <row r="13" spans="1:7" x14ac:dyDescent="0.2">
      <c r="A13" s="1179"/>
      <c r="B13" s="724" t="s">
        <v>2437</v>
      </c>
      <c r="D13" s="1184">
        <f>'[24]Master Data'!E23</f>
        <v>103622.27200000001</v>
      </c>
      <c r="E13" s="1190">
        <v>0.13</v>
      </c>
      <c r="F13" s="1191">
        <f>D13*E13</f>
        <v>13470.895360000002</v>
      </c>
    </row>
    <row r="14" spans="1:7" x14ac:dyDescent="0.2">
      <c r="A14" s="1180"/>
      <c r="B14" s="724" t="s">
        <v>2463</v>
      </c>
      <c r="D14" s="1184">
        <f>'[24]Master Data'!E24</f>
        <v>73854.144</v>
      </c>
      <c r="E14" s="1190">
        <v>0.25</v>
      </c>
      <c r="F14" s="1191">
        <f>D14*E14</f>
        <v>18463.536</v>
      </c>
    </row>
    <row r="15" spans="1:7" x14ac:dyDescent="0.2">
      <c r="B15" s="724" t="s">
        <v>2438</v>
      </c>
      <c r="D15" s="1184">
        <f>'[24]Master Data'!E27</f>
        <v>83639.712</v>
      </c>
      <c r="E15" s="1190">
        <v>0.125</v>
      </c>
      <c r="F15" s="1191">
        <f>D15*E15</f>
        <v>10454.964</v>
      </c>
    </row>
    <row r="16" spans="1:7" x14ac:dyDescent="0.2">
      <c r="B16" s="731" t="s">
        <v>18</v>
      </c>
      <c r="D16" s="1184"/>
    </row>
    <row r="17" spans="2:6" s="384" customFormat="1" x14ac:dyDescent="0.2">
      <c r="B17" s="724" t="s">
        <v>2441</v>
      </c>
      <c r="C17" s="383"/>
      <c r="D17" s="1184">
        <f>'[24]Master Data'!E37</f>
        <v>64438.399999999994</v>
      </c>
      <c r="E17" s="1190">
        <v>1.5</v>
      </c>
      <c r="F17" s="1191">
        <f>E17*D17</f>
        <v>96657.599999999991</v>
      </c>
    </row>
    <row r="18" spans="2:6" s="384" customFormat="1" x14ac:dyDescent="0.2">
      <c r="B18" s="724" t="s">
        <v>2521</v>
      </c>
      <c r="C18" s="383"/>
      <c r="D18" s="1184">
        <f>'[24]Master Data'!E38</f>
        <v>43247.567999999999</v>
      </c>
      <c r="E18" s="1190">
        <v>4.2</v>
      </c>
      <c r="F18" s="1191">
        <f>E18*D18</f>
        <v>181639.7856</v>
      </c>
    </row>
    <row r="19" spans="2:6" s="384" customFormat="1" x14ac:dyDescent="0.2">
      <c r="B19" s="724" t="s">
        <v>2445</v>
      </c>
      <c r="C19" s="383"/>
      <c r="D19" s="1184">
        <f>'[24]Master Data'!E39</f>
        <v>43247.567999999999</v>
      </c>
      <c r="E19" s="1190">
        <v>3.8</v>
      </c>
      <c r="F19" s="1191">
        <f t="shared" ref="F19:F24" si="0">D19*E19</f>
        <v>164340.75839999999</v>
      </c>
    </row>
    <row r="20" spans="2:6" s="384" customFormat="1" x14ac:dyDescent="0.2">
      <c r="B20" s="724" t="s">
        <v>2522</v>
      </c>
      <c r="C20" s="383"/>
      <c r="D20" s="1184">
        <f>'[24]Master Data'!E33</f>
        <v>56217.241600000001</v>
      </c>
      <c r="E20" s="1190">
        <v>0.45</v>
      </c>
      <c r="F20" s="1191">
        <f t="shared" si="0"/>
        <v>25297.758720000002</v>
      </c>
    </row>
    <row r="21" spans="2:6" s="384" customFormat="1" x14ac:dyDescent="0.2">
      <c r="B21" s="724" t="s">
        <v>2446</v>
      </c>
      <c r="C21" s="383"/>
      <c r="D21" s="1184">
        <f>'[24]Master Data'!E40</f>
        <v>43247.567999999999</v>
      </c>
      <c r="E21" s="1190">
        <v>0.5</v>
      </c>
      <c r="F21" s="1191">
        <f t="shared" si="0"/>
        <v>21623.784</v>
      </c>
    </row>
    <row r="22" spans="2:6" s="384" customFormat="1" x14ac:dyDescent="0.2">
      <c r="B22" s="724" t="s">
        <v>2469</v>
      </c>
      <c r="C22" s="383"/>
      <c r="D22" s="1184">
        <f>'[24]Master Data'!E41</f>
        <v>43247.567999999999</v>
      </c>
      <c r="E22" s="1190">
        <v>0.75</v>
      </c>
      <c r="F22" s="1191">
        <f t="shared" si="0"/>
        <v>32435.675999999999</v>
      </c>
    </row>
    <row r="23" spans="2:6" s="384" customFormat="1" x14ac:dyDescent="0.2">
      <c r="B23" s="724" t="s">
        <v>2470</v>
      </c>
      <c r="C23" s="383"/>
      <c r="D23" s="1184">
        <f>'[24]Master Data'!E42</f>
        <v>43247.567999999999</v>
      </c>
      <c r="E23" s="1190">
        <v>7.4999999999999997E-2</v>
      </c>
      <c r="F23" s="1191">
        <f t="shared" si="0"/>
        <v>3243.5675999999999</v>
      </c>
    </row>
    <row r="24" spans="2:6" s="384" customFormat="1" x14ac:dyDescent="0.2">
      <c r="B24" s="724" t="s">
        <v>2449</v>
      </c>
      <c r="C24" s="383"/>
      <c r="D24" s="1184">
        <f>D19</f>
        <v>43247.567999999999</v>
      </c>
      <c r="E24" s="1190">
        <f>E19*'[24]Master Data'!E11</f>
        <v>0.56999999999999995</v>
      </c>
      <c r="F24" s="1191">
        <f t="shared" si="0"/>
        <v>24651.113759999997</v>
      </c>
    </row>
    <row r="25" spans="2:6" s="384" customFormat="1" x14ac:dyDescent="0.2">
      <c r="B25" s="1195" t="s">
        <v>20</v>
      </c>
      <c r="C25" s="1196"/>
      <c r="D25" s="1196"/>
      <c r="E25" s="1689">
        <f>SUM(E10:E24)</f>
        <v>13.349999999999998</v>
      </c>
      <c r="F25" s="1198">
        <f>SUM(F11:F24)</f>
        <v>675919.15143999993</v>
      </c>
    </row>
    <row r="26" spans="2:6" s="384" customFormat="1" x14ac:dyDescent="0.2">
      <c r="B26" s="731" t="s">
        <v>21</v>
      </c>
      <c r="C26" s="383"/>
      <c r="D26" s="383"/>
      <c r="E26" s="1183"/>
      <c r="F26" s="736"/>
    </row>
    <row r="27" spans="2:6" s="384" customFormat="1" x14ac:dyDescent="0.2">
      <c r="B27" s="724" t="s">
        <v>23</v>
      </c>
      <c r="C27" s="383"/>
      <c r="D27" s="726">
        <f>'[24]Master Data'!E46</f>
        <v>0.24970000000000001</v>
      </c>
      <c r="E27" s="383"/>
      <c r="F27" s="1191">
        <f>D27*F25</f>
        <v>168777.01211456797</v>
      </c>
    </row>
    <row r="28" spans="2:6" s="384" customFormat="1" x14ac:dyDescent="0.2">
      <c r="B28" s="1195" t="s">
        <v>24</v>
      </c>
      <c r="C28" s="1196"/>
      <c r="D28" s="1196"/>
      <c r="E28" s="1197"/>
      <c r="F28" s="1198">
        <f>F27+F25</f>
        <v>844696.16355456784</v>
      </c>
    </row>
    <row r="29" spans="2:6" s="384" customFormat="1" x14ac:dyDescent="0.2">
      <c r="B29" s="724"/>
      <c r="C29" s="1763"/>
      <c r="D29" s="383"/>
      <c r="E29" s="383"/>
      <c r="F29" s="1691"/>
    </row>
    <row r="30" spans="2:6" s="384" customFormat="1" x14ac:dyDescent="0.2">
      <c r="B30" s="724" t="s">
        <v>26</v>
      </c>
      <c r="C30" s="383"/>
      <c r="D30" s="383"/>
      <c r="E30" s="1200">
        <f>'[24]Master Data'!E48</f>
        <v>31.419846000000003</v>
      </c>
      <c r="F30" s="1199">
        <f>E30*F7</f>
        <v>114682.43790000002</v>
      </c>
    </row>
    <row r="31" spans="2:6" s="384" customFormat="1" x14ac:dyDescent="0.2">
      <c r="B31" s="724" t="str">
        <f>'[24]Youth&amp;YA Group Resid CCYY'!B31</f>
        <v>Programmatic expenses</v>
      </c>
      <c r="C31" s="383"/>
      <c r="D31" s="383"/>
      <c r="E31" s="1200">
        <f>'[24]Master Data'!E49</f>
        <v>25.695</v>
      </c>
      <c r="F31" s="1199">
        <f>E31*F7</f>
        <v>93786.75</v>
      </c>
    </row>
    <row r="32" spans="2:6" s="384" customFormat="1" x14ac:dyDescent="0.2">
      <c r="B32" s="724" t="s">
        <v>2475</v>
      </c>
      <c r="C32" s="383"/>
      <c r="D32" s="383"/>
      <c r="E32" s="1200">
        <f>'[24]Master Data'!E50</f>
        <v>1.2847500000000001</v>
      </c>
      <c r="F32" s="1199">
        <f>E32*F7</f>
        <v>4689.3375000000005</v>
      </c>
    </row>
    <row r="33" spans="2:7" x14ac:dyDescent="0.2">
      <c r="B33" s="1195" t="s">
        <v>29</v>
      </c>
      <c r="C33" s="1196"/>
      <c r="D33" s="1196"/>
      <c r="E33" s="1196"/>
      <c r="F33" s="1198">
        <f>SUM(F28:F32)</f>
        <v>1057854.6889545678</v>
      </c>
    </row>
    <row r="34" spans="2:7" x14ac:dyDescent="0.2">
      <c r="B34" s="724" t="s">
        <v>30</v>
      </c>
      <c r="D34" s="726">
        <f>'[24]Master Data'!E53</f>
        <v>0.12</v>
      </c>
      <c r="F34" s="1191">
        <f>D34*F33</f>
        <v>126942.56267454813</v>
      </c>
    </row>
    <row r="35" spans="2:7" ht="13.5" thickBot="1" x14ac:dyDescent="0.25">
      <c r="B35" s="1203" t="s">
        <v>31</v>
      </c>
      <c r="C35" s="1204"/>
      <c r="D35" s="1204"/>
      <c r="E35" s="1204"/>
      <c r="F35" s="1205">
        <f>SUM(F33:F34)</f>
        <v>1184797.251629116</v>
      </c>
    </row>
    <row r="36" spans="2:7" ht="13.5" thickTop="1" x14ac:dyDescent="0.2">
      <c r="B36" s="724" t="str">
        <f>'[24]Youth&amp;YA Group Resid CCYY'!B36</f>
        <v>CAF - BASELINE</v>
      </c>
      <c r="D36" s="726">
        <f>'[24]Master Data'!E55</f>
        <v>3.2549514448865162E-2</v>
      </c>
      <c r="F36" s="1693">
        <f>F33*(D36+1)+F34</f>
        <v>1219229.9081120426</v>
      </c>
    </row>
    <row r="37" spans="2:7" x14ac:dyDescent="0.2">
      <c r="B37" s="724"/>
      <c r="F37" s="1694" t="s">
        <v>32</v>
      </c>
    </row>
    <row r="38" spans="2:7" ht="13.5" thickBot="1" x14ac:dyDescent="0.25">
      <c r="B38" s="1805"/>
      <c r="D38" s="726"/>
      <c r="E38" s="1451"/>
      <c r="F38" s="1695">
        <f>F36/F7</f>
        <v>334.03559126357334</v>
      </c>
    </row>
    <row r="39" spans="2:7" ht="13.5" thickBot="1" x14ac:dyDescent="0.25">
      <c r="B39" s="1712" t="s">
        <v>2432</v>
      </c>
      <c r="C39" s="1817">
        <v>0.8</v>
      </c>
      <c r="D39" s="1818"/>
      <c r="E39" s="1819"/>
      <c r="F39" s="1699">
        <f>F38/C39</f>
        <v>417.54448907946664</v>
      </c>
    </row>
    <row r="40" spans="2:7" ht="13.5" thickBot="1" x14ac:dyDescent="0.25">
      <c r="B40" s="1713" t="s">
        <v>2429</v>
      </c>
      <c r="C40" s="1743">
        <v>0.9</v>
      </c>
      <c r="D40" s="1208"/>
      <c r="E40" s="1704"/>
      <c r="F40" s="1742">
        <f>F38/C40</f>
        <v>371.15065695952592</v>
      </c>
    </row>
    <row r="41" spans="2:7" x14ac:dyDescent="0.2">
      <c r="C41" s="1709"/>
      <c r="E41" s="1459"/>
      <c r="F41" s="1717">
        <f>'[24]7.23Youth&amp;YA Supp.Living Commun'!F35</f>
        <v>378.49016750345504</v>
      </c>
      <c r="G41" s="1477">
        <f>(F39-F41)/F41</f>
        <v>0.10318450762833911</v>
      </c>
    </row>
    <row r="44" spans="2:7" x14ac:dyDescent="0.2">
      <c r="G44" s="1476"/>
    </row>
    <row r="46" spans="2:7" ht="13.35" customHeight="1" x14ac:dyDescent="0.2"/>
    <row r="47" spans="2:7" x14ac:dyDescent="0.2">
      <c r="B47" s="1722"/>
    </row>
    <row r="48" spans="2:7" x14ac:dyDescent="0.2">
      <c r="B48" s="1722"/>
    </row>
    <row r="49" spans="1:2" x14ac:dyDescent="0.2">
      <c r="B49" s="1722"/>
    </row>
    <row r="50" spans="1:2" x14ac:dyDescent="0.2">
      <c r="B50" s="1722"/>
    </row>
    <row r="57" spans="1:2" x14ac:dyDescent="0.2">
      <c r="A57" s="1451"/>
    </row>
    <row r="58" spans="1:2" x14ac:dyDescent="0.2">
      <c r="A58" s="1200"/>
    </row>
    <row r="59" spans="1:2" x14ac:dyDescent="0.2">
      <c r="A59" s="1200"/>
    </row>
    <row r="60" spans="1:2" x14ac:dyDescent="0.2">
      <c r="A60" s="1200"/>
    </row>
  </sheetData>
  <mergeCells count="2">
    <mergeCell ref="B1:E1"/>
    <mergeCell ref="B5:F6"/>
  </mergeCells>
  <pageMargins left="0.7" right="0.7" top="0.75" bottom="0.75" header="0.3" footer="0.3"/>
  <pageSetup scale="94" fitToHeight="0" orientation="landscape" r:id="rId1"/>
  <headerFooter>
    <oddFooter>&amp;R&amp;A
&amp;F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6568B-7F80-4612-B476-6A4016919FDF}">
  <sheetPr>
    <pageSetUpPr fitToPage="1"/>
  </sheetPr>
  <dimension ref="A1:G50"/>
  <sheetViews>
    <sheetView zoomScaleNormal="100" zoomScaleSheetLayoutView="90" workbookViewId="0">
      <selection activeCell="H36" sqref="H36"/>
    </sheetView>
  </sheetViews>
  <sheetFormatPr defaultColWidth="9.140625" defaultRowHeight="12.75" x14ac:dyDescent="0.2"/>
  <cols>
    <col min="1" max="1" width="2.28515625" style="383" customWidth="1"/>
    <col min="2" max="2" width="31.85546875" style="383" customWidth="1"/>
    <col min="3" max="3" width="8.85546875" style="383" customWidth="1"/>
    <col min="4" max="4" width="12.85546875" style="383" customWidth="1"/>
    <col min="5" max="5" width="15.42578125" style="383" customWidth="1"/>
    <col min="6" max="6" width="18.85546875" style="383" customWidth="1"/>
    <col min="7" max="7" width="33" style="384" customWidth="1"/>
    <col min="8" max="8" width="36.85546875" style="383" bestFit="1" customWidth="1"/>
    <col min="9" max="9" width="25.85546875" style="383" customWidth="1"/>
    <col min="10" max="16384" width="9.140625" style="383"/>
  </cols>
  <sheetData>
    <row r="1" spans="1:7" x14ac:dyDescent="0.2">
      <c r="B1" s="1896" t="s">
        <v>2297</v>
      </c>
      <c r="C1" s="1896"/>
      <c r="D1" s="1896"/>
      <c r="E1" s="1896"/>
      <c r="F1" s="1674">
        <f ca="1">TODAY()</f>
        <v>45805</v>
      </c>
    </row>
    <row r="3" spans="1:7" ht="13.5" thickBot="1" x14ac:dyDescent="0.25"/>
    <row r="4" spans="1:7" ht="13.5" customHeight="1" x14ac:dyDescent="0.2">
      <c r="B4" s="1897" t="s">
        <v>2523</v>
      </c>
      <c r="C4" s="1898"/>
      <c r="D4" s="1898"/>
      <c r="E4" s="1898"/>
      <c r="F4" s="1899"/>
    </row>
    <row r="5" spans="1:7" ht="13.5" thickBot="1" x14ac:dyDescent="0.25">
      <c r="B5" s="1900"/>
      <c r="C5" s="1901"/>
      <c r="D5" s="1901"/>
      <c r="E5" s="1901"/>
      <c r="F5" s="1902"/>
    </row>
    <row r="6" spans="1:7" x14ac:dyDescent="0.2">
      <c r="B6" s="731" t="s">
        <v>0</v>
      </c>
      <c r="C6" s="1182">
        <v>12</v>
      </c>
      <c r="D6" s="1183"/>
      <c r="E6" s="1183" t="s">
        <v>1</v>
      </c>
      <c r="F6" s="1181">
        <f>C6*365</f>
        <v>4380</v>
      </c>
      <c r="G6" s="1727"/>
    </row>
    <row r="7" spans="1:7" x14ac:dyDescent="0.2">
      <c r="B7" s="724"/>
      <c r="F7" s="736"/>
      <c r="G7" s="1727"/>
    </row>
    <row r="8" spans="1:7" ht="15" customHeight="1" x14ac:dyDescent="0.2">
      <c r="B8" s="1432"/>
      <c r="C8" s="1675"/>
      <c r="D8" s="1433" t="s">
        <v>5</v>
      </c>
      <c r="E8" s="1433" t="s">
        <v>6</v>
      </c>
      <c r="F8" s="1676" t="s">
        <v>7</v>
      </c>
    </row>
    <row r="9" spans="1:7" ht="13.35" customHeight="1" x14ac:dyDescent="0.2">
      <c r="A9" s="1179"/>
      <c r="B9" s="1728" t="s">
        <v>9</v>
      </c>
      <c r="F9" s="1191"/>
    </row>
    <row r="10" spans="1:7" ht="17.45" customHeight="1" x14ac:dyDescent="0.2">
      <c r="A10" s="1179"/>
      <c r="B10" s="724" t="s">
        <v>2436</v>
      </c>
      <c r="D10" s="1184">
        <f>'[24]Master Data'!E17</f>
        <v>83639.712</v>
      </c>
      <c r="E10" s="1190">
        <v>1</v>
      </c>
      <c r="F10" s="1191">
        <f>D10*E10</f>
        <v>83639.712</v>
      </c>
    </row>
    <row r="11" spans="1:7" x14ac:dyDescent="0.2">
      <c r="A11" s="1179"/>
      <c r="B11" s="731" t="s">
        <v>13</v>
      </c>
      <c r="D11" s="1184"/>
      <c r="E11" s="1190"/>
      <c r="F11" s="1191"/>
    </row>
    <row r="12" spans="1:7" x14ac:dyDescent="0.2">
      <c r="A12" s="1179"/>
      <c r="B12" s="724" t="s">
        <v>2441</v>
      </c>
      <c r="D12" s="1184">
        <f>'[24]Master Data'!E37</f>
        <v>64438.399999999994</v>
      </c>
      <c r="E12" s="1190">
        <v>2</v>
      </c>
      <c r="F12" s="1191">
        <f>D12*E12</f>
        <v>128876.79999999999</v>
      </c>
    </row>
    <row r="13" spans="1:7" x14ac:dyDescent="0.2">
      <c r="A13" s="1180"/>
      <c r="B13" s="731" t="s">
        <v>18</v>
      </c>
      <c r="D13" s="1184"/>
      <c r="E13" s="1190"/>
      <c r="F13" s="1191"/>
    </row>
    <row r="14" spans="1:7" x14ac:dyDescent="0.2">
      <c r="B14" s="724" t="s">
        <v>2522</v>
      </c>
      <c r="D14" s="1184">
        <f>'[24]Master Data'!E33</f>
        <v>56217.241600000001</v>
      </c>
      <c r="E14" s="1190">
        <v>1</v>
      </c>
      <c r="F14" s="1191">
        <f>D14*E14</f>
        <v>56217.241600000001</v>
      </c>
    </row>
    <row r="15" spans="1:7" x14ac:dyDescent="0.2">
      <c r="B15" s="724" t="s">
        <v>2469</v>
      </c>
      <c r="D15" s="1184">
        <f>'[24]Master Data'!E41</f>
        <v>43247.567999999999</v>
      </c>
      <c r="E15" s="1190">
        <v>0.75</v>
      </c>
      <c r="F15" s="1191">
        <f>D15*E15</f>
        <v>32435.675999999999</v>
      </c>
    </row>
    <row r="16" spans="1:7" x14ac:dyDescent="0.2">
      <c r="B16" s="724" t="s">
        <v>2470</v>
      </c>
      <c r="D16" s="1184">
        <f>'[24]Master Data'!E42</f>
        <v>43247.567999999999</v>
      </c>
      <c r="E16" s="1190">
        <v>7.4999999999999997E-2</v>
      </c>
      <c r="F16" s="1191">
        <f>D16*E16</f>
        <v>3243.5675999999999</v>
      </c>
    </row>
    <row r="17" spans="2:6" s="384" customFormat="1" ht="20.25" customHeight="1" x14ac:dyDescent="0.2">
      <c r="B17" s="724" t="s">
        <v>2446</v>
      </c>
      <c r="C17" s="383"/>
      <c r="D17" s="1184">
        <f>'[24]Master Data'!E40</f>
        <v>43247.567999999999</v>
      </c>
      <c r="E17" s="1190">
        <v>0.5</v>
      </c>
      <c r="F17" s="1688">
        <f>E17*D17</f>
        <v>21623.784</v>
      </c>
    </row>
    <row r="18" spans="2:6" s="384" customFormat="1" x14ac:dyDescent="0.2">
      <c r="B18" s="1195" t="s">
        <v>20</v>
      </c>
      <c r="C18" s="1196"/>
      <c r="D18" s="1196"/>
      <c r="E18" s="1689">
        <f>SUM(E9:E17)</f>
        <v>5.3250000000000002</v>
      </c>
      <c r="F18" s="1198">
        <f>SUM(F10:F17)</f>
        <v>326036.78119999997</v>
      </c>
    </row>
    <row r="19" spans="2:6" s="384" customFormat="1" x14ac:dyDescent="0.2">
      <c r="B19" s="731" t="s">
        <v>21</v>
      </c>
      <c r="C19" s="383"/>
      <c r="D19" s="383"/>
      <c r="E19" s="1183"/>
      <c r="F19" s="736"/>
    </row>
    <row r="20" spans="2:6" s="384" customFormat="1" x14ac:dyDescent="0.2">
      <c r="B20" s="724" t="s">
        <v>23</v>
      </c>
      <c r="C20" s="383"/>
      <c r="D20" s="726">
        <f>'[24]Master Data'!E46</f>
        <v>0.24970000000000001</v>
      </c>
      <c r="E20" s="383"/>
      <c r="F20" s="1191">
        <f>D20*F18</f>
        <v>81411.384265639994</v>
      </c>
    </row>
    <row r="21" spans="2:6" s="384" customFormat="1" x14ac:dyDescent="0.2">
      <c r="B21" s="1195" t="s">
        <v>24</v>
      </c>
      <c r="C21" s="1196"/>
      <c r="D21" s="1196"/>
      <c r="E21" s="1197"/>
      <c r="F21" s="1198">
        <f>F20+F18</f>
        <v>407448.16546563996</v>
      </c>
    </row>
    <row r="22" spans="2:6" s="384" customFormat="1" x14ac:dyDescent="0.2">
      <c r="B22" s="724"/>
      <c r="C22" s="1763"/>
      <c r="D22" s="383"/>
      <c r="E22" s="383"/>
      <c r="F22" s="1691"/>
    </row>
    <row r="23" spans="2:6" s="384" customFormat="1" x14ac:dyDescent="0.2">
      <c r="B23" s="724" t="s">
        <v>26</v>
      </c>
      <c r="C23" s="383"/>
      <c r="D23" s="383"/>
      <c r="E23" s="1200">
        <f>'[24]Master Data'!E48</f>
        <v>31.419846000000003</v>
      </c>
      <c r="F23" s="1199">
        <f>E23*F6</f>
        <v>137618.92548000001</v>
      </c>
    </row>
    <row r="24" spans="2:6" s="384" customFormat="1" x14ac:dyDescent="0.2">
      <c r="B24" s="724" t="str">
        <f>'[24]Youth&amp;YA Group Resid CCYY'!B31</f>
        <v>Programmatic expenses</v>
      </c>
      <c r="C24" s="383"/>
      <c r="D24" s="383"/>
      <c r="E24" s="1200">
        <f>'[24]Master Data'!E49</f>
        <v>25.695</v>
      </c>
      <c r="F24" s="1199">
        <f>E24*F6</f>
        <v>112544.1</v>
      </c>
    </row>
    <row r="25" spans="2:6" s="384" customFormat="1" x14ac:dyDescent="0.2">
      <c r="B25" s="724" t="s">
        <v>2475</v>
      </c>
      <c r="C25" s="383"/>
      <c r="D25" s="383"/>
      <c r="E25" s="1200">
        <f>'[24]Master Data'!E50</f>
        <v>1.2847500000000001</v>
      </c>
      <c r="F25" s="1199">
        <f>E25*F6</f>
        <v>5627.2049999999999</v>
      </c>
    </row>
    <row r="26" spans="2:6" s="384" customFormat="1" x14ac:dyDescent="0.2">
      <c r="B26" s="1195" t="s">
        <v>29</v>
      </c>
      <c r="C26" s="1196"/>
      <c r="D26" s="1196"/>
      <c r="E26" s="1196"/>
      <c r="F26" s="1198">
        <f>SUM(F21:F25)</f>
        <v>663238.39594563993</v>
      </c>
    </row>
    <row r="27" spans="2:6" s="384" customFormat="1" x14ac:dyDescent="0.2">
      <c r="B27" s="724" t="s">
        <v>30</v>
      </c>
      <c r="C27" s="383"/>
      <c r="D27" s="726">
        <f>'[24]Master Data'!E53</f>
        <v>0.12</v>
      </c>
      <c r="E27" s="383"/>
      <c r="F27" s="1191">
        <f>D27*F26</f>
        <v>79588.607513476789</v>
      </c>
    </row>
    <row r="28" spans="2:6" s="384" customFormat="1" ht="13.5" thickBot="1" x14ac:dyDescent="0.25">
      <c r="B28" s="1203" t="s">
        <v>31</v>
      </c>
      <c r="C28" s="1204"/>
      <c r="D28" s="1204"/>
      <c r="E28" s="1204"/>
      <c r="F28" s="1205">
        <f>SUM(F26:F27)</f>
        <v>742827.00345911668</v>
      </c>
    </row>
    <row r="29" spans="2:6" s="384" customFormat="1" ht="13.5" thickTop="1" x14ac:dyDescent="0.2">
      <c r="B29" s="724" t="str">
        <f>'[24]Master Data'!C55</f>
        <v>CAF - BASELINE</v>
      </c>
      <c r="C29" s="383"/>
      <c r="D29" s="726">
        <f>'[24]Master Data'!E55</f>
        <v>3.2549514448865162E-2</v>
      </c>
      <c r="E29" s="383"/>
      <c r="F29" s="1693">
        <f>F26*(D29+1)+F27</f>
        <v>764415.09121099149</v>
      </c>
    </row>
    <row r="30" spans="2:6" s="384" customFormat="1" x14ac:dyDescent="0.2">
      <c r="B30" s="724"/>
      <c r="C30" s="383"/>
      <c r="D30" s="383"/>
      <c r="E30" s="383"/>
      <c r="F30" s="1694" t="s">
        <v>32</v>
      </c>
    </row>
    <row r="31" spans="2:6" s="384" customFormat="1" ht="13.5" thickBot="1" x14ac:dyDescent="0.25">
      <c r="B31" s="724"/>
      <c r="C31" s="1192"/>
      <c r="D31" s="734"/>
      <c r="E31" s="1453"/>
      <c r="F31" s="1837">
        <f>F29/F6</f>
        <v>174.523993427167</v>
      </c>
    </row>
    <row r="32" spans="2:6" s="384" customFormat="1" ht="13.5" thickBot="1" x14ac:dyDescent="0.25">
      <c r="B32" s="1712" t="s">
        <v>2432</v>
      </c>
      <c r="C32" s="1765">
        <v>0.8</v>
      </c>
      <c r="D32" s="1697"/>
      <c r="E32" s="1698"/>
      <c r="F32" s="1838">
        <f>F31/C32</f>
        <v>218.15499178395874</v>
      </c>
    </row>
    <row r="33" spans="1:7" ht="13.5" thickBot="1" x14ac:dyDescent="0.25">
      <c r="B33" s="1713" t="s">
        <v>2429</v>
      </c>
      <c r="C33" s="1743">
        <v>0.9</v>
      </c>
      <c r="D33" s="1208"/>
      <c r="E33" s="1704"/>
      <c r="F33" s="1742">
        <f>F31/C33</f>
        <v>193.91554825240777</v>
      </c>
    </row>
    <row r="34" spans="1:7" x14ac:dyDescent="0.2">
      <c r="B34" s="1798"/>
      <c r="C34" s="1799"/>
      <c r="D34" s="1733"/>
      <c r="E34" s="1800"/>
      <c r="F34" s="1801"/>
    </row>
    <row r="35" spans="1:7" x14ac:dyDescent="0.2">
      <c r="F35" s="1716">
        <f>'[24]7.23Young Adult Supported Livin'!F29</f>
        <v>195.38923270645029</v>
      </c>
      <c r="G35" s="1721">
        <f>(F32-F35)/F35</f>
        <v>0.11651491109395658</v>
      </c>
    </row>
    <row r="37" spans="1:7" x14ac:dyDescent="0.2">
      <c r="F37" s="1464"/>
      <c r="G37" s="1736"/>
    </row>
    <row r="41" spans="1:7" x14ac:dyDescent="0.2">
      <c r="B41" s="1722"/>
    </row>
    <row r="42" spans="1:7" x14ac:dyDescent="0.2">
      <c r="B42" s="1722"/>
    </row>
    <row r="43" spans="1:7" x14ac:dyDescent="0.2">
      <c r="B43" s="1722"/>
    </row>
    <row r="44" spans="1:7" x14ac:dyDescent="0.2">
      <c r="B44" s="1722"/>
    </row>
    <row r="45" spans="1:7" ht="13.35" customHeight="1" x14ac:dyDescent="0.2"/>
    <row r="47" spans="1:7" x14ac:dyDescent="0.2">
      <c r="A47" s="1451"/>
    </row>
    <row r="48" spans="1:7" x14ac:dyDescent="0.2">
      <c r="A48" s="1200"/>
    </row>
    <row r="49" spans="1:1" x14ac:dyDescent="0.2">
      <c r="A49" s="1200"/>
    </row>
    <row r="50" spans="1:1" x14ac:dyDescent="0.2">
      <c r="A50" s="1200"/>
    </row>
  </sheetData>
  <mergeCells count="2">
    <mergeCell ref="B1:E1"/>
    <mergeCell ref="B4:F5"/>
  </mergeCells>
  <pageMargins left="0.7" right="0.7" top="0.75" bottom="0.75" header="0.3" footer="0.3"/>
  <pageSetup scale="99" fitToHeight="0" orientation="landscape" r:id="rId1"/>
  <headerFooter>
    <oddFooter>&amp;R&amp;A
&amp;F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AB8F6-DD6D-478D-9AC7-D23397462AAF}">
  <sheetPr>
    <pageSetUpPr fitToPage="1"/>
  </sheetPr>
  <dimension ref="B1:P146"/>
  <sheetViews>
    <sheetView zoomScaleNormal="100" zoomScaleSheetLayoutView="90" workbookViewId="0">
      <selection activeCell="E41" sqref="E41"/>
    </sheetView>
  </sheetViews>
  <sheetFormatPr defaultColWidth="9.140625" defaultRowHeight="12.75" x14ac:dyDescent="0.2"/>
  <cols>
    <col min="1" max="1" width="5" style="383" customWidth="1"/>
    <col min="2" max="2" width="40.85546875" style="383" customWidth="1"/>
    <col min="3" max="3" width="6.5703125" style="383" customWidth="1"/>
    <col min="4" max="4" width="9.5703125" style="383" bestFit="1" customWidth="1"/>
    <col min="5" max="5" width="8.5703125" style="383" bestFit="1" customWidth="1"/>
    <col min="6" max="6" width="18" style="383" bestFit="1" customWidth="1"/>
    <col min="7" max="7" width="18" style="383" customWidth="1"/>
    <col min="8" max="8" width="13.140625" style="383" customWidth="1"/>
    <col min="9" max="9" width="41.140625" style="383" bestFit="1" customWidth="1"/>
    <col min="10" max="10" width="9.7109375" style="383" customWidth="1"/>
    <col min="11" max="11" width="8.5703125" style="383" bestFit="1" customWidth="1"/>
    <col min="12" max="12" width="8.140625" style="383" bestFit="1" customWidth="1"/>
    <col min="13" max="13" width="9.5703125" style="383" bestFit="1" customWidth="1"/>
    <col min="14" max="14" width="9.140625" style="383"/>
    <col min="15" max="15" width="11.85546875" style="383" customWidth="1"/>
    <col min="16" max="16" width="10.5703125" style="383" bestFit="1" customWidth="1"/>
    <col min="17" max="16384" width="9.140625" style="383"/>
  </cols>
  <sheetData>
    <row r="1" spans="2:16" x14ac:dyDescent="0.2">
      <c r="B1" s="1896" t="s">
        <v>2297</v>
      </c>
      <c r="C1" s="1896"/>
      <c r="D1" s="1896"/>
      <c r="E1" s="1896"/>
      <c r="F1" s="1674">
        <f ca="1">TODAY()</f>
        <v>45805</v>
      </c>
      <c r="G1" s="1674"/>
    </row>
    <row r="3" spans="2:16" ht="13.5" thickBot="1" x14ac:dyDescent="0.25"/>
    <row r="4" spans="2:16" ht="13.5" customHeight="1" x14ac:dyDescent="0.2">
      <c r="B4" s="1897" t="s">
        <v>2524</v>
      </c>
      <c r="C4" s="1898"/>
      <c r="D4" s="1898"/>
      <c r="E4" s="1898"/>
      <c r="F4" s="1899"/>
      <c r="G4" s="1180"/>
      <c r="H4" s="384"/>
      <c r="I4" s="1897" t="s">
        <v>2525</v>
      </c>
      <c r="J4" s="1903"/>
      <c r="K4" s="1903"/>
      <c r="L4" s="1903"/>
      <c r="M4" s="1904"/>
      <c r="N4" s="1179"/>
    </row>
    <row r="5" spans="2:16" ht="13.5" customHeight="1" thickBot="1" x14ac:dyDescent="0.25">
      <c r="B5" s="1900"/>
      <c r="C5" s="1901"/>
      <c r="D5" s="1901"/>
      <c r="E5" s="1901"/>
      <c r="F5" s="1902"/>
      <c r="G5" s="1180"/>
      <c r="H5" s="384"/>
      <c r="I5" s="1905"/>
      <c r="J5" s="1906"/>
      <c r="K5" s="1906"/>
      <c r="L5" s="1906"/>
      <c r="M5" s="1907"/>
      <c r="N5" s="1180"/>
    </row>
    <row r="6" spans="2:16" x14ac:dyDescent="0.2">
      <c r="B6" s="731" t="s">
        <v>0</v>
      </c>
      <c r="C6" s="1182">
        <v>10</v>
      </c>
      <c r="D6" s="1183"/>
      <c r="E6" s="1183" t="s">
        <v>1</v>
      </c>
      <c r="F6" s="1181">
        <f>C6*365</f>
        <v>3650</v>
      </c>
      <c r="G6" s="1429"/>
      <c r="H6" s="1727"/>
      <c r="I6" s="731" t="s">
        <v>2526</v>
      </c>
      <c r="J6" s="1182">
        <v>250</v>
      </c>
      <c r="K6" s="1908" t="s">
        <v>2527</v>
      </c>
      <c r="L6" s="1908"/>
      <c r="M6" s="1181">
        <v>1000</v>
      </c>
    </row>
    <row r="7" spans="2:16" x14ac:dyDescent="0.2">
      <c r="B7" s="724"/>
      <c r="F7" s="736"/>
      <c r="H7" s="1727"/>
      <c r="I7" s="724" t="s">
        <v>2528</v>
      </c>
      <c r="J7" s="1182">
        <v>4</v>
      </c>
      <c r="M7" s="736"/>
    </row>
    <row r="8" spans="2:16" ht="15" customHeight="1" x14ac:dyDescent="0.2">
      <c r="B8" s="1432"/>
      <c r="C8" s="1675"/>
      <c r="D8" s="1433" t="s">
        <v>5</v>
      </c>
      <c r="E8" s="1433" t="s">
        <v>6</v>
      </c>
      <c r="F8" s="1676" t="s">
        <v>7</v>
      </c>
      <c r="G8" s="1180"/>
      <c r="H8" s="384"/>
      <c r="I8" s="1432"/>
      <c r="J8" s="1675"/>
      <c r="K8" s="1433" t="s">
        <v>5</v>
      </c>
      <c r="L8" s="1433" t="s">
        <v>6</v>
      </c>
      <c r="M8" s="1676" t="s">
        <v>7</v>
      </c>
    </row>
    <row r="9" spans="2:16" ht="13.35" customHeight="1" x14ac:dyDescent="0.2">
      <c r="B9" s="1728" t="s">
        <v>9</v>
      </c>
      <c r="F9" s="1191"/>
      <c r="G9" s="1184"/>
      <c r="H9" s="384"/>
      <c r="I9" s="1728" t="s">
        <v>9</v>
      </c>
      <c r="J9" s="1183"/>
      <c r="K9" s="1180"/>
      <c r="L9" s="1180"/>
      <c r="M9" s="1186"/>
    </row>
    <row r="10" spans="2:16" ht="17.45" customHeight="1" x14ac:dyDescent="0.2">
      <c r="B10" s="724" t="s">
        <v>2529</v>
      </c>
      <c r="D10" s="1184">
        <f>'[24]Master Data'!E17</f>
        <v>83639.712</v>
      </c>
      <c r="E10" s="1190">
        <v>1</v>
      </c>
      <c r="F10" s="1191">
        <f>D10*E10</f>
        <v>83639.712</v>
      </c>
      <c r="G10" s="1184"/>
      <c r="H10" s="384"/>
      <c r="I10" s="724" t="s">
        <v>2530</v>
      </c>
      <c r="J10" s="1183"/>
      <c r="K10" s="1731">
        <f>'[24]Master Data'!E19</f>
        <v>80829.631999999998</v>
      </c>
      <c r="L10" s="1839">
        <v>1.2500000000000001E-2</v>
      </c>
      <c r="M10" s="1840">
        <f>K10*L10</f>
        <v>1010.3704</v>
      </c>
      <c r="O10" s="1841"/>
      <c r="P10" s="1464"/>
    </row>
    <row r="11" spans="2:16" x14ac:dyDescent="0.2">
      <c r="B11" s="731" t="s">
        <v>13</v>
      </c>
      <c r="D11" s="1184"/>
      <c r="E11" s="1190"/>
      <c r="F11" s="1191"/>
      <c r="G11" s="1184"/>
      <c r="H11" s="384"/>
      <c r="I11" s="731" t="s">
        <v>13</v>
      </c>
      <c r="J11" s="1183"/>
      <c r="K11" s="1731"/>
      <c r="L11" s="1839"/>
      <c r="M11" s="1840"/>
      <c r="O11" s="1841"/>
      <c r="P11" s="1464"/>
    </row>
    <row r="12" spans="2:16" x14ac:dyDescent="0.2">
      <c r="B12" s="724" t="s">
        <v>2439</v>
      </c>
      <c r="D12" s="1184">
        <f>'[24]Master Data'!E28</f>
        <v>70211.44</v>
      </c>
      <c r="E12" s="1190">
        <v>0.25</v>
      </c>
      <c r="F12" s="1191">
        <f>D12*E12</f>
        <v>17552.86</v>
      </c>
      <c r="G12" s="1184"/>
      <c r="H12" s="384"/>
      <c r="I12" s="724" t="s">
        <v>2439</v>
      </c>
      <c r="K12" s="1184">
        <f>'[24]Master Data'!E28</f>
        <v>70211.44</v>
      </c>
      <c r="L12" s="1190">
        <v>0.2</v>
      </c>
      <c r="M12" s="1840">
        <f>K12*L12</f>
        <v>14042.288</v>
      </c>
      <c r="O12" s="1842"/>
      <c r="P12" s="1464"/>
    </row>
    <row r="13" spans="2:16" x14ac:dyDescent="0.2">
      <c r="B13" s="724" t="s">
        <v>2441</v>
      </c>
      <c r="D13" s="1184">
        <f>'[24]Master Data'!E37</f>
        <v>64438.399999999994</v>
      </c>
      <c r="E13" s="1190">
        <v>1</v>
      </c>
      <c r="F13" s="1191">
        <f>D13*E13</f>
        <v>64438.399999999994</v>
      </c>
      <c r="G13" s="1184"/>
      <c r="H13" s="384"/>
      <c r="I13" s="731" t="s">
        <v>18</v>
      </c>
      <c r="K13" s="1184"/>
      <c r="L13" s="1190"/>
      <c r="M13" s="1840"/>
      <c r="O13" s="1841"/>
      <c r="P13" s="1464"/>
    </row>
    <row r="14" spans="2:16" x14ac:dyDescent="0.2">
      <c r="B14" s="724" t="s">
        <v>2531</v>
      </c>
      <c r="D14" s="1184">
        <f>'[24]Master Data'!E22</f>
        <v>247470</v>
      </c>
      <c r="E14" s="1190">
        <v>0.2</v>
      </c>
      <c r="F14" s="1191">
        <f>D14*E14</f>
        <v>49494</v>
      </c>
      <c r="G14" s="1184"/>
      <c r="H14" s="384"/>
      <c r="I14" s="724" t="s">
        <v>2441</v>
      </c>
      <c r="K14" s="1184">
        <f>'[24]Master Data'!E37</f>
        <v>64438.399999999994</v>
      </c>
      <c r="L14" s="1190">
        <v>0.75</v>
      </c>
      <c r="M14" s="1840">
        <f>K14*L14</f>
        <v>48328.799999999996</v>
      </c>
      <c r="N14" s="1200"/>
      <c r="O14" s="1841"/>
      <c r="P14" s="1464"/>
    </row>
    <row r="15" spans="2:16" x14ac:dyDescent="0.2">
      <c r="B15" s="731" t="s">
        <v>18</v>
      </c>
      <c r="D15" s="1184"/>
      <c r="E15" s="1190"/>
      <c r="F15" s="1191"/>
      <c r="G15" s="1184"/>
      <c r="H15" s="384"/>
      <c r="I15" s="724" t="s">
        <v>2392</v>
      </c>
      <c r="K15" s="1184">
        <f>'[24]Master Data'!E40</f>
        <v>43247.567999999999</v>
      </c>
      <c r="L15" s="1190">
        <v>0.05</v>
      </c>
      <c r="M15" s="1840">
        <f>K15*L15</f>
        <v>2162.3784000000001</v>
      </c>
      <c r="O15" s="1841"/>
      <c r="P15" s="1464"/>
    </row>
    <row r="16" spans="2:16" x14ac:dyDescent="0.2">
      <c r="B16" s="724" t="s">
        <v>2445</v>
      </c>
      <c r="D16" s="1184">
        <f>'[24]Master Data'!E39</f>
        <v>43247.567999999999</v>
      </c>
      <c r="E16" s="1190">
        <v>8</v>
      </c>
      <c r="F16" s="1191">
        <f>D16*E16</f>
        <v>345980.54399999999</v>
      </c>
      <c r="G16" s="1184"/>
      <c r="H16" s="384"/>
      <c r="I16" s="724"/>
      <c r="K16" s="1184"/>
      <c r="L16" s="1190"/>
      <c r="M16" s="1840"/>
      <c r="O16" s="1841"/>
      <c r="P16" s="1464"/>
    </row>
    <row r="17" spans="2:16" ht="16.5" customHeight="1" x14ac:dyDescent="0.2">
      <c r="B17" s="724" t="s">
        <v>2447</v>
      </c>
      <c r="D17" s="1184">
        <f>'[24]Master Data'!E41</f>
        <v>43247.567999999999</v>
      </c>
      <c r="E17" s="1190">
        <v>0.75</v>
      </c>
      <c r="F17" s="1191">
        <f>D17*E17</f>
        <v>32435.675999999999</v>
      </c>
      <c r="G17" s="1184"/>
      <c r="H17" s="384"/>
      <c r="I17" s="724"/>
      <c r="K17" s="1184"/>
      <c r="L17" s="1190"/>
      <c r="M17" s="1840"/>
      <c r="O17" s="1841"/>
      <c r="P17" s="1464"/>
    </row>
    <row r="18" spans="2:16" x14ac:dyDescent="0.2">
      <c r="B18" s="724" t="s">
        <v>2532</v>
      </c>
      <c r="D18" s="1184">
        <f>'[24]Master Data'!E42</f>
        <v>43247.567999999999</v>
      </c>
      <c r="E18" s="1190">
        <v>0.08</v>
      </c>
      <c r="F18" s="1191">
        <f>D18*E18</f>
        <v>3459.8054400000001</v>
      </c>
      <c r="G18" s="1184"/>
      <c r="H18" s="384"/>
      <c r="I18" s="724"/>
      <c r="K18" s="1184"/>
      <c r="L18" s="1190"/>
      <c r="M18" s="1840"/>
      <c r="O18" s="1841"/>
      <c r="P18" s="1464"/>
    </row>
    <row r="19" spans="2:16" x14ac:dyDescent="0.2">
      <c r="B19" s="724" t="s">
        <v>2446</v>
      </c>
      <c r="C19" s="1686"/>
      <c r="D19" s="1775">
        <f>'[24]Master Data'!E40</f>
        <v>43247.567999999999</v>
      </c>
      <c r="E19" s="1687">
        <v>1</v>
      </c>
      <c r="F19" s="1688">
        <f>D19*E19</f>
        <v>43247.567999999999</v>
      </c>
      <c r="G19" s="1775"/>
      <c r="H19" s="384"/>
      <c r="I19" s="724"/>
      <c r="K19" s="1184"/>
      <c r="L19" s="1190"/>
      <c r="M19" s="1840"/>
      <c r="O19" s="1841"/>
      <c r="P19" s="1464"/>
    </row>
    <row r="20" spans="2:16" x14ac:dyDescent="0.2">
      <c r="B20" s="724" t="s">
        <v>2449</v>
      </c>
      <c r="D20" s="1184">
        <f>D19</f>
        <v>43247.567999999999</v>
      </c>
      <c r="E20" s="1190">
        <v>1.2</v>
      </c>
      <c r="F20" s="1191">
        <f>D20*E20</f>
        <v>51897.081599999998</v>
      </c>
      <c r="G20" s="1184"/>
      <c r="H20" s="384"/>
      <c r="I20" s="724"/>
      <c r="K20" s="1184"/>
      <c r="L20" s="1190"/>
      <c r="M20" s="1840"/>
      <c r="O20" s="1841"/>
      <c r="P20" s="1464"/>
    </row>
    <row r="21" spans="2:16" x14ac:dyDescent="0.2">
      <c r="B21" s="1195" t="s">
        <v>20</v>
      </c>
      <c r="C21" s="1196"/>
      <c r="D21" s="1196"/>
      <c r="E21" s="1689">
        <f>SUM(E9:E20)</f>
        <v>13.479999999999999</v>
      </c>
      <c r="F21" s="1198">
        <f>SUM(F10:F20)</f>
        <v>692145.64704000007</v>
      </c>
      <c r="G21" s="1718"/>
      <c r="H21" s="384"/>
      <c r="I21" s="1195" t="s">
        <v>20</v>
      </c>
      <c r="J21" s="1196"/>
      <c r="K21" s="1196"/>
      <c r="L21" s="1689">
        <f>SUM(L10:L20)</f>
        <v>1.0125</v>
      </c>
      <c r="M21" s="1198">
        <f>SUM(M10:M18)</f>
        <v>65543.83679999999</v>
      </c>
      <c r="N21" s="1464"/>
      <c r="O21" s="1718"/>
      <c r="P21" s="1464"/>
    </row>
    <row r="22" spans="2:16" x14ac:dyDescent="0.2">
      <c r="B22" s="731" t="s">
        <v>21</v>
      </c>
      <c r="E22" s="1183"/>
      <c r="F22" s="736"/>
      <c r="H22" s="384"/>
      <c r="I22" s="731" t="s">
        <v>21</v>
      </c>
      <c r="L22" s="1183" t="s">
        <v>22</v>
      </c>
      <c r="M22" s="736"/>
      <c r="P22" s="1464"/>
    </row>
    <row r="23" spans="2:16" x14ac:dyDescent="0.2">
      <c r="B23" s="724" t="s">
        <v>23</v>
      </c>
      <c r="D23" s="726">
        <f>'[24]Master Data'!E46</f>
        <v>0.24970000000000001</v>
      </c>
      <c r="F23" s="1191">
        <f>D23*F21</f>
        <v>172828.76806588803</v>
      </c>
      <c r="G23" s="1184"/>
      <c r="H23" s="384"/>
      <c r="I23" s="724" t="s">
        <v>23</v>
      </c>
      <c r="K23" s="726">
        <f>D23</f>
        <v>0.24970000000000001</v>
      </c>
      <c r="M23" s="1191">
        <f>M21*K23</f>
        <v>16366.296048959997</v>
      </c>
      <c r="O23" s="1184"/>
      <c r="P23" s="1464"/>
    </row>
    <row r="24" spans="2:16" x14ac:dyDescent="0.2">
      <c r="B24" s="1195" t="s">
        <v>24</v>
      </c>
      <c r="C24" s="1196"/>
      <c r="D24" s="1196"/>
      <c r="E24" s="1197"/>
      <c r="F24" s="1198">
        <f>F23+F21</f>
        <v>864974.41510588815</v>
      </c>
      <c r="G24" s="1718"/>
      <c r="H24" s="384"/>
      <c r="I24" s="1195" t="s">
        <v>24</v>
      </c>
      <c r="J24" s="1196"/>
      <c r="K24" s="1196"/>
      <c r="L24" s="1197"/>
      <c r="M24" s="1198">
        <f>SUM(M21:M23)</f>
        <v>81910.132848959984</v>
      </c>
      <c r="O24" s="1718"/>
      <c r="P24" s="1464"/>
    </row>
    <row r="25" spans="2:16" x14ac:dyDescent="0.2">
      <c r="B25" s="724"/>
      <c r="C25" s="1763"/>
      <c r="F25" s="1691"/>
      <c r="G25" s="1200"/>
      <c r="H25" s="384"/>
      <c r="I25" s="724"/>
      <c r="J25" s="1763"/>
      <c r="L25" s="726"/>
      <c r="M25" s="1199"/>
      <c r="O25" s="1201"/>
      <c r="P25" s="1464"/>
    </row>
    <row r="26" spans="2:16" x14ac:dyDescent="0.2">
      <c r="B26" s="724" t="s">
        <v>26</v>
      </c>
      <c r="E26" s="1200">
        <f>'[24]Master Data'!E48</f>
        <v>31.419846000000003</v>
      </c>
      <c r="F26" s="1199">
        <f>E26*F6</f>
        <v>114682.43790000002</v>
      </c>
      <c r="G26" s="1201"/>
      <c r="H26" s="384"/>
      <c r="I26" s="724" t="s">
        <v>2533</v>
      </c>
      <c r="J26" s="726"/>
      <c r="L26" s="1451">
        <f>'[24]7.23 Young Parent Residence'!E52*(1+2.78%)</f>
        <v>37.000799999999998</v>
      </c>
      <c r="M26" s="1199">
        <f>L26*J6</f>
        <v>9250.1999999999989</v>
      </c>
      <c r="O26" s="1201"/>
      <c r="P26" s="1464"/>
    </row>
    <row r="27" spans="2:16" x14ac:dyDescent="0.2">
      <c r="B27" s="724" t="s">
        <v>2534</v>
      </c>
      <c r="E27" s="1200">
        <f>'[24]Master Data'!E50</f>
        <v>1.2847500000000001</v>
      </c>
      <c r="F27" s="1199">
        <f>E27*F6</f>
        <v>4689.3375000000005</v>
      </c>
      <c r="G27" s="1201"/>
      <c r="H27" s="384"/>
      <c r="I27" s="724" t="s">
        <v>26</v>
      </c>
      <c r="J27" s="383">
        <v>400</v>
      </c>
      <c r="K27" s="383" t="s">
        <v>2535</v>
      </c>
      <c r="L27" s="1200">
        <f>E26</f>
        <v>31.419846000000003</v>
      </c>
      <c r="M27" s="1199">
        <f>L27*J27</f>
        <v>12567.938400000001</v>
      </c>
      <c r="O27" s="1201"/>
      <c r="P27" s="1464"/>
    </row>
    <row r="28" spans="2:16" x14ac:dyDescent="0.2">
      <c r="B28" s="724" t="str">
        <f>'[24]Master Data'!C49</f>
        <v>Programmatic expenses</v>
      </c>
      <c r="E28" s="1200">
        <f>'[24]Master Data'!E49</f>
        <v>25.695</v>
      </c>
      <c r="F28" s="1199">
        <f>E28*F6</f>
        <v>93786.75</v>
      </c>
      <c r="G28" s="1201"/>
      <c r="H28" s="384"/>
      <c r="I28" s="724"/>
      <c r="L28" s="1200"/>
      <c r="M28" s="1199"/>
      <c r="O28" s="1201"/>
      <c r="P28" s="1464"/>
    </row>
    <row r="29" spans="2:16" x14ac:dyDescent="0.2">
      <c r="B29" s="1195" t="s">
        <v>29</v>
      </c>
      <c r="C29" s="1196"/>
      <c r="D29" s="1196"/>
      <c r="E29" s="1196"/>
      <c r="F29" s="1198">
        <f>SUM(F24:F28)</f>
        <v>1078132.9405058883</v>
      </c>
      <c r="G29" s="1718"/>
      <c r="H29" s="1473"/>
      <c r="I29" s="1195" t="s">
        <v>29</v>
      </c>
      <c r="J29" s="1196"/>
      <c r="K29" s="1196"/>
      <c r="L29" s="1196"/>
      <c r="M29" s="1198">
        <f>SUM(M24:M27)</f>
        <v>103728.27124895998</v>
      </c>
      <c r="O29" s="1718"/>
      <c r="P29" s="1464"/>
    </row>
    <row r="30" spans="2:16" x14ac:dyDescent="0.2">
      <c r="B30" s="724" t="s">
        <v>30</v>
      </c>
      <c r="D30" s="726">
        <f>'[24]Master Data'!E53</f>
        <v>0.12</v>
      </c>
      <c r="F30" s="1191">
        <f>D30*F29</f>
        <v>129375.95286070659</v>
      </c>
      <c r="G30" s="1184"/>
      <c r="H30" s="384"/>
      <c r="I30" s="724" t="s">
        <v>30</v>
      </c>
      <c r="K30" s="726">
        <v>0.12</v>
      </c>
      <c r="M30" s="1191">
        <f>M29*K30</f>
        <v>12447.392549875198</v>
      </c>
      <c r="O30" s="1184"/>
      <c r="P30" s="1464"/>
    </row>
    <row r="31" spans="2:16" ht="13.5" thickBot="1" x14ac:dyDescent="0.25">
      <c r="B31" s="1203" t="s">
        <v>31</v>
      </c>
      <c r="C31" s="1204"/>
      <c r="D31" s="1204"/>
      <c r="E31" s="1204"/>
      <c r="F31" s="1205">
        <f>SUM(F29:F30)</f>
        <v>1207508.8933665948</v>
      </c>
      <c r="G31" s="1718"/>
      <c r="H31" s="384"/>
      <c r="I31" s="1203" t="s">
        <v>31</v>
      </c>
      <c r="J31" s="1204"/>
      <c r="K31" s="1204"/>
      <c r="L31" s="1204"/>
      <c r="M31" s="1205">
        <f>SUM(M29:M30)</f>
        <v>116175.66379883517</v>
      </c>
      <c r="O31" s="1718"/>
      <c r="P31" s="1464"/>
    </row>
    <row r="32" spans="2:16" ht="13.5" thickTop="1" x14ac:dyDescent="0.2">
      <c r="B32" s="724" t="str">
        <f>'[24]Young Adult Supported Liv CCYY'!B29</f>
        <v>CAF - BASELINE</v>
      </c>
      <c r="D32" s="726">
        <f>'[24]Young Adult Supported Liv CCYY'!D29</f>
        <v>3.2549514448865162E-2</v>
      </c>
      <c r="F32" s="1693">
        <f>F29*(D32+1)+F30</f>
        <v>1242601.5970913887</v>
      </c>
      <c r="G32" s="1450"/>
      <c r="I32" s="724" t="s">
        <v>36</v>
      </c>
      <c r="K32" s="726">
        <f>D32</f>
        <v>3.2549514448865162E-2</v>
      </c>
      <c r="M32" s="1693">
        <f>M29*(K32+1)+M30</f>
        <v>119551.96866260901</v>
      </c>
      <c r="O32" s="1450"/>
      <c r="P32" s="1464"/>
    </row>
    <row r="33" spans="2:16" x14ac:dyDescent="0.2">
      <c r="B33" s="724"/>
      <c r="F33" s="1694" t="s">
        <v>32</v>
      </c>
      <c r="G33" s="1719"/>
      <c r="I33" s="724"/>
      <c r="M33" s="736"/>
      <c r="O33" s="1719"/>
      <c r="P33" s="1843"/>
    </row>
    <row r="34" spans="2:16" ht="13.5" thickBot="1" x14ac:dyDescent="0.25">
      <c r="B34" s="724"/>
      <c r="D34" s="726"/>
      <c r="E34" s="1451"/>
      <c r="F34" s="1695">
        <f>F32/12</f>
        <v>103550.13309094905</v>
      </c>
      <c r="G34" s="1451"/>
      <c r="I34" s="724"/>
      <c r="M34" s="1694" t="s">
        <v>32</v>
      </c>
      <c r="O34" s="1717"/>
      <c r="P34" s="1843"/>
    </row>
    <row r="35" spans="2:16" ht="13.5" thickBot="1" x14ac:dyDescent="0.25">
      <c r="B35" s="1194" t="s">
        <v>2536</v>
      </c>
      <c r="C35" s="1207"/>
      <c r="D35" s="1208"/>
      <c r="E35" s="1704"/>
      <c r="F35" s="1699">
        <f>F34/C6</f>
        <v>10355.013309094906</v>
      </c>
      <c r="G35" s="1717"/>
      <c r="I35" s="1194" t="s">
        <v>2537</v>
      </c>
      <c r="J35" s="1207"/>
      <c r="K35" s="1208"/>
      <c r="L35" s="1704"/>
      <c r="M35" s="1699">
        <f>M32/J6</f>
        <v>478.20787465043605</v>
      </c>
    </row>
    <row r="36" spans="2:16" x14ac:dyDescent="0.2">
      <c r="B36" s="1183"/>
      <c r="C36" s="1180"/>
      <c r="D36" s="1202"/>
      <c r="E36" s="1459"/>
      <c r="F36" s="1717">
        <f>'[24]7.23 Young Parent Residence'!F32</f>
        <v>9481.5730070807458</v>
      </c>
      <c r="G36" s="1844">
        <f>(F35-F36)/F36</f>
        <v>9.211976761259795E-2</v>
      </c>
      <c r="I36" s="1183"/>
      <c r="J36" s="1180"/>
      <c r="K36" s="1202"/>
      <c r="L36" s="1459"/>
      <c r="M36" s="1717">
        <f>'[24]7.23 Young Parent Residence'!F59</f>
        <v>406.33390594176757</v>
      </c>
      <c r="N36" s="1471">
        <f>(M35-M36)/M36</f>
        <v>0.17688400514371269</v>
      </c>
    </row>
    <row r="37" spans="2:16" x14ac:dyDescent="0.2">
      <c r="B37" s="1183"/>
      <c r="C37" s="1180"/>
      <c r="D37" s="1202"/>
      <c r="E37" s="1459"/>
      <c r="G37" s="1717"/>
      <c r="I37" s="1183"/>
      <c r="J37" s="1180"/>
      <c r="K37" s="1202"/>
      <c r="L37" s="1459"/>
      <c r="M37" s="1717"/>
    </row>
    <row r="38" spans="2:16" x14ac:dyDescent="0.2">
      <c r="C38" s="1709"/>
      <c r="E38" s="1459"/>
      <c r="F38" s="1459"/>
      <c r="G38" s="1459"/>
      <c r="H38" s="1179"/>
      <c r="I38" s="1183"/>
      <c r="J38" s="1180"/>
      <c r="K38" s="1202"/>
      <c r="L38" s="1459"/>
    </row>
    <row r="39" spans="2:16" x14ac:dyDescent="0.2">
      <c r="B39" s="1845"/>
      <c r="C39" s="1909"/>
      <c r="D39" s="1909"/>
      <c r="E39" s="1909"/>
      <c r="F39" s="1717"/>
      <c r="G39" s="1717"/>
      <c r="H39" s="1179"/>
    </row>
    <row r="41" spans="2:16" x14ac:dyDescent="0.2">
      <c r="B41" s="1722"/>
    </row>
    <row r="42" spans="2:16" x14ac:dyDescent="0.2">
      <c r="B42" s="1722"/>
    </row>
    <row r="43" spans="2:16" x14ac:dyDescent="0.2">
      <c r="B43" s="1722"/>
    </row>
    <row r="44" spans="2:16" x14ac:dyDescent="0.2">
      <c r="B44" s="1722"/>
    </row>
    <row r="45" spans="2:16" ht="26.25" customHeight="1" x14ac:dyDescent="0.2"/>
    <row r="47" spans="2:16" ht="13.5" customHeight="1" x14ac:dyDescent="0.2"/>
    <row r="66" spans="2:2" ht="12.75" customHeight="1" x14ac:dyDescent="0.2"/>
    <row r="76" spans="2:2" x14ac:dyDescent="0.2">
      <c r="B76" s="1451"/>
    </row>
    <row r="77" spans="2:2" x14ac:dyDescent="0.2">
      <c r="B77" s="1200"/>
    </row>
    <row r="78" spans="2:2" x14ac:dyDescent="0.2">
      <c r="B78" s="1200"/>
    </row>
    <row r="79" spans="2:2" x14ac:dyDescent="0.2">
      <c r="B79" s="1200"/>
    </row>
    <row r="82" spans="2:2" x14ac:dyDescent="0.2">
      <c r="B82" s="1179"/>
    </row>
    <row r="83" spans="2:2" x14ac:dyDescent="0.2">
      <c r="B83" s="1180"/>
    </row>
    <row r="85" spans="2:2" ht="13.35" customHeight="1" x14ac:dyDescent="0.2"/>
    <row r="86" spans="2:2" ht="15" customHeight="1" x14ac:dyDescent="0.2"/>
    <row r="91" spans="2:2" ht="12.75" customHeight="1" x14ac:dyDescent="0.2"/>
    <row r="111" spans="2:2" x14ac:dyDescent="0.2">
      <c r="B111" s="1200"/>
    </row>
    <row r="112" spans="2:2" x14ac:dyDescent="0.2">
      <c r="B112" s="1451"/>
    </row>
    <row r="113" spans="2:2" x14ac:dyDescent="0.2">
      <c r="B113" s="1200"/>
    </row>
    <row r="114" spans="2:2" x14ac:dyDescent="0.2">
      <c r="B114" s="1200"/>
    </row>
    <row r="115" spans="2:2" x14ac:dyDescent="0.2">
      <c r="B115" s="1200"/>
    </row>
    <row r="117" spans="2:2" x14ac:dyDescent="0.2">
      <c r="B117" s="1471"/>
    </row>
    <row r="118" spans="2:2" x14ac:dyDescent="0.2">
      <c r="B118" s="1179"/>
    </row>
    <row r="119" spans="2:2" x14ac:dyDescent="0.2">
      <c r="B119" s="1180"/>
    </row>
    <row r="121" spans="2:2" ht="13.35" customHeight="1" x14ac:dyDescent="0.2"/>
    <row r="122" spans="2:2" ht="15" customHeight="1" x14ac:dyDescent="0.2"/>
    <row r="127" spans="2:2" ht="12.75" customHeight="1" x14ac:dyDescent="0.2"/>
    <row r="143" spans="2:2" x14ac:dyDescent="0.2">
      <c r="B143" s="1451"/>
    </row>
    <row r="144" spans="2:2" x14ac:dyDescent="0.2">
      <c r="B144" s="1200"/>
    </row>
    <row r="145" spans="2:2" x14ac:dyDescent="0.2">
      <c r="B145" s="1200"/>
    </row>
    <row r="146" spans="2:2" x14ac:dyDescent="0.2">
      <c r="B146" s="1200"/>
    </row>
  </sheetData>
  <mergeCells count="5">
    <mergeCell ref="B1:E1"/>
    <mergeCell ref="B4:F5"/>
    <mergeCell ref="I4:M5"/>
    <mergeCell ref="K6:L6"/>
    <mergeCell ref="C39:E39"/>
  </mergeCells>
  <pageMargins left="0.7" right="0.7" top="0.75" bottom="0.75" header="0.3" footer="0.3"/>
  <pageSetup scale="51" fitToHeight="0" orientation="landscape" r:id="rId1"/>
  <headerFooter>
    <oddFooter>&amp;R&amp;A
&amp;F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7EA9F-7F8F-4721-9C94-7DF0ED5C18D8}">
  <sheetPr>
    <pageSetUpPr fitToPage="1"/>
  </sheetPr>
  <dimension ref="B1:N144"/>
  <sheetViews>
    <sheetView topLeftCell="A4" zoomScaleNormal="100" zoomScaleSheetLayoutView="90" workbookViewId="0">
      <selection activeCell="G38" sqref="G38"/>
    </sheetView>
  </sheetViews>
  <sheetFormatPr defaultColWidth="9.140625" defaultRowHeight="12.75" x14ac:dyDescent="0.2"/>
  <cols>
    <col min="1" max="1" width="3" style="383" customWidth="1"/>
    <col min="2" max="2" width="36.7109375" style="383" customWidth="1"/>
    <col min="3" max="3" width="9.7109375" style="383" customWidth="1"/>
    <col min="4" max="5" width="14.7109375" style="383" customWidth="1"/>
    <col min="6" max="7" width="18.7109375" style="383" customWidth="1"/>
    <col min="8" max="8" width="6.85546875" style="383" customWidth="1"/>
    <col min="9" max="9" width="36.7109375" style="383" customWidth="1"/>
    <col min="10" max="10" width="9.7109375" style="383" customWidth="1"/>
    <col min="11" max="12" width="14.7109375" style="383" customWidth="1"/>
    <col min="13" max="13" width="18.7109375" style="383" customWidth="1"/>
    <col min="14" max="14" width="10.42578125" style="383" customWidth="1"/>
    <col min="15" max="16384" width="9.140625" style="383"/>
  </cols>
  <sheetData>
    <row r="1" spans="2:13" ht="30.75" customHeight="1" x14ac:dyDescent="0.2">
      <c r="B1" s="1896" t="s">
        <v>2297</v>
      </c>
      <c r="C1" s="1896"/>
      <c r="D1" s="1896"/>
      <c r="E1" s="1896"/>
      <c r="F1" s="1674">
        <f ca="1">TODAY()</f>
        <v>45805</v>
      </c>
      <c r="G1" s="1674"/>
    </row>
    <row r="3" spans="2:13" ht="9" customHeight="1" thickBot="1" x14ac:dyDescent="0.25"/>
    <row r="4" spans="2:13" ht="30" customHeight="1" thickBot="1" x14ac:dyDescent="0.25">
      <c r="B4" s="1910" t="s">
        <v>2433</v>
      </c>
      <c r="C4" s="1911"/>
      <c r="D4" s="1911"/>
      <c r="E4" s="1911"/>
      <c r="F4" s="1912"/>
      <c r="G4" s="1180"/>
      <c r="I4" s="1910" t="s">
        <v>2434</v>
      </c>
      <c r="J4" s="1911"/>
      <c r="K4" s="1911"/>
      <c r="L4" s="1911"/>
      <c r="M4" s="1912"/>
    </row>
    <row r="5" spans="2:13" ht="30" customHeight="1" thickBot="1" x14ac:dyDescent="0.25">
      <c r="B5" s="1913" t="s">
        <v>2435</v>
      </c>
      <c r="C5" s="1914"/>
      <c r="D5" s="1914"/>
      <c r="E5" s="1914"/>
      <c r="F5" s="1915"/>
      <c r="G5" s="1180"/>
      <c r="I5" s="1913" t="s">
        <v>2435</v>
      </c>
      <c r="J5" s="1914"/>
      <c r="K5" s="1914"/>
      <c r="L5" s="1914"/>
      <c r="M5" s="1915"/>
    </row>
    <row r="6" spans="2:13" x14ac:dyDescent="0.2">
      <c r="B6" s="731" t="s">
        <v>0</v>
      </c>
      <c r="C6" s="1182">
        <v>12</v>
      </c>
      <c r="D6" s="1183"/>
      <c r="E6" s="1183" t="s">
        <v>1</v>
      </c>
      <c r="F6" s="1181">
        <f>C6*365</f>
        <v>4380</v>
      </c>
      <c r="G6" s="1429"/>
      <c r="I6" s="731" t="s">
        <v>0</v>
      </c>
      <c r="J6" s="1182">
        <v>12</v>
      </c>
      <c r="K6" s="1183"/>
      <c r="L6" s="1183" t="s">
        <v>1</v>
      </c>
      <c r="M6" s="1181">
        <f>J6*365</f>
        <v>4380</v>
      </c>
    </row>
    <row r="7" spans="2:13" x14ac:dyDescent="0.2">
      <c r="B7" s="724"/>
      <c r="F7" s="736"/>
      <c r="I7" s="724"/>
      <c r="M7" s="736"/>
    </row>
    <row r="8" spans="2:13" ht="15" customHeight="1" x14ac:dyDescent="0.2">
      <c r="B8" s="1432"/>
      <c r="C8" s="1675"/>
      <c r="D8" s="1433" t="s">
        <v>5</v>
      </c>
      <c r="E8" s="1433" t="s">
        <v>6</v>
      </c>
      <c r="F8" s="1676" t="s">
        <v>7</v>
      </c>
      <c r="G8" s="1180"/>
      <c r="I8" s="1432"/>
      <c r="J8" s="1675"/>
      <c r="K8" s="1433" t="s">
        <v>5</v>
      </c>
      <c r="L8" s="1433" t="s">
        <v>6</v>
      </c>
      <c r="M8" s="1676" t="s">
        <v>7</v>
      </c>
    </row>
    <row r="9" spans="2:13" ht="13.35" customHeight="1" x14ac:dyDescent="0.2">
      <c r="B9" s="1916" t="s">
        <v>9</v>
      </c>
      <c r="C9" s="1917"/>
      <c r="D9" s="1917"/>
      <c r="E9" s="1917"/>
      <c r="F9" s="1918"/>
      <c r="G9" s="1182"/>
      <c r="I9" s="1916" t="s">
        <v>9</v>
      </c>
      <c r="J9" s="1917"/>
      <c r="K9" s="1917"/>
      <c r="L9" s="1917"/>
      <c r="M9" s="1918"/>
    </row>
    <row r="10" spans="2:13" ht="17.45" customHeight="1" x14ac:dyDescent="0.2">
      <c r="B10" s="724" t="s">
        <v>2436</v>
      </c>
      <c r="D10" s="1184">
        <f>'[24]M2023 BLS Chart'!C22</f>
        <v>80829.631999999998</v>
      </c>
      <c r="E10" s="1190">
        <v>1</v>
      </c>
      <c r="F10" s="1191">
        <f>D10*E10</f>
        <v>80829.631999999998</v>
      </c>
      <c r="G10" s="1184"/>
      <c r="I10" s="724" t="s">
        <v>2436</v>
      </c>
      <c r="K10" s="1184">
        <f>D10</f>
        <v>80829.631999999998</v>
      </c>
      <c r="L10" s="1190">
        <v>1</v>
      </c>
      <c r="M10" s="1191">
        <f>K10*L10</f>
        <v>80829.631999999998</v>
      </c>
    </row>
    <row r="11" spans="2:13" x14ac:dyDescent="0.2">
      <c r="B11" s="724" t="s">
        <v>625</v>
      </c>
      <c r="D11" s="1184">
        <f>'[24]Master Data'!E18</f>
        <v>73854.144</v>
      </c>
      <c r="E11" s="1190">
        <v>0.5</v>
      </c>
      <c r="F11" s="1191">
        <f>D11*E11</f>
        <v>36927.072</v>
      </c>
      <c r="G11" s="1184"/>
      <c r="I11" s="724" t="s">
        <v>625</v>
      </c>
      <c r="K11" s="1184">
        <f>D11</f>
        <v>73854.144</v>
      </c>
      <c r="L11" s="1190">
        <v>0.5</v>
      </c>
      <c r="M11" s="1191">
        <f>K11*L11</f>
        <v>36927.072</v>
      </c>
    </row>
    <row r="12" spans="2:13" x14ac:dyDescent="0.2">
      <c r="B12" s="1677" t="s">
        <v>13</v>
      </c>
      <c r="C12" s="1182"/>
      <c r="D12" s="1182"/>
      <c r="E12" s="1182"/>
      <c r="F12" s="1678"/>
      <c r="G12" s="1182"/>
      <c r="I12" s="1677" t="s">
        <v>13</v>
      </c>
      <c r="J12" s="1182"/>
      <c r="K12" s="1182"/>
      <c r="L12" s="1182"/>
      <c r="M12" s="1678"/>
    </row>
    <row r="13" spans="2:13" x14ac:dyDescent="0.2">
      <c r="B13" s="724" t="s">
        <v>17</v>
      </c>
      <c r="D13" s="1184">
        <f>'[24]M2023 BLS Chart'!C44</f>
        <v>247470</v>
      </c>
      <c r="E13" s="1190">
        <v>0.25</v>
      </c>
      <c r="F13" s="1191">
        <f>D13*E13</f>
        <v>61867.5</v>
      </c>
      <c r="G13" s="1184"/>
      <c r="I13" s="724" t="s">
        <v>17</v>
      </c>
      <c r="K13" s="1184">
        <f t="shared" ref="K13:K18" si="0">D13</f>
        <v>247470</v>
      </c>
      <c r="L13" s="1190">
        <v>0.15</v>
      </c>
      <c r="M13" s="1191">
        <f>K13*L13</f>
        <v>37120.5</v>
      </c>
    </row>
    <row r="14" spans="2:13" x14ac:dyDescent="0.2">
      <c r="B14" s="724" t="s">
        <v>2437</v>
      </c>
      <c r="D14" s="1184">
        <f>'[24]Master Data'!E23</f>
        <v>103622.27200000001</v>
      </c>
      <c r="E14" s="1190">
        <v>0.25</v>
      </c>
      <c r="F14" s="1191">
        <f>D14*E14</f>
        <v>25905.568000000003</v>
      </c>
      <c r="G14" s="1184"/>
      <c r="I14" s="724" t="s">
        <v>2437</v>
      </c>
      <c r="K14" s="1184">
        <f t="shared" si="0"/>
        <v>103622.27200000001</v>
      </c>
      <c r="L14" s="1190">
        <v>0.25</v>
      </c>
      <c r="M14" s="1191">
        <f>K14*L14</f>
        <v>25905.568000000003</v>
      </c>
    </row>
    <row r="15" spans="2:13" x14ac:dyDescent="0.2">
      <c r="B15" s="724" t="s">
        <v>16</v>
      </c>
      <c r="D15" s="1184">
        <f>'[24]Master Data'!E24</f>
        <v>73854.144</v>
      </c>
      <c r="E15" s="1190">
        <v>0.5</v>
      </c>
      <c r="F15" s="1191">
        <f t="shared" ref="F15:F18" si="1">D15*E15</f>
        <v>36927.072</v>
      </c>
      <c r="G15" s="1184"/>
      <c r="I15" s="724" t="s">
        <v>16</v>
      </c>
      <c r="K15" s="1184">
        <f t="shared" si="0"/>
        <v>73854.144</v>
      </c>
      <c r="L15" s="1190">
        <v>0.5</v>
      </c>
      <c r="M15" s="1191">
        <f t="shared" ref="M15:M18" si="2">K15*L15</f>
        <v>36927.072</v>
      </c>
    </row>
    <row r="16" spans="2:13" ht="13.5" customHeight="1" x14ac:dyDescent="0.2">
      <c r="B16" s="724" t="s">
        <v>2438</v>
      </c>
      <c r="D16" s="1184">
        <f>'[24]Master Data'!E27</f>
        <v>83639.712</v>
      </c>
      <c r="E16" s="1190">
        <v>0.25</v>
      </c>
      <c r="F16" s="1191">
        <f t="shared" si="1"/>
        <v>20909.928</v>
      </c>
      <c r="G16" s="1184"/>
      <c r="I16" s="724" t="s">
        <v>2438</v>
      </c>
      <c r="K16" s="1184">
        <f t="shared" si="0"/>
        <v>83639.712</v>
      </c>
      <c r="L16" s="1190">
        <v>0.25</v>
      </c>
      <c r="M16" s="1191">
        <f t="shared" si="2"/>
        <v>20909.928</v>
      </c>
    </row>
    <row r="17" spans="2:14" ht="14.25" customHeight="1" x14ac:dyDescent="0.2">
      <c r="B17" s="724" t="s">
        <v>2439</v>
      </c>
      <c r="D17" s="1184">
        <f>'[24]Master Data'!E28</f>
        <v>70211.44</v>
      </c>
      <c r="E17" s="1190">
        <v>0.5</v>
      </c>
      <c r="F17" s="1191">
        <f t="shared" si="1"/>
        <v>35105.72</v>
      </c>
      <c r="G17" s="1184"/>
      <c r="I17" s="724" t="s">
        <v>2439</v>
      </c>
      <c r="K17" s="1184">
        <f t="shared" si="0"/>
        <v>70211.44</v>
      </c>
      <c r="L17" s="1190">
        <v>0.5</v>
      </c>
      <c r="M17" s="1191">
        <f t="shared" si="2"/>
        <v>35105.72</v>
      </c>
    </row>
    <row r="18" spans="2:14" x14ac:dyDescent="0.2">
      <c r="B18" s="724" t="s">
        <v>2440</v>
      </c>
      <c r="D18" s="1184">
        <f>'[24]Master Data'!E25</f>
        <v>82681.040000000008</v>
      </c>
      <c r="E18" s="1190">
        <v>0.6</v>
      </c>
      <c r="F18" s="1191">
        <f t="shared" si="1"/>
        <v>49608.624000000003</v>
      </c>
      <c r="G18" s="1184"/>
      <c r="I18" s="724" t="str">
        <f>B18</f>
        <v>Occupation Therapist</v>
      </c>
      <c r="K18" s="1184">
        <f t="shared" si="0"/>
        <v>82681.040000000008</v>
      </c>
      <c r="L18" s="1190">
        <v>0.6</v>
      </c>
      <c r="M18" s="1191">
        <f t="shared" si="2"/>
        <v>49608.624000000003</v>
      </c>
    </row>
    <row r="19" spans="2:14" x14ac:dyDescent="0.2">
      <c r="B19" s="1677" t="s">
        <v>18</v>
      </c>
      <c r="D19" s="1184"/>
      <c r="E19" s="1190"/>
      <c r="F19" s="1191"/>
      <c r="G19" s="1184"/>
      <c r="I19" s="1677" t="s">
        <v>18</v>
      </c>
      <c r="K19" s="1184"/>
      <c r="L19" s="1190"/>
      <c r="M19" s="1191"/>
    </row>
    <row r="20" spans="2:14" x14ac:dyDescent="0.2">
      <c r="B20" s="724" t="s">
        <v>2441</v>
      </c>
      <c r="D20" s="1184">
        <f>'[24]Master Data'!E37</f>
        <v>64438.399999999994</v>
      </c>
      <c r="E20" s="1190">
        <v>1</v>
      </c>
      <c r="F20" s="1191">
        <f t="shared" ref="F20:F28" si="3">D20*E20</f>
        <v>64438.399999999994</v>
      </c>
      <c r="G20" s="1184"/>
      <c r="I20" s="724" t="s">
        <v>2441</v>
      </c>
      <c r="K20" s="1184">
        <f t="shared" ref="K20:K28" si="4">D20</f>
        <v>64438.399999999994</v>
      </c>
      <c r="L20" s="1190">
        <v>1</v>
      </c>
      <c r="M20" s="1191">
        <f t="shared" ref="M20:M28" si="5">K20*L20</f>
        <v>64438.399999999994</v>
      </c>
    </row>
    <row r="21" spans="2:14" x14ac:dyDescent="0.2">
      <c r="B21" s="724" t="s">
        <v>2442</v>
      </c>
      <c r="D21" s="1184">
        <f>'[24]Master Data'!E32</f>
        <v>73854.144</v>
      </c>
      <c r="E21" s="1190">
        <v>1</v>
      </c>
      <c r="F21" s="1191">
        <f t="shared" si="3"/>
        <v>73854.144</v>
      </c>
      <c r="G21" s="1184"/>
      <c r="I21" s="724" t="s">
        <v>2442</v>
      </c>
      <c r="K21" s="1184">
        <f t="shared" si="4"/>
        <v>73854.144</v>
      </c>
      <c r="L21" s="1190">
        <v>0.5</v>
      </c>
      <c r="M21" s="1191">
        <f t="shared" si="5"/>
        <v>36927.072</v>
      </c>
    </row>
    <row r="22" spans="2:14" x14ac:dyDescent="0.2">
      <c r="B22" s="724" t="s">
        <v>2443</v>
      </c>
      <c r="D22" s="1184">
        <f>'[24]Master Data'!E34</f>
        <v>56217.241600000001</v>
      </c>
      <c r="E22" s="1190">
        <v>1</v>
      </c>
      <c r="F22" s="1191">
        <f t="shared" si="3"/>
        <v>56217.241600000001</v>
      </c>
      <c r="G22" s="1184"/>
      <c r="I22" s="724" t="s">
        <v>2443</v>
      </c>
      <c r="K22" s="1184">
        <f t="shared" si="4"/>
        <v>56217.241600000001</v>
      </c>
      <c r="L22" s="1190">
        <v>1</v>
      </c>
      <c r="M22" s="1191">
        <f t="shared" si="5"/>
        <v>56217.241600000001</v>
      </c>
    </row>
    <row r="23" spans="2:14" x14ac:dyDescent="0.2">
      <c r="B23" s="1679" t="s">
        <v>2444</v>
      </c>
      <c r="C23" s="1680"/>
      <c r="D23" s="1681">
        <f>'[24]Master Data'!E33</f>
        <v>56217.241600000001</v>
      </c>
      <c r="E23" s="1682">
        <v>7.4999999999999997E-2</v>
      </c>
      <c r="F23" s="1683">
        <f>D23*E23</f>
        <v>4216.2931200000003</v>
      </c>
      <c r="G23" s="1184"/>
      <c r="I23" s="724" t="s">
        <v>2444</v>
      </c>
      <c r="K23" s="1184">
        <f t="shared" si="4"/>
        <v>56217.241600000001</v>
      </c>
      <c r="L23" s="1190">
        <v>7.4999999999999997E-2</v>
      </c>
      <c r="M23" s="1191">
        <f t="shared" si="5"/>
        <v>4216.2931200000003</v>
      </c>
    </row>
    <row r="24" spans="2:14" x14ac:dyDescent="0.2">
      <c r="B24" s="724" t="s">
        <v>2445</v>
      </c>
      <c r="D24" s="1184">
        <f>'[24]Master Data'!E39</f>
        <v>43247.567999999999</v>
      </c>
      <c r="E24" s="1190">
        <v>12.6</v>
      </c>
      <c r="F24" s="1191">
        <f t="shared" si="3"/>
        <v>544919.35679999995</v>
      </c>
      <c r="G24" s="1184"/>
      <c r="I24" s="724" t="s">
        <v>2445</v>
      </c>
      <c r="K24" s="1184">
        <f t="shared" si="4"/>
        <v>43247.567999999999</v>
      </c>
      <c r="L24" s="1190">
        <v>12.6</v>
      </c>
      <c r="M24" s="1191">
        <f t="shared" si="5"/>
        <v>544919.35679999995</v>
      </c>
    </row>
    <row r="25" spans="2:14" x14ac:dyDescent="0.2">
      <c r="B25" s="1679" t="s">
        <v>2446</v>
      </c>
      <c r="C25" s="1684"/>
      <c r="D25" s="1681">
        <f>'[24]Master Data'!E40</f>
        <v>43247.567999999999</v>
      </c>
      <c r="E25" s="1685">
        <v>1</v>
      </c>
      <c r="F25" s="1683">
        <f t="shared" si="3"/>
        <v>43247.567999999999</v>
      </c>
      <c r="G25" s="1184"/>
      <c r="I25" s="1438" t="s">
        <v>2446</v>
      </c>
      <c r="J25" s="1686"/>
      <c r="K25" s="1184">
        <f t="shared" si="4"/>
        <v>43247.567999999999</v>
      </c>
      <c r="L25" s="1687">
        <v>1</v>
      </c>
      <c r="M25" s="1688">
        <f>K25*L25</f>
        <v>43247.567999999999</v>
      </c>
    </row>
    <row r="26" spans="2:14" x14ac:dyDescent="0.2">
      <c r="B26" s="1679" t="s">
        <v>2447</v>
      </c>
      <c r="C26" s="1684"/>
      <c r="D26" s="1681">
        <f>'[24]Master Data'!E41</f>
        <v>43247.567999999999</v>
      </c>
      <c r="E26" s="1685">
        <v>0.75</v>
      </c>
      <c r="F26" s="1683">
        <f t="shared" si="3"/>
        <v>32435.675999999999</v>
      </c>
      <c r="G26" s="1184"/>
      <c r="I26" s="724" t="s">
        <v>2447</v>
      </c>
      <c r="J26" s="1686"/>
      <c r="K26" s="1184">
        <f t="shared" si="4"/>
        <v>43247.567999999999</v>
      </c>
      <c r="L26" s="1687">
        <f>E26</f>
        <v>0.75</v>
      </c>
      <c r="M26" s="1191">
        <f t="shared" si="5"/>
        <v>32435.675999999999</v>
      </c>
    </row>
    <row r="27" spans="2:14" x14ac:dyDescent="0.2">
      <c r="B27" s="1679" t="s">
        <v>2448</v>
      </c>
      <c r="C27" s="1684"/>
      <c r="D27" s="1681">
        <f>'[24]Master Data'!E42</f>
        <v>43247.567999999999</v>
      </c>
      <c r="E27" s="1685">
        <v>7.4999999999999997E-2</v>
      </c>
      <c r="F27" s="1683">
        <f t="shared" si="3"/>
        <v>3243.5675999999999</v>
      </c>
      <c r="G27" s="1184"/>
      <c r="I27" s="724" t="s">
        <v>2448</v>
      </c>
      <c r="J27" s="1686"/>
      <c r="K27" s="1184">
        <f t="shared" si="4"/>
        <v>43247.567999999999</v>
      </c>
      <c r="L27" s="1687">
        <f>E27</f>
        <v>7.4999999999999997E-2</v>
      </c>
      <c r="M27" s="1191">
        <f t="shared" si="5"/>
        <v>3243.5675999999999</v>
      </c>
    </row>
    <row r="28" spans="2:14" x14ac:dyDescent="0.2">
      <c r="B28" s="724" t="s">
        <v>2449</v>
      </c>
      <c r="D28" s="1184">
        <f>D25</f>
        <v>43247.567999999999</v>
      </c>
      <c r="E28" s="1190">
        <f>E24*'[24]Master Data'!E11</f>
        <v>1.89</v>
      </c>
      <c r="F28" s="1683">
        <f t="shared" si="3"/>
        <v>81737.903519999993</v>
      </c>
      <c r="G28" s="1184"/>
      <c r="I28" s="724" t="s">
        <v>2449</v>
      </c>
      <c r="K28" s="1184">
        <f t="shared" si="4"/>
        <v>43247.567999999999</v>
      </c>
      <c r="L28" s="1190">
        <f>L24*'[24]Master Data'!E11</f>
        <v>1.89</v>
      </c>
      <c r="M28" s="1191">
        <f t="shared" si="5"/>
        <v>81737.903519999993</v>
      </c>
      <c r="N28" s="383" t="s">
        <v>241</v>
      </c>
    </row>
    <row r="29" spans="2:14" x14ac:dyDescent="0.2">
      <c r="B29" s="1195" t="s">
        <v>20</v>
      </c>
      <c r="C29" s="1196"/>
      <c r="D29" s="1196"/>
      <c r="E29" s="1689">
        <f>SUM(E9:E28)</f>
        <v>23.24</v>
      </c>
      <c r="F29" s="1198">
        <f>SUM(F10:F28)</f>
        <v>1252391.2666399996</v>
      </c>
      <c r="G29" s="1718"/>
      <c r="H29" s="1690"/>
      <c r="I29" s="1195" t="s">
        <v>20</v>
      </c>
      <c r="J29" s="1196"/>
      <c r="K29" s="1196"/>
      <c r="L29" s="1689">
        <f>SUM(L9:L28)</f>
        <v>22.64</v>
      </c>
      <c r="M29" s="1198">
        <f>SUM(M10:M28)</f>
        <v>1190717.1946399997</v>
      </c>
    </row>
    <row r="30" spans="2:14" x14ac:dyDescent="0.2">
      <c r="B30" s="731" t="s">
        <v>21</v>
      </c>
      <c r="E30" s="1183" t="s">
        <v>22</v>
      </c>
      <c r="F30" s="736"/>
      <c r="H30" s="1427"/>
      <c r="I30" s="731" t="s">
        <v>21</v>
      </c>
      <c r="L30" s="1183" t="s">
        <v>22</v>
      </c>
      <c r="M30" s="736"/>
      <c r="N30" s="1427"/>
    </row>
    <row r="31" spans="2:14" x14ac:dyDescent="0.2">
      <c r="B31" s="724" t="s">
        <v>23</v>
      </c>
      <c r="D31" s="726">
        <f>'[24]Master Data'!E46</f>
        <v>0.24970000000000001</v>
      </c>
      <c r="F31" s="1191">
        <f>D31*F29</f>
        <v>312722.09928000788</v>
      </c>
      <c r="G31" s="1184"/>
      <c r="I31" s="724" t="s">
        <v>23</v>
      </c>
      <c r="K31" s="726">
        <f>D31</f>
        <v>0.24970000000000001</v>
      </c>
      <c r="M31" s="1191">
        <f>K31*M29</f>
        <v>297322.08350160794</v>
      </c>
    </row>
    <row r="32" spans="2:14" x14ac:dyDescent="0.2">
      <c r="B32" s="1195" t="s">
        <v>24</v>
      </c>
      <c r="C32" s="1196"/>
      <c r="D32" s="1196"/>
      <c r="E32" s="1197"/>
      <c r="F32" s="1198">
        <f>F31+F29</f>
        <v>1565113.3659200075</v>
      </c>
      <c r="G32" s="1718"/>
      <c r="I32" s="1195" t="s">
        <v>24</v>
      </c>
      <c r="J32" s="1196"/>
      <c r="K32" s="1196"/>
      <c r="L32" s="1197">
        <f>M32/M6</f>
        <v>339.73499500949941</v>
      </c>
      <c r="M32" s="1198">
        <f>M31+M29</f>
        <v>1488039.2781416075</v>
      </c>
    </row>
    <row r="33" spans="2:14" x14ac:dyDescent="0.2">
      <c r="B33" s="724"/>
      <c r="C33" s="726"/>
      <c r="F33" s="1691"/>
      <c r="G33" s="1200"/>
      <c r="I33" s="724"/>
      <c r="J33" s="726"/>
      <c r="M33" s="1691"/>
    </row>
    <row r="34" spans="2:14" x14ac:dyDescent="0.2">
      <c r="B34" s="724" t="s">
        <v>26</v>
      </c>
      <c r="E34" s="1200">
        <f>'[24]Master Data'!E48</f>
        <v>31.419846000000003</v>
      </c>
      <c r="F34" s="1199">
        <f>E34*F6</f>
        <v>137618.92548000001</v>
      </c>
      <c r="G34" s="1201"/>
      <c r="I34" s="724" t="s">
        <v>26</v>
      </c>
      <c r="L34" s="1200">
        <f>E34</f>
        <v>31.419846000000003</v>
      </c>
      <c r="M34" s="1199">
        <f>L34*M6</f>
        <v>137618.92548000001</v>
      </c>
    </row>
    <row r="35" spans="2:14" x14ac:dyDescent="0.2">
      <c r="B35" s="724" t="s">
        <v>2450</v>
      </c>
      <c r="E35" s="1200">
        <f>'[24]Master Data'!E49</f>
        <v>25.695</v>
      </c>
      <c r="F35" s="1199">
        <f>E35*F6</f>
        <v>112544.1</v>
      </c>
      <c r="G35" s="1201"/>
      <c r="I35" s="724" t="s">
        <v>27</v>
      </c>
      <c r="L35" s="1200">
        <f>E35</f>
        <v>25.695</v>
      </c>
      <c r="M35" s="1199">
        <f>L35*M6</f>
        <v>112544.1</v>
      </c>
    </row>
    <row r="36" spans="2:14" x14ac:dyDescent="0.2">
      <c r="B36" s="724" t="s">
        <v>2451</v>
      </c>
      <c r="C36" s="1680"/>
      <c r="D36" s="1680"/>
      <c r="E36" s="1200">
        <f>'[24]Master Data'!E50</f>
        <v>1.2847500000000001</v>
      </c>
      <c r="F36" s="1692">
        <f>E36*F6</f>
        <v>5627.2049999999999</v>
      </c>
      <c r="G36" s="1201"/>
      <c r="I36" s="724" t="str">
        <f>B36</f>
        <v>Additional Training expenses</v>
      </c>
      <c r="L36" s="1200">
        <f>E36</f>
        <v>1.2847500000000001</v>
      </c>
      <c r="M36" s="1199">
        <f>L36*M6</f>
        <v>5627.2049999999999</v>
      </c>
    </row>
    <row r="37" spans="2:14" x14ac:dyDescent="0.2">
      <c r="B37" s="1195" t="s">
        <v>29</v>
      </c>
      <c r="C37" s="1196"/>
      <c r="D37" s="1196"/>
      <c r="E37" s="1196"/>
      <c r="F37" s="1198">
        <f>SUM(F32:F36)</f>
        <v>1820903.5964000076</v>
      </c>
      <c r="G37" s="1718"/>
      <c r="I37" s="1195" t="s">
        <v>29</v>
      </c>
      <c r="J37" s="1196"/>
      <c r="K37" s="1196"/>
      <c r="L37" s="1196"/>
      <c r="M37" s="1198">
        <f>SUM(M32:M36)</f>
        <v>1743829.5086216077</v>
      </c>
    </row>
    <row r="38" spans="2:14" x14ac:dyDescent="0.2">
      <c r="B38" s="724" t="s">
        <v>30</v>
      </c>
      <c r="D38" s="726">
        <f>'[24]Master Data'!E53</f>
        <v>0.12</v>
      </c>
      <c r="F38" s="1191">
        <f>D38*F37</f>
        <v>218508.4315680009</v>
      </c>
      <c r="G38" s="1184"/>
      <c r="I38" s="724" t="s">
        <v>30</v>
      </c>
      <c r="K38" s="726">
        <f>D38</f>
        <v>0.12</v>
      </c>
      <c r="M38" s="1191">
        <f>K38*M37</f>
        <v>209259.54103459293</v>
      </c>
    </row>
    <row r="39" spans="2:14" ht="13.5" thickBot="1" x14ac:dyDescent="0.25">
      <c r="B39" s="1203" t="s">
        <v>31</v>
      </c>
      <c r="C39" s="1204"/>
      <c r="D39" s="1204"/>
      <c r="E39" s="1204"/>
      <c r="F39" s="1205">
        <f>SUM(F37:F38)</f>
        <v>2039412.0279680085</v>
      </c>
      <c r="G39" s="1718"/>
      <c r="I39" s="1203" t="s">
        <v>31</v>
      </c>
      <c r="J39" s="1204"/>
      <c r="K39" s="1204"/>
      <c r="L39" s="1204"/>
      <c r="M39" s="1205">
        <f>SUM(M37:M38)</f>
        <v>1953089.0496562007</v>
      </c>
    </row>
    <row r="40" spans="2:14" ht="13.5" thickTop="1" x14ac:dyDescent="0.2">
      <c r="B40" s="724" t="s">
        <v>2452</v>
      </c>
      <c r="D40" s="726">
        <f>'[24]Master Data'!E55</f>
        <v>3.2549514448865162E-2</v>
      </c>
      <c r="F40" s="1693">
        <f>F39*(1+D40)</f>
        <v>2105793.8992395429</v>
      </c>
      <c r="G40" s="1450"/>
      <c r="I40" s="724" t="str">
        <f>B40</f>
        <v xml:space="preserve">FY26 &amp; FY27 CAF </v>
      </c>
      <c r="K40" s="726">
        <f>D40</f>
        <v>3.2549514448865162E-2</v>
      </c>
      <c r="M40" s="1693">
        <f>M39*(1+K40)</f>
        <v>2016661.1498979055</v>
      </c>
    </row>
    <row r="41" spans="2:14" x14ac:dyDescent="0.2">
      <c r="B41" s="724"/>
      <c r="F41" s="1694" t="s">
        <v>32</v>
      </c>
      <c r="G41" s="1719"/>
      <c r="I41" s="724"/>
      <c r="M41" s="1694" t="s">
        <v>32</v>
      </c>
    </row>
    <row r="42" spans="2:14" ht="13.5" thickBot="1" x14ac:dyDescent="0.25">
      <c r="B42" s="724"/>
      <c r="D42" s="726"/>
      <c r="E42" s="1451"/>
      <c r="F42" s="1695">
        <f>F40/F6</f>
        <v>480.7748628400783</v>
      </c>
      <c r="G42" s="1451"/>
      <c r="I42" s="724"/>
      <c r="K42" s="726"/>
      <c r="L42" s="1451"/>
      <c r="M42" s="1695">
        <f>M40/M6</f>
        <v>460.42492006801496</v>
      </c>
    </row>
    <row r="43" spans="2:14" ht="13.5" thickBot="1" x14ac:dyDescent="0.25">
      <c r="B43" s="1712" t="s">
        <v>2453</v>
      </c>
      <c r="C43" s="1696">
        <v>0.8</v>
      </c>
      <c r="D43" s="1697"/>
      <c r="E43" s="1698"/>
      <c r="F43" s="1699">
        <f>F42/C43</f>
        <v>600.96857855009785</v>
      </c>
      <c r="G43" s="1717"/>
      <c r="H43" s="1427"/>
      <c r="I43" s="1712" t="s">
        <v>2454</v>
      </c>
      <c r="J43" s="1696">
        <f>C43</f>
        <v>0.8</v>
      </c>
      <c r="K43" s="1697"/>
      <c r="L43" s="1698"/>
      <c r="M43" s="1700">
        <f>M42/J43</f>
        <v>575.53115008501868</v>
      </c>
    </row>
    <row r="44" spans="2:14" ht="13.5" thickBot="1" x14ac:dyDescent="0.25">
      <c r="B44" s="1712" t="s">
        <v>2455</v>
      </c>
      <c r="C44" s="1696">
        <v>0.9</v>
      </c>
      <c r="D44" s="1697"/>
      <c r="E44" s="1698"/>
      <c r="F44" s="1701">
        <f>F42/C44</f>
        <v>534.19429204453138</v>
      </c>
      <c r="G44" s="1717"/>
      <c r="H44" s="1427"/>
      <c r="I44" s="1713" t="s">
        <v>2456</v>
      </c>
      <c r="J44" s="1702">
        <v>0.9</v>
      </c>
      <c r="K44" s="1703"/>
      <c r="L44" s="1704"/>
      <c r="M44" s="1701">
        <f>M42/J44</f>
        <v>511.58324452001659</v>
      </c>
    </row>
    <row r="45" spans="2:14" ht="13.5" thickBot="1" x14ac:dyDescent="0.25">
      <c r="B45" s="1187"/>
      <c r="C45" s="1705"/>
      <c r="D45" s="1706"/>
      <c r="E45" s="1707"/>
      <c r="F45" s="1723">
        <v>545.04</v>
      </c>
      <c r="G45" s="1721">
        <f>(F43-F45)/F45</f>
        <v>0.102613713764307</v>
      </c>
      <c r="I45" s="1183"/>
      <c r="J45" s="1180"/>
      <c r="K45" s="1202"/>
      <c r="L45" s="1459"/>
      <c r="M45" s="1724">
        <f>'[24]PRR FY24 Comm Treatment Resi '!F95</f>
        <v>522.46750318984471</v>
      </c>
      <c r="N45" s="1721">
        <f>(M43-M45)/M45</f>
        <v>0.10156353566719857</v>
      </c>
    </row>
    <row r="46" spans="2:14" x14ac:dyDescent="0.2">
      <c r="B46" s="1183"/>
      <c r="C46" s="1709"/>
      <c r="E46" s="1459"/>
      <c r="F46" s="1710"/>
      <c r="G46" s="1710"/>
      <c r="I46" s="1183"/>
      <c r="J46" s="1709"/>
      <c r="L46" s="1459"/>
      <c r="M46" s="1710"/>
    </row>
    <row r="47" spans="2:14" x14ac:dyDescent="0.2">
      <c r="B47" s="1711" t="s">
        <v>2457</v>
      </c>
      <c r="I47" s="1711" t="s">
        <v>2457</v>
      </c>
    </row>
    <row r="48" spans="2:14" x14ac:dyDescent="0.2">
      <c r="B48" s="1183"/>
      <c r="G48" s="1710"/>
    </row>
    <row r="49" spans="2:7" x14ac:dyDescent="0.2">
      <c r="G49" s="1471"/>
    </row>
    <row r="50" spans="2:7" x14ac:dyDescent="0.2">
      <c r="B50" s="1343"/>
    </row>
    <row r="53" spans="2:7" x14ac:dyDescent="0.2">
      <c r="B53" s="1722"/>
    </row>
    <row r="54" spans="2:7" x14ac:dyDescent="0.2">
      <c r="B54" s="1722"/>
    </row>
    <row r="55" spans="2:7" x14ac:dyDescent="0.2">
      <c r="B55" s="1722"/>
    </row>
    <row r="56" spans="2:7" x14ac:dyDescent="0.2">
      <c r="B56" s="1722"/>
    </row>
    <row r="68" spans="9:9" ht="13.35" customHeight="1" x14ac:dyDescent="0.2"/>
    <row r="69" spans="9:9" ht="15" customHeight="1" x14ac:dyDescent="0.2"/>
    <row r="74" spans="9:9" ht="12.75" customHeight="1" x14ac:dyDescent="0.2">
      <c r="I74" s="1451"/>
    </row>
    <row r="75" spans="9:9" x14ac:dyDescent="0.2">
      <c r="I75" s="1200"/>
    </row>
    <row r="76" spans="9:9" x14ac:dyDescent="0.2">
      <c r="I76" s="1200"/>
    </row>
    <row r="77" spans="9:9" x14ac:dyDescent="0.2">
      <c r="I77" s="1200"/>
    </row>
    <row r="80" spans="9:9" x14ac:dyDescent="0.2">
      <c r="I80" s="1179"/>
    </row>
    <row r="81" spans="8:9" x14ac:dyDescent="0.2">
      <c r="I81" s="1180"/>
    </row>
    <row r="91" spans="8:9" x14ac:dyDescent="0.2">
      <c r="H91" s="1427">
        <f>(M43-M45)/M45</f>
        <v>0.10156353566719857</v>
      </c>
    </row>
    <row r="104" spans="9:9" ht="13.35" customHeight="1" x14ac:dyDescent="0.2"/>
    <row r="105" spans="9:9" ht="15" customHeight="1" x14ac:dyDescent="0.2"/>
    <row r="109" spans="9:9" x14ac:dyDescent="0.2">
      <c r="I109" s="1200"/>
    </row>
    <row r="110" spans="9:9" ht="12.75" customHeight="1" x14ac:dyDescent="0.2">
      <c r="I110" s="1451"/>
    </row>
    <row r="111" spans="9:9" x14ac:dyDescent="0.2">
      <c r="I111" s="1200"/>
    </row>
    <row r="112" spans="9:9" x14ac:dyDescent="0.2">
      <c r="I112" s="1200"/>
    </row>
    <row r="113" spans="9:9" x14ac:dyDescent="0.2">
      <c r="I113" s="1200"/>
    </row>
    <row r="115" spans="9:9" x14ac:dyDescent="0.2">
      <c r="I115" s="1471"/>
    </row>
    <row r="116" spans="9:9" x14ac:dyDescent="0.2">
      <c r="I116" s="1179"/>
    </row>
    <row r="117" spans="9:9" x14ac:dyDescent="0.2">
      <c r="I117" s="1180"/>
    </row>
    <row r="141" spans="9:9" x14ac:dyDescent="0.2">
      <c r="I141" s="1451"/>
    </row>
    <row r="142" spans="9:9" x14ac:dyDescent="0.2">
      <c r="I142" s="1200"/>
    </row>
    <row r="143" spans="9:9" x14ac:dyDescent="0.2">
      <c r="I143" s="1200"/>
    </row>
    <row r="144" spans="9:9" x14ac:dyDescent="0.2">
      <c r="I144" s="1200"/>
    </row>
  </sheetData>
  <mergeCells count="7">
    <mergeCell ref="B9:F9"/>
    <mergeCell ref="I9:M9"/>
    <mergeCell ref="B1:E1"/>
    <mergeCell ref="B4:F4"/>
    <mergeCell ref="I4:M4"/>
    <mergeCell ref="B5:F5"/>
    <mergeCell ref="I5:M5"/>
  </mergeCells>
  <pageMargins left="0.7" right="0.7" top="0.75" bottom="0.75" header="0.3" footer="0.3"/>
  <pageSetup scale="62" fitToHeight="0" orientation="landscape" r:id="rId1"/>
  <headerFooter>
    <oddFooter>&amp;R&amp;A
&amp;F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18AFC-B71B-4BB3-9F1E-364C962D902D}">
  <sheetPr>
    <pageSetUpPr fitToPage="1"/>
  </sheetPr>
  <dimension ref="A1:O150"/>
  <sheetViews>
    <sheetView topLeftCell="A26" zoomScaleNormal="100" zoomScaleSheetLayoutView="100" workbookViewId="0">
      <selection activeCell="I60" sqref="I60"/>
    </sheetView>
  </sheetViews>
  <sheetFormatPr defaultColWidth="9.140625" defaultRowHeight="12.75" x14ac:dyDescent="0.2"/>
  <cols>
    <col min="1" max="1" width="3.5703125" style="383" customWidth="1"/>
    <col min="2" max="2" width="36.7109375" style="383" customWidth="1"/>
    <col min="3" max="3" width="9.7109375" style="383" customWidth="1"/>
    <col min="4" max="5" width="14.7109375" style="383" customWidth="1"/>
    <col min="6" max="6" width="18.7109375" style="383" customWidth="1"/>
    <col min="7" max="7" width="18.7109375" style="1680" customWidth="1"/>
    <col min="8" max="8" width="7.5703125" style="384" customWidth="1"/>
    <col min="9" max="9" width="36.7109375" style="1343" customWidth="1"/>
    <col min="10" max="10" width="9.7109375" style="1343" customWidth="1"/>
    <col min="11" max="12" width="14.7109375" style="1343" customWidth="1"/>
    <col min="13" max="13" width="18.7109375" style="1343" customWidth="1"/>
    <col min="14" max="14" width="15.85546875" style="383" customWidth="1"/>
    <col min="15" max="15" width="12.85546875" style="383" bestFit="1" customWidth="1"/>
    <col min="16" max="16384" width="9.140625" style="383"/>
  </cols>
  <sheetData>
    <row r="1" spans="1:15" ht="25.5" customHeight="1" x14ac:dyDescent="0.2">
      <c r="B1" s="1896" t="s">
        <v>2297</v>
      </c>
      <c r="C1" s="1896"/>
      <c r="D1" s="1896"/>
      <c r="E1" s="1896"/>
      <c r="F1" s="1674">
        <f ca="1">TODAY()</f>
        <v>45805</v>
      </c>
      <c r="G1" s="1747"/>
    </row>
    <row r="3" spans="1:15" ht="13.5" thickBot="1" x14ac:dyDescent="0.25"/>
    <row r="4" spans="1:15" ht="30" customHeight="1" thickBot="1" x14ac:dyDescent="0.25">
      <c r="B4" s="1910" t="s">
        <v>2433</v>
      </c>
      <c r="C4" s="1911"/>
      <c r="D4" s="1911"/>
      <c r="E4" s="1911"/>
      <c r="F4" s="1912"/>
      <c r="G4" s="1748"/>
      <c r="I4" s="1910" t="s">
        <v>2460</v>
      </c>
      <c r="J4" s="1911"/>
      <c r="K4" s="1911"/>
      <c r="L4" s="1911"/>
      <c r="M4" s="1912"/>
      <c r="N4" s="384"/>
    </row>
    <row r="5" spans="1:15" ht="30" customHeight="1" x14ac:dyDescent="0.2">
      <c r="B5" s="1919" t="s">
        <v>2461</v>
      </c>
      <c r="C5" s="1920"/>
      <c r="D5" s="1920"/>
      <c r="E5" s="1920"/>
      <c r="F5" s="1921"/>
      <c r="G5" s="1749"/>
      <c r="I5" s="1919" t="s">
        <v>2461</v>
      </c>
      <c r="J5" s="1920"/>
      <c r="K5" s="1920"/>
      <c r="L5" s="1920"/>
      <c r="M5" s="1921"/>
      <c r="N5" s="384"/>
    </row>
    <row r="6" spans="1:15" x14ac:dyDescent="0.2">
      <c r="B6" s="731" t="s">
        <v>0</v>
      </c>
      <c r="C6" s="1182">
        <v>9</v>
      </c>
      <c r="D6" s="1183"/>
      <c r="E6" s="1183" t="s">
        <v>1</v>
      </c>
      <c r="F6" s="1181">
        <f>C6*365</f>
        <v>3285</v>
      </c>
      <c r="G6" s="1750"/>
      <c r="H6" s="1727"/>
      <c r="I6" s="731" t="s">
        <v>0</v>
      </c>
      <c r="J6" s="1182">
        <v>9</v>
      </c>
      <c r="K6" s="1183"/>
      <c r="L6" s="1183" t="s">
        <v>1</v>
      </c>
      <c r="M6" s="1181">
        <f>J6*365</f>
        <v>3285</v>
      </c>
      <c r="N6" s="384"/>
    </row>
    <row r="7" spans="1:15" x14ac:dyDescent="0.2">
      <c r="B7" s="724"/>
      <c r="F7" s="736"/>
      <c r="H7" s="1727"/>
      <c r="I7" s="724"/>
      <c r="J7" s="383"/>
      <c r="K7" s="383"/>
      <c r="L7" s="383"/>
      <c r="M7" s="736"/>
      <c r="N7" s="384"/>
    </row>
    <row r="8" spans="1:15" ht="15" customHeight="1" x14ac:dyDescent="0.2">
      <c r="B8" s="1432"/>
      <c r="C8" s="1675"/>
      <c r="D8" s="1433" t="s">
        <v>5</v>
      </c>
      <c r="E8" s="1433" t="s">
        <v>6</v>
      </c>
      <c r="F8" s="1676" t="s">
        <v>7</v>
      </c>
      <c r="G8" s="1748"/>
      <c r="I8" s="1432"/>
      <c r="J8" s="1675"/>
      <c r="K8" s="1433" t="s">
        <v>5</v>
      </c>
      <c r="L8" s="1433" t="s">
        <v>6</v>
      </c>
      <c r="M8" s="1676" t="s">
        <v>7</v>
      </c>
      <c r="N8" s="384"/>
    </row>
    <row r="9" spans="1:15" ht="13.35" customHeight="1" x14ac:dyDescent="0.2">
      <c r="A9" s="1179"/>
      <c r="B9" s="1728" t="s">
        <v>9</v>
      </c>
      <c r="F9" s="1191"/>
      <c r="G9" s="1681"/>
      <c r="I9" s="1728" t="s">
        <v>9</v>
      </c>
      <c r="J9" s="383"/>
      <c r="K9" s="383"/>
      <c r="L9" s="383"/>
      <c r="M9" s="1191"/>
      <c r="N9" s="384"/>
    </row>
    <row r="10" spans="1:15" ht="17.45" customHeight="1" x14ac:dyDescent="0.2">
      <c r="A10" s="1179"/>
      <c r="B10" s="724" t="str">
        <f>'[24]PRR FY24 Spec Treat Res'!B9</f>
        <v>Program Manager (LICSW)</v>
      </c>
      <c r="D10" s="1184">
        <f>'[24]Master Data'!E17</f>
        <v>83639.712</v>
      </c>
      <c r="E10" s="1190">
        <v>1</v>
      </c>
      <c r="F10" s="1191">
        <f>D10*E10</f>
        <v>83639.712</v>
      </c>
      <c r="G10" s="1681"/>
      <c r="H10" s="1184"/>
      <c r="I10" s="724" t="s">
        <v>2462</v>
      </c>
      <c r="J10" s="383"/>
      <c r="K10" s="1184">
        <f>D10</f>
        <v>83639.712</v>
      </c>
      <c r="L10" s="1190">
        <v>1</v>
      </c>
      <c r="M10" s="1191">
        <f>K10*L10</f>
        <v>83639.712</v>
      </c>
      <c r="O10" s="1427"/>
    </row>
    <row r="11" spans="1:15" ht="13.5" customHeight="1" x14ac:dyDescent="0.2">
      <c r="A11" s="1179"/>
      <c r="B11" s="724" t="str">
        <f>'[24]PRR FY24 Spec Treat Res'!B10</f>
        <v>Assistant Program Manager</v>
      </c>
      <c r="D11" s="1184">
        <f>'[24]Master Data'!E18</f>
        <v>73854.144</v>
      </c>
      <c r="E11" s="1190">
        <v>0.5</v>
      </c>
      <c r="F11" s="1191">
        <f>D11*E11</f>
        <v>36927.072</v>
      </c>
      <c r="G11" s="1681"/>
      <c r="H11" s="1184"/>
      <c r="I11" s="724" t="s">
        <v>625</v>
      </c>
      <c r="J11" s="383"/>
      <c r="K11" s="1184">
        <f>D11</f>
        <v>73854.144</v>
      </c>
      <c r="L11" s="1190">
        <v>0.5</v>
      </c>
      <c r="M11" s="1191">
        <f>K11*L11</f>
        <v>36927.072</v>
      </c>
      <c r="O11" s="1427"/>
    </row>
    <row r="12" spans="1:15" x14ac:dyDescent="0.2">
      <c r="A12" s="1179"/>
      <c r="B12" s="731" t="s">
        <v>13</v>
      </c>
      <c r="D12" s="1184"/>
      <c r="E12" s="1190"/>
      <c r="F12" s="1191"/>
      <c r="G12" s="1681"/>
      <c r="H12" s="1184"/>
      <c r="I12" s="731" t="s">
        <v>13</v>
      </c>
      <c r="J12" s="383"/>
      <c r="K12" s="1184"/>
      <c r="L12" s="1190"/>
      <c r="M12" s="1191"/>
      <c r="O12" s="1427"/>
    </row>
    <row r="13" spans="1:15" x14ac:dyDescent="0.2">
      <c r="A13" s="1180"/>
      <c r="B13" s="724" t="s">
        <v>17</v>
      </c>
      <c r="D13" s="1184">
        <f>'[24]Master Data'!E22</f>
        <v>247470</v>
      </c>
      <c r="E13" s="1190">
        <v>0.22500000000000001</v>
      </c>
      <c r="F13" s="1191">
        <f t="shared" ref="F13:F18" si="0">D13*E13</f>
        <v>55680.75</v>
      </c>
      <c r="G13" s="1681"/>
      <c r="H13" s="1184"/>
      <c r="I13" s="724" t="s">
        <v>17</v>
      </c>
      <c r="J13" s="383"/>
      <c r="K13" s="1184">
        <f t="shared" ref="K13:K29" si="1">D13</f>
        <v>247470</v>
      </c>
      <c r="L13" s="1190">
        <v>0.25</v>
      </c>
      <c r="M13" s="1191">
        <f t="shared" ref="M13:M18" si="2">K13*L13</f>
        <v>61867.5</v>
      </c>
      <c r="O13" s="1427"/>
    </row>
    <row r="14" spans="1:15" x14ac:dyDescent="0.2">
      <c r="B14" s="724" t="s">
        <v>2437</v>
      </c>
      <c r="D14" s="1184">
        <f>'[24]Master Data'!E23</f>
        <v>103622.27200000001</v>
      </c>
      <c r="E14" s="1190">
        <v>0.18</v>
      </c>
      <c r="F14" s="1191">
        <f t="shared" si="0"/>
        <v>18652.008960000003</v>
      </c>
      <c r="G14" s="1681"/>
      <c r="H14" s="1184"/>
      <c r="I14" s="724" t="s">
        <v>2437</v>
      </c>
      <c r="J14" s="383"/>
      <c r="K14" s="1184">
        <f t="shared" si="1"/>
        <v>103622.27200000001</v>
      </c>
      <c r="L14" s="1190">
        <v>0.18</v>
      </c>
      <c r="M14" s="1191">
        <f t="shared" si="2"/>
        <v>18652.008960000003</v>
      </c>
      <c r="O14" s="1427"/>
    </row>
    <row r="15" spans="1:15" x14ac:dyDescent="0.2">
      <c r="B15" s="724" t="str">
        <f>'[24]PRR FY24 Spec Treat Res'!B14</f>
        <v>Nursing LPN</v>
      </c>
      <c r="D15" s="1184">
        <f>'[24]Master Data'!E24</f>
        <v>73854.144</v>
      </c>
      <c r="E15" s="1190">
        <v>0.33</v>
      </c>
      <c r="F15" s="1191">
        <f t="shared" si="0"/>
        <v>24371.86752</v>
      </c>
      <c r="G15" s="1681"/>
      <c r="H15" s="1184"/>
      <c r="I15" s="724" t="s">
        <v>2463</v>
      </c>
      <c r="J15" s="383"/>
      <c r="K15" s="1184">
        <f t="shared" si="1"/>
        <v>73854.144</v>
      </c>
      <c r="L15" s="1190">
        <v>0.33</v>
      </c>
      <c r="M15" s="1191">
        <f t="shared" si="2"/>
        <v>24371.86752</v>
      </c>
      <c r="O15" s="1427"/>
    </row>
    <row r="16" spans="1:15" x14ac:dyDescent="0.2">
      <c r="B16" s="724" t="s">
        <v>2464</v>
      </c>
      <c r="D16" s="1184">
        <f>'[24]Master Data'!E27</f>
        <v>83639.712</v>
      </c>
      <c r="E16" s="1190">
        <v>0.18</v>
      </c>
      <c r="F16" s="1191">
        <f t="shared" si="0"/>
        <v>15055.148159999999</v>
      </c>
      <c r="G16" s="1681"/>
      <c r="H16" s="1184"/>
      <c r="I16" s="724" t="s">
        <v>2464</v>
      </c>
      <c r="J16" s="383"/>
      <c r="K16" s="1184">
        <f t="shared" si="1"/>
        <v>83639.712</v>
      </c>
      <c r="L16" s="1190">
        <v>0.18</v>
      </c>
      <c r="M16" s="1191">
        <f t="shared" si="2"/>
        <v>15055.148159999999</v>
      </c>
      <c r="O16" s="1427"/>
    </row>
    <row r="17" spans="2:15" x14ac:dyDescent="0.2">
      <c r="B17" s="724" t="s">
        <v>2465</v>
      </c>
      <c r="D17" s="1184">
        <f>'[24]Master Data'!E28</f>
        <v>70211.44</v>
      </c>
      <c r="E17" s="1190">
        <v>0.33</v>
      </c>
      <c r="F17" s="1191">
        <f t="shared" si="0"/>
        <v>23169.775200000004</v>
      </c>
      <c r="G17" s="1681"/>
      <c r="H17" s="1184"/>
      <c r="I17" s="724" t="s">
        <v>2465</v>
      </c>
      <c r="J17" s="383"/>
      <c r="K17" s="1184">
        <f t="shared" si="1"/>
        <v>70211.44</v>
      </c>
      <c r="L17" s="1190">
        <v>0.33</v>
      </c>
      <c r="M17" s="1191">
        <f t="shared" si="2"/>
        <v>23169.775200000004</v>
      </c>
      <c r="O17" s="1427"/>
    </row>
    <row r="18" spans="2:15" x14ac:dyDescent="0.2">
      <c r="B18" s="724" t="s">
        <v>569</v>
      </c>
      <c r="D18" s="1184">
        <f>'[24]Master Data'!E25</f>
        <v>82681.040000000008</v>
      </c>
      <c r="E18" s="1190">
        <v>0.6</v>
      </c>
      <c r="F18" s="1191">
        <f t="shared" si="0"/>
        <v>49608.624000000003</v>
      </c>
      <c r="G18" s="1681"/>
      <c r="H18" s="1184"/>
      <c r="I18" s="724" t="str">
        <f>B18</f>
        <v>Occupational Therapist</v>
      </c>
      <c r="J18" s="383"/>
      <c r="K18" s="1184">
        <f t="shared" si="1"/>
        <v>82681.040000000008</v>
      </c>
      <c r="L18" s="1190">
        <v>0.6</v>
      </c>
      <c r="M18" s="1191">
        <f t="shared" si="2"/>
        <v>49608.624000000003</v>
      </c>
      <c r="O18" s="1427"/>
    </row>
    <row r="19" spans="2:15" x14ac:dyDescent="0.2">
      <c r="B19" s="731" t="s">
        <v>18</v>
      </c>
      <c r="D19" s="1184"/>
      <c r="E19" s="1190"/>
      <c r="F19" s="1191"/>
      <c r="G19" s="1681"/>
      <c r="H19" s="1729"/>
      <c r="I19" s="731" t="s">
        <v>18</v>
      </c>
      <c r="J19" s="383"/>
      <c r="K19" s="1184">
        <f t="shared" si="1"/>
        <v>0</v>
      </c>
      <c r="L19" s="1190"/>
      <c r="M19" s="1191"/>
      <c r="N19" s="1184"/>
      <c r="O19" s="1427"/>
    </row>
    <row r="20" spans="2:15" x14ac:dyDescent="0.2">
      <c r="B20" s="724" t="s">
        <v>2466</v>
      </c>
      <c r="D20" s="1184">
        <f>'[24]Master Data'!E32</f>
        <v>73854.144</v>
      </c>
      <c r="E20" s="1190">
        <v>1</v>
      </c>
      <c r="F20" s="1191">
        <f t="shared" ref="F20:F29" si="3">D20*E20</f>
        <v>73854.144</v>
      </c>
      <c r="G20" s="1681"/>
      <c r="H20" s="1730"/>
      <c r="I20" s="724" t="s">
        <v>2466</v>
      </c>
      <c r="J20" s="383"/>
      <c r="K20" s="1184">
        <f t="shared" si="1"/>
        <v>73854.144</v>
      </c>
      <c r="L20" s="1190">
        <v>0.5</v>
      </c>
      <c r="M20" s="1191">
        <f t="shared" ref="M20:M29" si="4">K20*L20</f>
        <v>36927.072</v>
      </c>
      <c r="N20" s="1184"/>
      <c r="O20" s="1427"/>
    </row>
    <row r="21" spans="2:15" x14ac:dyDescent="0.2">
      <c r="B21" s="724" t="s">
        <v>2467</v>
      </c>
      <c r="D21" s="1184">
        <f>'[24]Master Data'!E31</f>
        <v>70211.44</v>
      </c>
      <c r="E21" s="1190">
        <v>0.67</v>
      </c>
      <c r="F21" s="1191">
        <f t="shared" si="3"/>
        <v>47041.664800000006</v>
      </c>
      <c r="G21" s="1681"/>
      <c r="H21" s="1730"/>
      <c r="I21" s="724" t="s">
        <v>2467</v>
      </c>
      <c r="J21" s="383"/>
      <c r="K21" s="1184">
        <f t="shared" si="1"/>
        <v>70211.44</v>
      </c>
      <c r="L21" s="1190">
        <v>0.67</v>
      </c>
      <c r="M21" s="1191">
        <f t="shared" si="4"/>
        <v>47041.664800000006</v>
      </c>
      <c r="N21" s="1184"/>
      <c r="O21" s="1427"/>
    </row>
    <row r="22" spans="2:15" x14ac:dyDescent="0.2">
      <c r="B22" s="724" t="s">
        <v>2468</v>
      </c>
      <c r="D22" s="1184">
        <f>'[24]Master Data'!E37</f>
        <v>64438.399999999994</v>
      </c>
      <c r="E22" s="1190">
        <v>0.22</v>
      </c>
      <c r="F22" s="1191">
        <f t="shared" si="3"/>
        <v>14176.447999999999</v>
      </c>
      <c r="G22" s="1681"/>
      <c r="H22" s="1730"/>
      <c r="I22" s="724" t="s">
        <v>2468</v>
      </c>
      <c r="J22" s="383"/>
      <c r="K22" s="1184">
        <f t="shared" si="1"/>
        <v>64438.399999999994</v>
      </c>
      <c r="L22" s="1190">
        <v>0.22</v>
      </c>
      <c r="M22" s="1191">
        <f t="shared" si="4"/>
        <v>14176.447999999999</v>
      </c>
      <c r="N22" s="1184"/>
      <c r="O22" s="1427"/>
    </row>
    <row r="23" spans="2:15" x14ac:dyDescent="0.2">
      <c r="B23" s="724" t="s">
        <v>2444</v>
      </c>
      <c r="D23" s="1184">
        <f>'[24]Master Data'!E33</f>
        <v>56217.241600000001</v>
      </c>
      <c r="E23" s="1190">
        <v>7.4999999999999997E-2</v>
      </c>
      <c r="F23" s="1191">
        <f t="shared" si="3"/>
        <v>4216.2931200000003</v>
      </c>
      <c r="G23" s="1681"/>
      <c r="H23" s="1730"/>
      <c r="I23" s="724" t="s">
        <v>2444</v>
      </c>
      <c r="J23" s="383"/>
      <c r="K23" s="1184">
        <f t="shared" si="1"/>
        <v>56217.241600000001</v>
      </c>
      <c r="L23" s="1190">
        <v>7.4999999999999997E-2</v>
      </c>
      <c r="M23" s="1191">
        <f t="shared" si="4"/>
        <v>4216.2931200000003</v>
      </c>
      <c r="N23" s="1184"/>
      <c r="O23" s="1427"/>
    </row>
    <row r="24" spans="2:15" x14ac:dyDescent="0.2">
      <c r="B24" s="724" t="s">
        <v>2443</v>
      </c>
      <c r="D24" s="1184">
        <f>'[24]Master Data'!E34</f>
        <v>56217.241600000001</v>
      </c>
      <c r="E24" s="1190">
        <v>1</v>
      </c>
      <c r="F24" s="1191">
        <f t="shared" si="3"/>
        <v>56217.241600000001</v>
      </c>
      <c r="G24" s="1681"/>
      <c r="H24" s="1730"/>
      <c r="I24" s="724" t="s">
        <v>2443</v>
      </c>
      <c r="J24" s="383"/>
      <c r="K24" s="1184">
        <f t="shared" si="1"/>
        <v>56217.241600000001</v>
      </c>
      <c r="L24" s="1190">
        <v>1</v>
      </c>
      <c r="M24" s="1191">
        <f t="shared" si="4"/>
        <v>56217.241600000001</v>
      </c>
      <c r="N24" s="1184"/>
      <c r="O24" s="1427"/>
    </row>
    <row r="25" spans="2:15" x14ac:dyDescent="0.2">
      <c r="B25" s="724" t="s">
        <v>18</v>
      </c>
      <c r="D25" s="1184">
        <f>'[24]Master Data'!E39</f>
        <v>43247.567999999999</v>
      </c>
      <c r="E25" s="1190">
        <v>12.6</v>
      </c>
      <c r="F25" s="1191">
        <f t="shared" si="3"/>
        <v>544919.35679999995</v>
      </c>
      <c r="G25" s="1681"/>
      <c r="H25" s="1730"/>
      <c r="I25" s="724" t="s">
        <v>18</v>
      </c>
      <c r="J25" s="383"/>
      <c r="K25" s="1184">
        <f t="shared" si="1"/>
        <v>43247.567999999999</v>
      </c>
      <c r="L25" s="1190">
        <v>12.6</v>
      </c>
      <c r="M25" s="1191">
        <f t="shared" si="4"/>
        <v>544919.35679999995</v>
      </c>
      <c r="N25" s="1184"/>
      <c r="O25" s="1427"/>
    </row>
    <row r="26" spans="2:15" x14ac:dyDescent="0.2">
      <c r="B26" s="724" t="s">
        <v>2469</v>
      </c>
      <c r="D26" s="1184">
        <f>'[24]Master Data'!E41</f>
        <v>43247.567999999999</v>
      </c>
      <c r="E26" s="1190">
        <v>0.45</v>
      </c>
      <c r="F26" s="1191">
        <f t="shared" si="3"/>
        <v>19461.405600000002</v>
      </c>
      <c r="G26" s="1681"/>
      <c r="H26" s="1731"/>
      <c r="I26" s="724" t="s">
        <v>2469</v>
      </c>
      <c r="J26" s="383"/>
      <c r="K26" s="1184">
        <f t="shared" si="1"/>
        <v>43247.567999999999</v>
      </c>
      <c r="L26" s="1190">
        <f>E26</f>
        <v>0.45</v>
      </c>
      <c r="M26" s="1191">
        <f t="shared" si="4"/>
        <v>19461.405600000002</v>
      </c>
      <c r="N26" s="1184"/>
      <c r="O26" s="1427"/>
    </row>
    <row r="27" spans="2:15" x14ac:dyDescent="0.2">
      <c r="B27" s="724" t="s">
        <v>2470</v>
      </c>
      <c r="D27" s="1184">
        <f>'[24]Master Data'!E42</f>
        <v>43247.567999999999</v>
      </c>
      <c r="E27" s="1190">
        <v>0.1125</v>
      </c>
      <c r="F27" s="1191">
        <f t="shared" si="3"/>
        <v>4865.3514000000005</v>
      </c>
      <c r="G27" s="1681"/>
      <c r="H27" s="1730"/>
      <c r="I27" s="724" t="s">
        <v>2470</v>
      </c>
      <c r="J27" s="383"/>
      <c r="K27" s="1184">
        <f t="shared" si="1"/>
        <v>43247.567999999999</v>
      </c>
      <c r="L27" s="1190">
        <f>E27</f>
        <v>0.1125</v>
      </c>
      <c r="M27" s="1191">
        <f t="shared" si="4"/>
        <v>4865.3514000000005</v>
      </c>
      <c r="N27" s="1184"/>
      <c r="O27" s="1427"/>
    </row>
    <row r="28" spans="2:15" x14ac:dyDescent="0.2">
      <c r="B28" s="724" t="s">
        <v>2446</v>
      </c>
      <c r="D28" s="1184">
        <f>D25</f>
        <v>43247.567999999999</v>
      </c>
      <c r="E28" s="1190">
        <v>1</v>
      </c>
      <c r="F28" s="1191">
        <f t="shared" si="3"/>
        <v>43247.567999999999</v>
      </c>
      <c r="G28" s="1681"/>
      <c r="H28" s="1731"/>
      <c r="I28" s="724" t="s">
        <v>2446</v>
      </c>
      <c r="J28" s="383"/>
      <c r="K28" s="1184">
        <f t="shared" si="1"/>
        <v>43247.567999999999</v>
      </c>
      <c r="L28" s="1190">
        <v>1</v>
      </c>
      <c r="M28" s="1191">
        <f t="shared" si="4"/>
        <v>43247.567999999999</v>
      </c>
      <c r="N28" s="1184"/>
      <c r="O28" s="1427"/>
    </row>
    <row r="29" spans="2:15" x14ac:dyDescent="0.2">
      <c r="B29" s="724" t="s">
        <v>2449</v>
      </c>
      <c r="D29" s="1184">
        <f>D28</f>
        <v>43247.567999999999</v>
      </c>
      <c r="E29" s="1190">
        <f>SUM(E25)*'[24]Master Data'!E11</f>
        <v>1.89</v>
      </c>
      <c r="F29" s="1191">
        <f t="shared" si="3"/>
        <v>81737.903519999993</v>
      </c>
      <c r="G29" s="1681"/>
      <c r="H29" s="1731"/>
      <c r="I29" s="724" t="s">
        <v>2449</v>
      </c>
      <c r="J29" s="383"/>
      <c r="K29" s="1184">
        <f t="shared" si="1"/>
        <v>43247.567999999999</v>
      </c>
      <c r="L29" s="1190">
        <f>E29</f>
        <v>1.89</v>
      </c>
      <c r="M29" s="1191">
        <f t="shared" si="4"/>
        <v>81737.903519999993</v>
      </c>
      <c r="N29" s="1184"/>
      <c r="O29" s="1427"/>
    </row>
    <row r="30" spans="2:15" x14ac:dyDescent="0.2">
      <c r="B30" s="1195" t="s">
        <v>20</v>
      </c>
      <c r="C30" s="1196"/>
      <c r="D30" s="1196"/>
      <c r="E30" s="1689">
        <f>SUM(E9:E29)</f>
        <v>22.362500000000001</v>
      </c>
      <c r="F30" s="1198">
        <f>SUM(F10:F29)</f>
        <v>1196842.3346799999</v>
      </c>
      <c r="G30" s="1751"/>
      <c r="H30" s="1718"/>
      <c r="I30" s="1195" t="s">
        <v>20</v>
      </c>
      <c r="J30" s="1196"/>
      <c r="K30" s="1196"/>
      <c r="L30" s="1689">
        <f>SUM(L9:L29)</f>
        <v>21.887499999999999</v>
      </c>
      <c r="M30" s="1198">
        <f>SUM(M10:M29)</f>
        <v>1166102.0126799999</v>
      </c>
      <c r="N30" s="1718"/>
    </row>
    <row r="31" spans="2:15" x14ac:dyDescent="0.2">
      <c r="B31" s="724"/>
      <c r="F31" s="736"/>
      <c r="H31" s="1732"/>
      <c r="I31" s="724"/>
      <c r="J31" s="383"/>
      <c r="K31" s="383"/>
      <c r="L31" s="383"/>
      <c r="M31" s="736"/>
      <c r="N31" s="1732"/>
    </row>
    <row r="32" spans="2:15" x14ac:dyDescent="0.2">
      <c r="B32" s="731" t="s">
        <v>21</v>
      </c>
      <c r="E32" s="1183" t="s">
        <v>22</v>
      </c>
      <c r="F32" s="736"/>
      <c r="I32" s="731" t="s">
        <v>21</v>
      </c>
      <c r="J32" s="383"/>
      <c r="K32" s="383"/>
      <c r="L32" s="1183" t="s">
        <v>22</v>
      </c>
      <c r="M32" s="736"/>
      <c r="N32" s="384"/>
    </row>
    <row r="33" spans="2:15" x14ac:dyDescent="0.2">
      <c r="B33" s="724" t="s">
        <v>23</v>
      </c>
      <c r="C33" s="1733"/>
      <c r="D33" s="726">
        <f>'[24]Master Data'!E46</f>
        <v>0.24970000000000001</v>
      </c>
      <c r="F33" s="1191">
        <f>D33*F30</f>
        <v>298851.53096959594</v>
      </c>
      <c r="G33" s="1681"/>
      <c r="I33" s="724" t="s">
        <v>23</v>
      </c>
      <c r="J33" s="383"/>
      <c r="K33" s="726">
        <f>D33</f>
        <v>0.24970000000000001</v>
      </c>
      <c r="L33" s="383"/>
      <c r="M33" s="1191">
        <f>K33*M30</f>
        <v>291175.67256619601</v>
      </c>
      <c r="N33" s="384"/>
    </row>
    <row r="34" spans="2:15" x14ac:dyDescent="0.2">
      <c r="B34" s="1195" t="s">
        <v>24</v>
      </c>
      <c r="C34" s="1675"/>
      <c r="D34" s="1196"/>
      <c r="E34" s="1197">
        <f>F34/F6</f>
        <v>455.31015697095762</v>
      </c>
      <c r="F34" s="1198">
        <f>F33+F30</f>
        <v>1495693.8656495959</v>
      </c>
      <c r="G34" s="1751"/>
      <c r="H34" s="1718"/>
      <c r="I34" s="1195" t="s">
        <v>24</v>
      </c>
      <c r="J34" s="1196"/>
      <c r="K34" s="1734"/>
      <c r="L34" s="1197">
        <f>M34/M6</f>
        <v>443.61573371269282</v>
      </c>
      <c r="M34" s="1198">
        <f>M33+M30</f>
        <v>1457277.6852461959</v>
      </c>
      <c r="N34" s="384"/>
    </row>
    <row r="35" spans="2:15" x14ac:dyDescent="0.2">
      <c r="B35" s="724"/>
      <c r="C35" s="726"/>
      <c r="F35" s="1691"/>
      <c r="G35" s="1752"/>
      <c r="H35" s="1732"/>
      <c r="I35" s="724"/>
      <c r="J35" s="726"/>
      <c r="K35" s="726"/>
      <c r="L35" s="383"/>
      <c r="M35" s="1691"/>
      <c r="N35" s="384"/>
    </row>
    <row r="36" spans="2:15" x14ac:dyDescent="0.2">
      <c r="B36" s="724" t="s">
        <v>26</v>
      </c>
      <c r="E36" s="1200">
        <f>'[24]Master Data'!E48</f>
        <v>31.419846000000003</v>
      </c>
      <c r="F36" s="1199">
        <f>E36*F6</f>
        <v>103214.19411000001</v>
      </c>
      <c r="G36" s="1715"/>
      <c r="I36" s="724" t="s">
        <v>26</v>
      </c>
      <c r="J36" s="383"/>
      <c r="K36" s="726"/>
      <c r="L36" s="1200">
        <f>E36</f>
        <v>31.419846000000003</v>
      </c>
      <c r="M36" s="1199">
        <f>L36*M6</f>
        <v>103214.19411000001</v>
      </c>
      <c r="N36" s="384"/>
    </row>
    <row r="37" spans="2:15" x14ac:dyDescent="0.2">
      <c r="B37" s="724" t="s">
        <v>27</v>
      </c>
      <c r="E37" s="1200">
        <f>'[24]Master Data'!E49</f>
        <v>25.695</v>
      </c>
      <c r="F37" s="1199">
        <f>E37*F6</f>
        <v>84408.074999999997</v>
      </c>
      <c r="G37" s="1715"/>
      <c r="I37" s="724" t="s">
        <v>27</v>
      </c>
      <c r="J37" s="383"/>
      <c r="K37" s="726"/>
      <c r="L37" s="1200">
        <f>E37</f>
        <v>25.695</v>
      </c>
      <c r="M37" s="1199">
        <f>L37*M6</f>
        <v>84408.074999999997</v>
      </c>
      <c r="N37" s="384"/>
    </row>
    <row r="38" spans="2:15" x14ac:dyDescent="0.2">
      <c r="B38" s="724" t="str">
        <f>'[24]PRR FY24 Spec Treat Res'!B37</f>
        <v>Additional Training Expense</v>
      </c>
      <c r="E38" s="1200">
        <f>'[24]Master Data'!E50</f>
        <v>1.2847500000000001</v>
      </c>
      <c r="F38" s="1199">
        <f>E38*F6</f>
        <v>4220.4037500000004</v>
      </c>
      <c r="G38" s="1715"/>
      <c r="I38" s="724" t="str">
        <f>B38</f>
        <v>Additional Training Expense</v>
      </c>
      <c r="J38" s="383"/>
      <c r="K38" s="383"/>
      <c r="L38" s="1200">
        <f>E38</f>
        <v>1.2847500000000001</v>
      </c>
      <c r="M38" s="1199">
        <f>L38*M6</f>
        <v>4220.4037500000004</v>
      </c>
      <c r="N38" s="384"/>
    </row>
    <row r="39" spans="2:15" x14ac:dyDescent="0.2">
      <c r="B39" s="1195" t="s">
        <v>29</v>
      </c>
      <c r="C39" s="1196"/>
      <c r="D39" s="1196"/>
      <c r="E39" s="1196"/>
      <c r="F39" s="1198">
        <f>SUM(F34:F38)</f>
        <v>1687536.5385095959</v>
      </c>
      <c r="G39" s="1751"/>
      <c r="H39" s="1718"/>
      <c r="I39" s="1195" t="s">
        <v>29</v>
      </c>
      <c r="J39" s="1196"/>
      <c r="K39" s="1734"/>
      <c r="L39" s="1196"/>
      <c r="M39" s="1198">
        <f>SUM(M34:M38)</f>
        <v>1649120.3581061959</v>
      </c>
      <c r="N39" s="384"/>
    </row>
    <row r="40" spans="2:15" x14ac:dyDescent="0.2">
      <c r="B40" s="724" t="s">
        <v>30</v>
      </c>
      <c r="D40" s="726">
        <f>'[24]Master Data'!E53</f>
        <v>0.12</v>
      </c>
      <c r="F40" s="1191">
        <f>D40*F39</f>
        <v>202504.38462115149</v>
      </c>
      <c r="G40" s="1681"/>
      <c r="H40" s="1732"/>
      <c r="I40" s="724" t="s">
        <v>30</v>
      </c>
      <c r="J40" s="383"/>
      <c r="K40" s="726">
        <f>D40</f>
        <v>0.12</v>
      </c>
      <c r="L40" s="383"/>
      <c r="M40" s="1191">
        <f>K40*M39</f>
        <v>197894.44297274351</v>
      </c>
      <c r="N40" s="384"/>
    </row>
    <row r="41" spans="2:15" ht="13.5" thickBot="1" x14ac:dyDescent="0.25">
      <c r="B41" s="1203" t="s">
        <v>31</v>
      </c>
      <c r="C41" s="1204"/>
      <c r="D41" s="1204"/>
      <c r="E41" s="1204"/>
      <c r="F41" s="1205">
        <f>SUM(F39:F40)</f>
        <v>1890040.9231307474</v>
      </c>
      <c r="G41" s="1751"/>
      <c r="H41" s="1718"/>
      <c r="I41" s="1203" t="s">
        <v>31</v>
      </c>
      <c r="J41" s="1204"/>
      <c r="K41" s="1735"/>
      <c r="L41" s="1204"/>
      <c r="M41" s="1205">
        <f>SUM(M39:M40)</f>
        <v>1847014.8010789393</v>
      </c>
      <c r="N41" s="384"/>
    </row>
    <row r="42" spans="2:15" ht="13.5" thickTop="1" x14ac:dyDescent="0.2">
      <c r="B42" s="724" t="str">
        <f>'[24]PRR FY24 Spec Treat Res'!B41</f>
        <v xml:space="preserve">CAF </v>
      </c>
      <c r="D42" s="726">
        <f>'[24]Master Data'!E55</f>
        <v>3.2549514448865162E-2</v>
      </c>
      <c r="F42" s="1693">
        <f>F41*(1+D42)</f>
        <v>1951560.8374671382</v>
      </c>
      <c r="G42" s="1753"/>
      <c r="H42" s="1450"/>
      <c r="I42" s="724" t="str">
        <f>B42</f>
        <v xml:space="preserve">CAF </v>
      </c>
      <c r="J42" s="383"/>
      <c r="K42" s="726">
        <f>D42</f>
        <v>3.2549514448865162E-2</v>
      </c>
      <c r="L42" s="383"/>
      <c r="M42" s="1693">
        <f>M41*(1+K42)</f>
        <v>1907134.2360339263</v>
      </c>
      <c r="N42" s="384"/>
    </row>
    <row r="43" spans="2:15" x14ac:dyDescent="0.2">
      <c r="B43" s="724"/>
      <c r="F43" s="1694" t="s">
        <v>32</v>
      </c>
      <c r="G43" s="1754"/>
      <c r="H43" s="1736"/>
      <c r="I43" s="724"/>
      <c r="J43" s="383"/>
      <c r="K43" s="383"/>
      <c r="L43" s="383"/>
      <c r="M43" s="1694" t="s">
        <v>32</v>
      </c>
      <c r="N43" s="384"/>
    </row>
    <row r="44" spans="2:15" ht="13.5" thickBot="1" x14ac:dyDescent="0.25">
      <c r="B44" s="724"/>
      <c r="D44" s="726"/>
      <c r="E44" s="1451"/>
      <c r="F44" s="1695">
        <f>F42/F6</f>
        <v>594.08244671754585</v>
      </c>
      <c r="G44" s="1755"/>
      <c r="H44" s="1729"/>
      <c r="I44" s="724"/>
      <c r="J44" s="383"/>
      <c r="K44" s="726"/>
      <c r="L44" s="1451"/>
      <c r="M44" s="1695">
        <f>M42/M6</f>
        <v>580.55836713361532</v>
      </c>
      <c r="N44" s="384"/>
      <c r="O44" s="1737"/>
    </row>
    <row r="45" spans="2:15" ht="13.5" thickBot="1" x14ac:dyDescent="0.25">
      <c r="B45" s="1712" t="s">
        <v>2453</v>
      </c>
      <c r="C45" s="1696">
        <v>0.8</v>
      </c>
      <c r="D45" s="1697"/>
      <c r="E45" s="1698"/>
      <c r="F45" s="1699">
        <f>F44/C45</f>
        <v>742.60305839693228</v>
      </c>
      <c r="G45" s="1756"/>
      <c r="I45" s="1746" t="s">
        <v>2454</v>
      </c>
      <c r="J45" s="1738">
        <f>C45</f>
        <v>0.8</v>
      </c>
      <c r="K45" s="1739"/>
      <c r="L45" s="1740"/>
      <c r="M45" s="1741">
        <f>M44/J45</f>
        <v>725.69795891701915</v>
      </c>
      <c r="N45" s="384"/>
    </row>
    <row r="46" spans="2:15" ht="13.5" thickBot="1" x14ac:dyDescent="0.25">
      <c r="B46" s="1713" t="s">
        <v>2455</v>
      </c>
      <c r="C46" s="1702">
        <v>0.9</v>
      </c>
      <c r="D46" s="1208"/>
      <c r="E46" s="1704"/>
      <c r="F46" s="1742">
        <f>F44/C46</f>
        <v>660.09160746393979</v>
      </c>
      <c r="G46" s="1752"/>
      <c r="I46" s="1713" t="s">
        <v>2456</v>
      </c>
      <c r="J46" s="1743">
        <v>0.9</v>
      </c>
      <c r="K46" s="1208"/>
      <c r="L46" s="1704"/>
      <c r="M46" s="1744">
        <f>M44/J46</f>
        <v>645.06485237068364</v>
      </c>
      <c r="N46" s="384"/>
    </row>
    <row r="47" spans="2:15" x14ac:dyDescent="0.2">
      <c r="B47" s="1183"/>
      <c r="C47" s="1709"/>
      <c r="E47" s="1459"/>
      <c r="F47" s="1756">
        <f>'[24]PRR FY24 Spec Treat Res'!F44</f>
        <v>674.03164133903465</v>
      </c>
      <c r="G47" s="1720">
        <f>(F45-F47)/F47</f>
        <v>0.10173323157600334</v>
      </c>
      <c r="H47" s="1736"/>
      <c r="I47" s="383"/>
      <c r="J47" s="1709"/>
      <c r="K47" s="383"/>
      <c r="L47" s="1459"/>
      <c r="M47" s="1756">
        <f>'[24]PRR FY24 Spec Treat Res'!F97</f>
        <v>660.85031391906227</v>
      </c>
      <c r="N47" s="1720">
        <f>(M45-M47)/M47</f>
        <v>9.812758446521537E-2</v>
      </c>
    </row>
    <row r="48" spans="2:15" ht="12.75" customHeight="1" x14ac:dyDescent="0.2">
      <c r="B48" s="1711" t="s">
        <v>2457</v>
      </c>
      <c r="H48" s="1736"/>
      <c r="I48" s="1711" t="s">
        <v>2457</v>
      </c>
      <c r="J48" s="383"/>
      <c r="K48" s="383"/>
      <c r="L48" s="383"/>
      <c r="M48" s="383"/>
      <c r="N48" s="384"/>
    </row>
    <row r="49" spans="2:14" x14ac:dyDescent="0.2">
      <c r="G49" s="1756"/>
      <c r="H49" s="383"/>
      <c r="I49" s="383"/>
      <c r="J49" s="383"/>
      <c r="K49" s="383"/>
      <c r="L49" s="383"/>
      <c r="M49" s="383"/>
    </row>
    <row r="50" spans="2:14" x14ac:dyDescent="0.2">
      <c r="F50" s="1717"/>
      <c r="G50" s="1756"/>
      <c r="I50" s="383"/>
      <c r="J50" s="383"/>
      <c r="K50" s="383"/>
      <c r="L50" s="383"/>
      <c r="M50" s="383"/>
      <c r="N50" s="384"/>
    </row>
    <row r="51" spans="2:14" x14ac:dyDescent="0.2">
      <c r="F51" s="1745"/>
      <c r="G51" s="1757"/>
      <c r="H51" s="1736"/>
      <c r="N51" s="1736"/>
    </row>
    <row r="52" spans="2:14" x14ac:dyDescent="0.2">
      <c r="F52" s="1745"/>
      <c r="G52" s="1757"/>
      <c r="H52" s="1736"/>
      <c r="N52" s="1736"/>
    </row>
    <row r="53" spans="2:14" x14ac:dyDescent="0.2">
      <c r="B53" s="1722"/>
    </row>
    <row r="54" spans="2:14" ht="12.75" customHeight="1" x14ac:dyDescent="0.2">
      <c r="B54" s="1722"/>
    </row>
    <row r="55" spans="2:14" x14ac:dyDescent="0.2">
      <c r="B55" s="1722"/>
    </row>
    <row r="56" spans="2:14" x14ac:dyDescent="0.2">
      <c r="B56" s="1722"/>
    </row>
    <row r="58" spans="2:14" x14ac:dyDescent="0.2">
      <c r="H58" s="383"/>
    </row>
    <row r="59" spans="2:14" ht="12.75" customHeight="1" x14ac:dyDescent="0.2">
      <c r="H59" s="383"/>
    </row>
    <row r="60" spans="2:14" x14ac:dyDescent="0.2">
      <c r="H60" s="383"/>
    </row>
    <row r="61" spans="2:14" x14ac:dyDescent="0.2">
      <c r="H61" s="383"/>
    </row>
    <row r="62" spans="2:14" x14ac:dyDescent="0.2">
      <c r="H62" s="383"/>
    </row>
    <row r="63" spans="2:14" x14ac:dyDescent="0.2">
      <c r="H63" s="383"/>
    </row>
    <row r="64" spans="2:14" x14ac:dyDescent="0.2">
      <c r="H64" s="383"/>
      <c r="N64" s="1680"/>
    </row>
    <row r="65" spans="1:8" s="1343" customFormat="1" x14ac:dyDescent="0.2">
      <c r="A65" s="383"/>
      <c r="B65" s="383"/>
      <c r="C65" s="383"/>
      <c r="D65" s="383"/>
      <c r="E65" s="383"/>
      <c r="F65" s="383"/>
      <c r="G65" s="1680"/>
      <c r="H65" s="383"/>
    </row>
    <row r="66" spans="1:8" s="1343" customFormat="1" x14ac:dyDescent="0.2">
      <c r="A66" s="383"/>
      <c r="B66" s="383"/>
      <c r="C66" s="383"/>
      <c r="D66" s="383"/>
      <c r="E66" s="383"/>
      <c r="F66" s="383"/>
      <c r="G66" s="1680"/>
      <c r="H66" s="383"/>
    </row>
    <row r="67" spans="1:8" s="1343" customFormat="1" x14ac:dyDescent="0.2">
      <c r="A67" s="383"/>
      <c r="B67" s="383"/>
      <c r="C67" s="383"/>
      <c r="D67" s="383"/>
      <c r="E67" s="383"/>
      <c r="F67" s="383"/>
      <c r="G67" s="1680"/>
      <c r="H67" s="383"/>
    </row>
    <row r="68" spans="1:8" s="1343" customFormat="1" x14ac:dyDescent="0.2">
      <c r="A68" s="383"/>
      <c r="B68" s="383"/>
      <c r="C68" s="383"/>
      <c r="D68" s="383"/>
      <c r="E68" s="383"/>
      <c r="F68" s="383"/>
      <c r="G68" s="1680"/>
      <c r="H68" s="383"/>
    </row>
    <row r="69" spans="1:8" s="1343" customFormat="1" x14ac:dyDescent="0.2">
      <c r="A69" s="383"/>
      <c r="B69" s="383"/>
      <c r="C69" s="383"/>
      <c r="D69" s="383"/>
      <c r="E69" s="383"/>
      <c r="F69" s="383"/>
      <c r="G69" s="1680"/>
      <c r="H69" s="383"/>
    </row>
    <row r="70" spans="1:8" s="1343" customFormat="1" x14ac:dyDescent="0.2">
      <c r="A70" s="383"/>
      <c r="B70" s="383"/>
      <c r="C70" s="383"/>
      <c r="D70" s="383"/>
      <c r="E70" s="383"/>
      <c r="F70" s="383"/>
      <c r="G70" s="1680"/>
      <c r="H70" s="383"/>
    </row>
    <row r="71" spans="1:8" s="1343" customFormat="1" x14ac:dyDescent="0.2">
      <c r="A71" s="383"/>
      <c r="B71" s="383"/>
      <c r="C71" s="383"/>
      <c r="D71" s="383"/>
      <c r="E71" s="383"/>
      <c r="F71" s="383"/>
      <c r="G71" s="1680"/>
      <c r="H71" s="383"/>
    </row>
    <row r="72" spans="1:8" s="1343" customFormat="1" x14ac:dyDescent="0.2">
      <c r="A72" s="383"/>
      <c r="B72" s="383"/>
      <c r="C72" s="383"/>
      <c r="D72" s="383"/>
      <c r="E72" s="383"/>
      <c r="F72" s="383"/>
      <c r="G72" s="1680"/>
      <c r="H72" s="383"/>
    </row>
    <row r="73" spans="1:8" s="1343" customFormat="1" ht="13.35" customHeight="1" x14ac:dyDescent="0.2">
      <c r="A73" s="383"/>
      <c r="B73" s="383"/>
      <c r="C73" s="383"/>
      <c r="D73" s="383"/>
      <c r="E73" s="383"/>
      <c r="F73" s="383"/>
      <c r="G73" s="1680"/>
      <c r="H73" s="383"/>
    </row>
    <row r="74" spans="1:8" s="1343" customFormat="1" ht="15" customHeight="1" x14ac:dyDescent="0.2">
      <c r="A74" s="383"/>
      <c r="B74" s="383"/>
      <c r="C74" s="383"/>
      <c r="D74" s="383"/>
      <c r="E74" s="383"/>
      <c r="F74" s="383"/>
      <c r="G74" s="1680"/>
      <c r="H74" s="383"/>
    </row>
    <row r="75" spans="1:8" s="1343" customFormat="1" x14ac:dyDescent="0.2">
      <c r="A75" s="383"/>
      <c r="B75" s="383"/>
      <c r="C75" s="383"/>
      <c r="D75" s="383"/>
      <c r="E75" s="383"/>
      <c r="F75" s="383"/>
      <c r="G75" s="1680"/>
      <c r="H75" s="383"/>
    </row>
    <row r="76" spans="1:8" s="1343" customFormat="1" x14ac:dyDescent="0.2">
      <c r="A76" s="383"/>
      <c r="B76" s="383"/>
      <c r="C76" s="383"/>
      <c r="D76" s="383"/>
      <c r="E76" s="383"/>
      <c r="F76" s="383"/>
      <c r="G76" s="1680"/>
      <c r="H76" s="383"/>
    </row>
    <row r="77" spans="1:8" s="1343" customFormat="1" x14ac:dyDescent="0.2">
      <c r="A77" s="383"/>
      <c r="B77" s="383"/>
      <c r="C77" s="383"/>
      <c r="D77" s="383"/>
      <c r="E77" s="383"/>
      <c r="F77" s="383"/>
      <c r="G77" s="1680"/>
      <c r="H77" s="383"/>
    </row>
    <row r="78" spans="1:8" s="1343" customFormat="1" x14ac:dyDescent="0.2">
      <c r="A78" s="383"/>
      <c r="B78" s="383"/>
      <c r="C78" s="383"/>
      <c r="D78" s="383"/>
      <c r="E78" s="383"/>
      <c r="F78" s="383"/>
      <c r="G78" s="1680"/>
      <c r="H78" s="383"/>
    </row>
    <row r="79" spans="1:8" s="1343" customFormat="1" ht="12.75" customHeight="1" x14ac:dyDescent="0.2">
      <c r="A79" s="383"/>
      <c r="B79" s="383"/>
      <c r="C79" s="383"/>
      <c r="D79" s="383"/>
      <c r="E79" s="383"/>
      <c r="F79" s="383"/>
      <c r="G79" s="1680"/>
      <c r="H79" s="383"/>
    </row>
    <row r="80" spans="1:8" s="1343" customFormat="1" x14ac:dyDescent="0.2">
      <c r="A80" s="1451"/>
      <c r="B80" s="383"/>
      <c r="C80" s="383"/>
      <c r="D80" s="383"/>
      <c r="E80" s="383"/>
      <c r="F80" s="383"/>
      <c r="G80" s="1680"/>
      <c r="H80" s="383"/>
    </row>
    <row r="81" spans="1:8" s="1343" customFormat="1" x14ac:dyDescent="0.2">
      <c r="A81" s="1200"/>
      <c r="B81" s="383"/>
      <c r="C81" s="383"/>
      <c r="D81" s="383"/>
      <c r="E81" s="383"/>
      <c r="F81" s="383"/>
      <c r="G81" s="1680"/>
      <c r="H81" s="383"/>
    </row>
    <row r="82" spans="1:8" s="1343" customFormat="1" x14ac:dyDescent="0.2">
      <c r="A82" s="1200"/>
      <c r="B82" s="383"/>
      <c r="C82" s="383"/>
      <c r="D82" s="383"/>
      <c r="E82" s="383"/>
      <c r="F82" s="383"/>
      <c r="G82" s="1680"/>
      <c r="H82" s="383"/>
    </row>
    <row r="83" spans="1:8" s="1343" customFormat="1" x14ac:dyDescent="0.2">
      <c r="A83" s="1200"/>
      <c r="B83" s="383"/>
      <c r="C83" s="383"/>
      <c r="D83" s="383"/>
      <c r="E83" s="383"/>
      <c r="F83" s="383"/>
      <c r="G83" s="1680"/>
      <c r="H83" s="383"/>
    </row>
    <row r="84" spans="1:8" s="1343" customFormat="1" x14ac:dyDescent="0.2">
      <c r="A84" s="383"/>
      <c r="B84" s="383"/>
      <c r="C84" s="383"/>
      <c r="D84" s="383"/>
      <c r="E84" s="383"/>
      <c r="F84" s="383"/>
      <c r="G84" s="1680"/>
      <c r="H84" s="383"/>
    </row>
    <row r="85" spans="1:8" s="1343" customFormat="1" x14ac:dyDescent="0.2">
      <c r="A85" s="383"/>
      <c r="B85" s="383"/>
      <c r="C85" s="383"/>
      <c r="D85" s="383"/>
      <c r="E85" s="383"/>
      <c r="F85" s="383"/>
      <c r="G85" s="1680"/>
      <c r="H85" s="383"/>
    </row>
    <row r="86" spans="1:8" s="1343" customFormat="1" x14ac:dyDescent="0.2">
      <c r="A86" s="1179"/>
      <c r="B86" s="383"/>
      <c r="C86" s="383"/>
      <c r="D86" s="383"/>
      <c r="E86" s="383"/>
      <c r="F86" s="383"/>
      <c r="G86" s="1680"/>
      <c r="H86" s="383"/>
    </row>
    <row r="87" spans="1:8" s="1343" customFormat="1" x14ac:dyDescent="0.2">
      <c r="A87" s="1180"/>
      <c r="B87" s="383"/>
      <c r="C87" s="383"/>
      <c r="D87" s="383"/>
      <c r="E87" s="383"/>
      <c r="F87" s="383"/>
      <c r="G87" s="1680"/>
      <c r="H87" s="383"/>
    </row>
    <row r="88" spans="1:8" s="1343" customFormat="1" x14ac:dyDescent="0.2">
      <c r="A88" s="383"/>
      <c r="B88" s="383"/>
      <c r="C88" s="383"/>
      <c r="D88" s="383"/>
      <c r="E88" s="383"/>
      <c r="F88" s="383"/>
      <c r="G88" s="1680"/>
      <c r="H88" s="383"/>
    </row>
    <row r="89" spans="1:8" s="1343" customFormat="1" x14ac:dyDescent="0.2">
      <c r="A89" s="383"/>
      <c r="B89" s="383"/>
      <c r="C89" s="383"/>
      <c r="D89" s="383"/>
      <c r="E89" s="383"/>
      <c r="F89" s="383"/>
      <c r="G89" s="1680"/>
      <c r="H89" s="383"/>
    </row>
    <row r="90" spans="1:8" s="1343" customFormat="1" x14ac:dyDescent="0.2">
      <c r="A90" s="383"/>
      <c r="B90" s="383"/>
      <c r="C90" s="383"/>
      <c r="D90" s="383"/>
      <c r="E90" s="383"/>
      <c r="F90" s="383"/>
      <c r="G90" s="1680"/>
      <c r="H90" s="383"/>
    </row>
    <row r="91" spans="1:8" s="1343" customFormat="1" x14ac:dyDescent="0.2">
      <c r="A91" s="383"/>
      <c r="B91" s="383"/>
      <c r="C91" s="383"/>
      <c r="D91" s="383"/>
      <c r="E91" s="383"/>
      <c r="F91" s="383"/>
      <c r="G91" s="1680"/>
      <c r="H91" s="383"/>
    </row>
    <row r="92" spans="1:8" s="1343" customFormat="1" x14ac:dyDescent="0.2">
      <c r="A92" s="383"/>
      <c r="B92" s="383"/>
      <c r="C92" s="383"/>
      <c r="D92" s="383"/>
      <c r="E92" s="383"/>
      <c r="F92" s="383"/>
      <c r="G92" s="1680"/>
      <c r="H92" s="383"/>
    </row>
    <row r="93" spans="1:8" s="1343" customFormat="1" x14ac:dyDescent="0.2">
      <c r="A93" s="383"/>
      <c r="B93" s="383"/>
      <c r="C93" s="383"/>
      <c r="D93" s="383"/>
      <c r="E93" s="383"/>
      <c r="F93" s="383"/>
      <c r="G93" s="1680"/>
      <c r="H93" s="383"/>
    </row>
    <row r="94" spans="1:8" s="1343" customFormat="1" x14ac:dyDescent="0.2">
      <c r="A94" s="383"/>
      <c r="B94" s="383"/>
      <c r="C94" s="383"/>
      <c r="D94" s="383"/>
      <c r="E94" s="383"/>
      <c r="F94" s="383"/>
      <c r="G94" s="1680"/>
      <c r="H94" s="383"/>
    </row>
    <row r="95" spans="1:8" s="1343" customFormat="1" x14ac:dyDescent="0.2">
      <c r="A95" s="383"/>
      <c r="B95" s="383"/>
      <c r="C95" s="383"/>
      <c r="D95" s="383"/>
      <c r="E95" s="383"/>
      <c r="F95" s="383"/>
      <c r="G95" s="1680"/>
      <c r="H95" s="383"/>
    </row>
    <row r="96" spans="1:8" s="1343" customFormat="1" x14ac:dyDescent="0.2">
      <c r="A96" s="383"/>
      <c r="B96" s="383"/>
      <c r="C96" s="383"/>
      <c r="D96" s="383"/>
      <c r="E96" s="383"/>
      <c r="F96" s="383"/>
      <c r="G96" s="1680"/>
      <c r="H96" s="383"/>
    </row>
    <row r="97" spans="7:8" s="1343" customFormat="1" x14ac:dyDescent="0.2">
      <c r="G97" s="1758"/>
      <c r="H97" s="383"/>
    </row>
    <row r="98" spans="7:8" s="1343" customFormat="1" x14ac:dyDescent="0.2">
      <c r="G98" s="1758"/>
      <c r="H98" s="383"/>
    </row>
    <row r="99" spans="7:8" s="1343" customFormat="1" x14ac:dyDescent="0.2">
      <c r="G99" s="1758"/>
      <c r="H99" s="383"/>
    </row>
    <row r="100" spans="7:8" s="1343" customFormat="1" x14ac:dyDescent="0.2">
      <c r="G100" s="1758"/>
      <c r="H100" s="383"/>
    </row>
    <row r="101" spans="7:8" s="1343" customFormat="1" x14ac:dyDescent="0.2">
      <c r="G101" s="1758"/>
      <c r="H101" s="383"/>
    </row>
    <row r="102" spans="7:8" s="1343" customFormat="1" x14ac:dyDescent="0.2">
      <c r="G102" s="1758"/>
      <c r="H102" s="383"/>
    </row>
    <row r="103" spans="7:8" s="1343" customFormat="1" x14ac:dyDescent="0.2">
      <c r="G103" s="1758"/>
      <c r="H103" s="383"/>
    </row>
    <row r="104" spans="7:8" s="1343" customFormat="1" x14ac:dyDescent="0.2">
      <c r="G104" s="1758"/>
      <c r="H104" s="383"/>
    </row>
    <row r="105" spans="7:8" s="1343" customFormat="1" x14ac:dyDescent="0.2">
      <c r="G105" s="1758"/>
      <c r="H105" s="383"/>
    </row>
    <row r="109" spans="7:8" s="1343" customFormat="1" ht="13.35" customHeight="1" x14ac:dyDescent="0.2">
      <c r="G109" s="1758"/>
      <c r="H109" s="384"/>
    </row>
    <row r="110" spans="7:8" s="1343" customFormat="1" ht="15" customHeight="1" x14ac:dyDescent="0.2">
      <c r="G110" s="1758"/>
      <c r="H110" s="384"/>
    </row>
    <row r="115" spans="1:1" ht="12.75" customHeight="1" x14ac:dyDescent="0.2">
      <c r="A115" s="1200"/>
    </row>
    <row r="116" spans="1:1" x14ac:dyDescent="0.2">
      <c r="A116" s="1451"/>
    </row>
    <row r="117" spans="1:1" x14ac:dyDescent="0.2">
      <c r="A117" s="1200"/>
    </row>
    <row r="118" spans="1:1" x14ac:dyDescent="0.2">
      <c r="A118" s="1200"/>
    </row>
    <row r="119" spans="1:1" x14ac:dyDescent="0.2">
      <c r="A119" s="1200"/>
    </row>
    <row r="121" spans="1:1" x14ac:dyDescent="0.2">
      <c r="A121" s="1471"/>
    </row>
    <row r="122" spans="1:1" x14ac:dyDescent="0.2">
      <c r="A122" s="1179"/>
    </row>
    <row r="123" spans="1:1" x14ac:dyDescent="0.2">
      <c r="A123" s="1180"/>
    </row>
    <row r="147" spans="1:1" x14ac:dyDescent="0.2">
      <c r="A147" s="1451"/>
    </row>
    <row r="148" spans="1:1" x14ac:dyDescent="0.2">
      <c r="A148" s="1200"/>
    </row>
    <row r="149" spans="1:1" x14ac:dyDescent="0.2">
      <c r="A149" s="1200"/>
    </row>
    <row r="150" spans="1:1" x14ac:dyDescent="0.2">
      <c r="A150" s="1200"/>
    </row>
  </sheetData>
  <mergeCells count="5">
    <mergeCell ref="B1:E1"/>
    <mergeCell ref="B4:F4"/>
    <mergeCell ref="I4:M4"/>
    <mergeCell ref="B5:F5"/>
    <mergeCell ref="I5:M5"/>
  </mergeCells>
  <pageMargins left="0.7" right="0.7" top="0.75" bottom="0.75" header="0.3" footer="0.3"/>
  <pageSetup scale="56" fitToHeight="0" orientation="landscape" r:id="rId1"/>
  <headerFooter>
    <oddFooter>&amp;R&amp;A
&amp;F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CD5D4-4D32-46F1-B0CD-63AC1E65B477}">
  <sheetPr>
    <pageSetUpPr fitToPage="1"/>
  </sheetPr>
  <dimension ref="A1:L87"/>
  <sheetViews>
    <sheetView topLeftCell="A13" zoomScaleNormal="100" zoomScaleSheetLayoutView="100" workbookViewId="0">
      <selection activeCell="G48" sqref="G48"/>
    </sheetView>
  </sheetViews>
  <sheetFormatPr defaultColWidth="9.140625" defaultRowHeight="12.75" x14ac:dyDescent="0.2"/>
  <cols>
    <col min="1" max="1" width="3.5703125" style="383" customWidth="1"/>
    <col min="2" max="2" width="36.7109375" style="383" customWidth="1"/>
    <col min="3" max="3" width="9.7109375" style="383" customWidth="1"/>
    <col min="4" max="5" width="14.7109375" style="383" customWidth="1"/>
    <col min="6" max="6" width="11" style="383" bestFit="1" customWidth="1"/>
    <col min="7" max="7" width="17.140625" style="384" customWidth="1"/>
    <col min="8" max="8" width="36.85546875" style="383" bestFit="1" customWidth="1"/>
    <col min="9" max="9" width="25.85546875" style="383" customWidth="1"/>
    <col min="10" max="16384" width="9.140625" style="383"/>
  </cols>
  <sheetData>
    <row r="1" spans="1:12" ht="25.5" customHeight="1" x14ac:dyDescent="0.2">
      <c r="B1" s="1896" t="s">
        <v>2297</v>
      </c>
      <c r="C1" s="1896"/>
      <c r="D1" s="1896"/>
      <c r="E1" s="1896"/>
      <c r="F1" s="1674">
        <f ca="1">TODAY()</f>
        <v>45805</v>
      </c>
      <c r="H1" s="1343"/>
      <c r="I1" s="1343"/>
      <c r="J1" s="1343"/>
      <c r="K1" s="1343"/>
      <c r="L1" s="1343"/>
    </row>
    <row r="2" spans="1:12" x14ac:dyDescent="0.2">
      <c r="H2" s="1343"/>
      <c r="I2" s="1343"/>
      <c r="J2" s="1343"/>
      <c r="K2" s="1343"/>
      <c r="L2" s="1343"/>
    </row>
    <row r="3" spans="1:12" ht="13.5" thickBot="1" x14ac:dyDescent="0.25">
      <c r="H3" s="1343"/>
      <c r="I3" s="1343"/>
      <c r="J3" s="1343"/>
      <c r="K3" s="1343"/>
      <c r="L3" s="1343"/>
    </row>
    <row r="4" spans="1:12" s="1759" customFormat="1" ht="30" customHeight="1" x14ac:dyDescent="0.25">
      <c r="B4" s="1919" t="s">
        <v>2472</v>
      </c>
      <c r="C4" s="1920"/>
      <c r="D4" s="1920"/>
      <c r="E4" s="1920"/>
      <c r="F4" s="1921"/>
    </row>
    <row r="5" spans="1:12" x14ac:dyDescent="0.2">
      <c r="B5" s="731" t="s">
        <v>0</v>
      </c>
      <c r="C5" s="1182">
        <v>9</v>
      </c>
      <c r="D5" s="1183"/>
      <c r="E5" s="1183" t="s">
        <v>1</v>
      </c>
      <c r="F5" s="1181">
        <f>C5*365</f>
        <v>3285</v>
      </c>
      <c r="G5" s="1727"/>
    </row>
    <row r="6" spans="1:12" x14ac:dyDescent="0.2">
      <c r="B6" s="724"/>
      <c r="F6" s="736"/>
      <c r="G6" s="1727"/>
    </row>
    <row r="7" spans="1:12" ht="15" customHeight="1" x14ac:dyDescent="0.2">
      <c r="B7" s="1432"/>
      <c r="C7" s="1675"/>
      <c r="D7" s="1433" t="s">
        <v>5</v>
      </c>
      <c r="E7" s="1433" t="s">
        <v>6</v>
      </c>
      <c r="F7" s="1676" t="s">
        <v>7</v>
      </c>
    </row>
    <row r="8" spans="1:12" ht="13.35" customHeight="1" x14ac:dyDescent="0.2">
      <c r="A8" s="1179"/>
      <c r="B8" s="1728" t="s">
        <v>9</v>
      </c>
      <c r="F8" s="1191"/>
    </row>
    <row r="9" spans="1:12" ht="17.45" customHeight="1" x14ac:dyDescent="0.2">
      <c r="A9" s="1179"/>
      <c r="B9" s="724" t="str">
        <f>'[25]Specialty Treatment Resi CCTR'!B10</f>
        <v>Program Manager (LICSW)</v>
      </c>
      <c r="D9" s="1184">
        <f>'[25]Master Data'!E17</f>
        <v>83639.712</v>
      </c>
      <c r="E9" s="1190">
        <v>1</v>
      </c>
      <c r="F9" s="1191">
        <f>D9*E9</f>
        <v>83639.712</v>
      </c>
    </row>
    <row r="10" spans="1:12" ht="13.5" customHeight="1" x14ac:dyDescent="0.2">
      <c r="A10" s="1179"/>
      <c r="B10" s="724" t="str">
        <f>'[25]Specialty Treatment Resi CCTR'!B11</f>
        <v>Assistant Program Manager</v>
      </c>
      <c r="D10" s="1184">
        <f>'[25]Master Data'!E18</f>
        <v>73854.144</v>
      </c>
      <c r="E10" s="1190">
        <v>0.5</v>
      </c>
      <c r="F10" s="1191">
        <f>D10*E10</f>
        <v>36927.072</v>
      </c>
      <c r="H10" s="1760"/>
    </row>
    <row r="11" spans="1:12" x14ac:dyDescent="0.2">
      <c r="A11" s="1179"/>
      <c r="B11" s="731" t="s">
        <v>13</v>
      </c>
      <c r="D11" s="1184"/>
      <c r="E11" s="1190"/>
      <c r="F11" s="1191"/>
    </row>
    <row r="12" spans="1:12" x14ac:dyDescent="0.2">
      <c r="A12" s="1180"/>
      <c r="B12" s="724" t="str">
        <f>'[25]Specialty Treatment Resi CCTR'!B13</f>
        <v>Psychiatrist</v>
      </c>
      <c r="D12" s="1184">
        <f>'[25]Specialty Treatment Resi CCTR'!D13</f>
        <v>247470</v>
      </c>
      <c r="E12" s="1190">
        <v>0.34</v>
      </c>
      <c r="F12" s="1191">
        <f t="shared" ref="F12:F17" si="0">D12*E12</f>
        <v>84139.8</v>
      </c>
      <c r="G12" s="1729"/>
    </row>
    <row r="13" spans="1:12" x14ac:dyDescent="0.2">
      <c r="B13" s="724" t="str">
        <f>'[25]Specialty Treatment Resi CCTR'!B14</f>
        <v xml:space="preserve">Nursing RN Non Masters </v>
      </c>
      <c r="D13" s="1184">
        <f>'[25]Specialty Treatment Resi CCTR'!D14</f>
        <v>103622.27200000001</v>
      </c>
      <c r="E13" s="1190">
        <v>0.18</v>
      </c>
      <c r="F13" s="1191">
        <f t="shared" si="0"/>
        <v>18652.008960000003</v>
      </c>
      <c r="G13" s="1729"/>
    </row>
    <row r="14" spans="1:12" x14ac:dyDescent="0.2">
      <c r="B14" s="724" t="str">
        <f>'[25]Specialty Treatment Resi CCTR'!B15</f>
        <v>Nursing LPN</v>
      </c>
      <c r="D14" s="1184">
        <f>'[25]Specialty Treatment Resi CCTR'!D15</f>
        <v>73854.144</v>
      </c>
      <c r="E14" s="1190">
        <v>0.5</v>
      </c>
      <c r="F14" s="1191">
        <f t="shared" si="0"/>
        <v>36927.072</v>
      </c>
      <c r="G14" s="1729"/>
    </row>
    <row r="15" spans="1:12" x14ac:dyDescent="0.2">
      <c r="B15" s="724" t="str">
        <f>'[25]Master Data'!C27</f>
        <v>Clinician w/Independent Licensure</v>
      </c>
      <c r="D15" s="1184">
        <f>'[25]Specialty Treatment Resi CCTR'!D16</f>
        <v>83639.712</v>
      </c>
      <c r="E15" s="1190">
        <v>0.22</v>
      </c>
      <c r="F15" s="1191">
        <f t="shared" si="0"/>
        <v>18400.736639999999</v>
      </c>
      <c r="G15" s="1729"/>
    </row>
    <row r="16" spans="1:12" x14ac:dyDescent="0.2">
      <c r="B16" s="724" t="s">
        <v>2473</v>
      </c>
      <c r="D16" s="1184">
        <f>'[25]Specialty Treatment Resi CCTR'!D17</f>
        <v>70211.44</v>
      </c>
      <c r="E16" s="1190">
        <v>0.5</v>
      </c>
      <c r="F16" s="1191">
        <f t="shared" si="0"/>
        <v>35105.72</v>
      </c>
      <c r="G16" s="1729"/>
    </row>
    <row r="17" spans="2:8" x14ac:dyDescent="0.2">
      <c r="B17" s="724" t="str">
        <f>'[25]Specialty Treatment Resi CCTR'!B18</f>
        <v>Occupational Therapist</v>
      </c>
      <c r="D17" s="1184">
        <f>'[25]Specialty Treatment Resi CCTR'!D18</f>
        <v>82681.040000000008</v>
      </c>
      <c r="E17" s="1190">
        <v>1</v>
      </c>
      <c r="F17" s="1191">
        <f t="shared" si="0"/>
        <v>82681.040000000008</v>
      </c>
      <c r="G17" s="1729"/>
    </row>
    <row r="18" spans="2:8" x14ac:dyDescent="0.2">
      <c r="B18" s="731" t="s">
        <v>18</v>
      </c>
      <c r="D18" s="1184"/>
      <c r="E18" s="1190"/>
      <c r="F18" s="1191"/>
      <c r="G18" s="1729"/>
    </row>
    <row r="19" spans="2:8" x14ac:dyDescent="0.2">
      <c r="B19" s="724" t="s">
        <v>2466</v>
      </c>
      <c r="D19" s="1184">
        <f>'[25]Master Data'!E32</f>
        <v>73854.144</v>
      </c>
      <c r="E19" s="1190">
        <v>0.5</v>
      </c>
      <c r="F19" s="1191">
        <f t="shared" ref="F19:F28" si="1">D19*E19</f>
        <v>36927.072</v>
      </c>
      <c r="G19" s="1729"/>
    </row>
    <row r="20" spans="2:8" x14ac:dyDescent="0.2">
      <c r="B20" s="724" t="s">
        <v>2467</v>
      </c>
      <c r="D20" s="1184">
        <f>'[25]Master Data'!E31</f>
        <v>70211.44</v>
      </c>
      <c r="E20" s="1190">
        <v>0.67</v>
      </c>
      <c r="F20" s="1191">
        <f t="shared" si="1"/>
        <v>47041.664800000006</v>
      </c>
      <c r="G20" s="1729"/>
    </row>
    <row r="21" spans="2:8" x14ac:dyDescent="0.2">
      <c r="B21" s="724" t="s">
        <v>2468</v>
      </c>
      <c r="D21" s="1184">
        <f>'[25]Master Data'!E37</f>
        <v>64438.399999999994</v>
      </c>
      <c r="E21" s="1190">
        <v>0.22</v>
      </c>
      <c r="F21" s="1191">
        <f t="shared" si="1"/>
        <v>14176.447999999999</v>
      </c>
      <c r="G21" s="1729"/>
    </row>
    <row r="22" spans="2:8" x14ac:dyDescent="0.2">
      <c r="B22" s="724" t="str">
        <f>'[25]Master Data'!C33</f>
        <v>Life Coach /DCIII</v>
      </c>
      <c r="D22" s="1184">
        <f>'[25]Master Data'!E33</f>
        <v>56217.241600000001</v>
      </c>
      <c r="E22" s="1190">
        <v>0.11</v>
      </c>
      <c r="F22" s="1191">
        <f t="shared" si="1"/>
        <v>6183.8965760000001</v>
      </c>
      <c r="G22" s="1729"/>
      <c r="H22" s="1761"/>
    </row>
    <row r="23" spans="2:8" x14ac:dyDescent="0.2">
      <c r="B23" s="724" t="s">
        <v>2443</v>
      </c>
      <c r="D23" s="1184">
        <f>'[25]Master Data'!E34</f>
        <v>56217.241600000001</v>
      </c>
      <c r="E23" s="1190">
        <v>1</v>
      </c>
      <c r="F23" s="1191">
        <f t="shared" si="1"/>
        <v>56217.241600000001</v>
      </c>
    </row>
    <row r="24" spans="2:8" x14ac:dyDescent="0.2">
      <c r="B24" s="1762" t="s">
        <v>18</v>
      </c>
      <c r="D24" s="1184">
        <f>'[25]Master Data'!E39</f>
        <v>43247.567999999999</v>
      </c>
      <c r="E24" s="1190">
        <v>15.4</v>
      </c>
      <c r="F24" s="1191">
        <f t="shared" si="1"/>
        <v>666012.54720000003</v>
      </c>
      <c r="G24" s="1729"/>
    </row>
    <row r="25" spans="2:8" x14ac:dyDescent="0.2">
      <c r="B25" s="724" t="s">
        <v>2469</v>
      </c>
      <c r="D25" s="1184">
        <f>'[25]Master Data'!E41</f>
        <v>43247.567999999999</v>
      </c>
      <c r="E25" s="1190">
        <v>0.45</v>
      </c>
      <c r="F25" s="1191">
        <f t="shared" si="1"/>
        <v>19461.405600000002</v>
      </c>
    </row>
    <row r="26" spans="2:8" x14ac:dyDescent="0.2">
      <c r="B26" s="724" t="s">
        <v>2470</v>
      </c>
      <c r="D26" s="1184">
        <f>'[25]Master Data'!E42</f>
        <v>43247.567999999999</v>
      </c>
      <c r="E26" s="1190">
        <v>0.23</v>
      </c>
      <c r="F26" s="1191">
        <f t="shared" si="1"/>
        <v>9946.9406400000007</v>
      </c>
    </row>
    <row r="27" spans="2:8" x14ac:dyDescent="0.2">
      <c r="B27" s="724" t="s">
        <v>2446</v>
      </c>
      <c r="D27" s="1184">
        <f>'[25]Master Data'!E40</f>
        <v>43247.567999999999</v>
      </c>
      <c r="E27" s="1190">
        <v>1</v>
      </c>
      <c r="F27" s="1191">
        <f t="shared" si="1"/>
        <v>43247.567999999999</v>
      </c>
    </row>
    <row r="28" spans="2:8" x14ac:dyDescent="0.2">
      <c r="B28" s="724" t="s">
        <v>2449</v>
      </c>
      <c r="D28" s="1184">
        <f>'[25]Master Data'!E43</f>
        <v>43247.567999999999</v>
      </c>
      <c r="E28" s="1190">
        <f>E24*'[25]Master Data'!E11</f>
        <v>2.31</v>
      </c>
      <c r="F28" s="1191">
        <f t="shared" si="1"/>
        <v>99901.882079999996</v>
      </c>
    </row>
    <row r="29" spans="2:8" x14ac:dyDescent="0.2">
      <c r="B29" s="1195" t="s">
        <v>20</v>
      </c>
      <c r="C29" s="1196"/>
      <c r="D29" s="1196"/>
      <c r="E29" s="1689">
        <f>SUM(E8:E28)</f>
        <v>26.13</v>
      </c>
      <c r="F29" s="1198">
        <f>SUM(F9:F28)</f>
        <v>1395589.828096</v>
      </c>
      <c r="G29" s="1198"/>
      <c r="H29" s="1184"/>
    </row>
    <row r="30" spans="2:8" x14ac:dyDescent="0.2">
      <c r="B30" s="731" t="s">
        <v>21</v>
      </c>
      <c r="E30" s="1183" t="s">
        <v>22</v>
      </c>
      <c r="F30" s="736"/>
    </row>
    <row r="31" spans="2:8" x14ac:dyDescent="0.2">
      <c r="B31" s="724" t="s">
        <v>23</v>
      </c>
      <c r="D31" s="726">
        <f>'[25]Master Data'!E46</f>
        <v>0.24970000000000001</v>
      </c>
      <c r="F31" s="1191">
        <f>D31*F29</f>
        <v>348478.78007557121</v>
      </c>
    </row>
    <row r="32" spans="2:8" x14ac:dyDescent="0.2">
      <c r="B32" s="1195" t="s">
        <v>24</v>
      </c>
      <c r="C32" s="1196"/>
      <c r="D32" s="1196"/>
      <c r="E32" s="1197">
        <f>F32/F5</f>
        <v>530.91890659712976</v>
      </c>
      <c r="F32" s="1198">
        <f>F31+F29</f>
        <v>1744068.6081715713</v>
      </c>
    </row>
    <row r="33" spans="2:8" x14ac:dyDescent="0.2">
      <c r="B33" s="724"/>
      <c r="C33" s="1763"/>
      <c r="F33" s="1691"/>
    </row>
    <row r="34" spans="2:8" x14ac:dyDescent="0.2">
      <c r="B34" s="724" t="s">
        <v>26</v>
      </c>
      <c r="E34" s="1200">
        <f>'[25]Master Data'!E48</f>
        <v>31.419846000000003</v>
      </c>
      <c r="F34" s="1199">
        <f>E34*F5</f>
        <v>103214.19411000001</v>
      </c>
    </row>
    <row r="35" spans="2:8" x14ac:dyDescent="0.2">
      <c r="B35" s="724" t="s">
        <v>2474</v>
      </c>
      <c r="E35" s="1200">
        <f>5.48</f>
        <v>5.48</v>
      </c>
      <c r="F35" s="1199">
        <f>E35*F5</f>
        <v>18001.800000000003</v>
      </c>
    </row>
    <row r="36" spans="2:8" x14ac:dyDescent="0.2">
      <c r="B36" s="724" t="str">
        <f>'[25]Master Data'!C49</f>
        <v>Programmatic expenses</v>
      </c>
      <c r="E36" s="1200">
        <f>'[25]Master Data'!E49</f>
        <v>25.695</v>
      </c>
      <c r="F36" s="1199">
        <f>E36*F5</f>
        <v>84408.074999999997</v>
      </c>
    </row>
    <row r="37" spans="2:8" x14ac:dyDescent="0.2">
      <c r="B37" s="724" t="s">
        <v>2475</v>
      </c>
      <c r="E37" s="1200">
        <f>'[25]Master Data'!E50</f>
        <v>1.2847500000000001</v>
      </c>
      <c r="F37" s="1199">
        <f>E37*F5</f>
        <v>4220.4037500000004</v>
      </c>
    </row>
    <row r="38" spans="2:8" x14ac:dyDescent="0.2">
      <c r="B38" s="1195" t="s">
        <v>29</v>
      </c>
      <c r="C38" s="1196"/>
      <c r="D38" s="1196"/>
      <c r="E38" s="1196"/>
      <c r="F38" s="1198">
        <f>SUM(F32:F37)</f>
        <v>1953913.0810315714</v>
      </c>
      <c r="G38" s="1764"/>
    </row>
    <row r="39" spans="2:8" x14ac:dyDescent="0.2">
      <c r="B39" s="724" t="s">
        <v>30</v>
      </c>
      <c r="D39" s="726">
        <f>'[25]Master Data'!E53</f>
        <v>0.12</v>
      </c>
      <c r="F39" s="1191">
        <f>D39*F38</f>
        <v>234469.56972378856</v>
      </c>
    </row>
    <row r="40" spans="2:8" ht="13.5" thickBot="1" x14ac:dyDescent="0.25">
      <c r="B40" s="1203" t="s">
        <v>31</v>
      </c>
      <c r="C40" s="1204"/>
      <c r="D40" s="1204"/>
      <c r="E40" s="1204"/>
      <c r="F40" s="1205">
        <f>SUM(F38:F39)</f>
        <v>2188382.6507553598</v>
      </c>
      <c r="G40" s="1764"/>
    </row>
    <row r="41" spans="2:8" ht="13.5" thickTop="1" x14ac:dyDescent="0.2">
      <c r="B41" s="724" t="str">
        <f>'[25]Master Data'!C55</f>
        <v>CAF - BASELINE</v>
      </c>
      <c r="D41" s="726">
        <f>'[25]Master Data'!E55</f>
        <v>3.2549514448865162E-2</v>
      </c>
      <c r="F41" s="1693">
        <f>F40*(1+D41)</f>
        <v>2259613.4434657674</v>
      </c>
      <c r="G41" s="1764"/>
    </row>
    <row r="42" spans="2:8" x14ac:dyDescent="0.2">
      <c r="B42" s="724"/>
      <c r="F42" s="1694" t="s">
        <v>32</v>
      </c>
    </row>
    <row r="43" spans="2:8" ht="13.5" thickBot="1" x14ac:dyDescent="0.25">
      <c r="B43" s="724"/>
      <c r="D43" s="726"/>
      <c r="E43" s="1451"/>
      <c r="F43" s="1695">
        <f>F41/F5</f>
        <v>687.85797365776784</v>
      </c>
      <c r="H43" s="1200"/>
    </row>
    <row r="44" spans="2:8" ht="13.5" thickBot="1" x14ac:dyDescent="0.25">
      <c r="B44" s="1712" t="s">
        <v>2432</v>
      </c>
      <c r="C44" s="1765">
        <v>0.8</v>
      </c>
      <c r="D44" s="1697"/>
      <c r="E44" s="1698"/>
      <c r="F44" s="1699">
        <f>F43/C44</f>
        <v>859.82246707220975</v>
      </c>
      <c r="G44" s="1732"/>
      <c r="H44" s="1200"/>
    </row>
    <row r="45" spans="2:8" ht="13.5" thickBot="1" x14ac:dyDescent="0.25">
      <c r="B45" s="1713" t="s">
        <v>2429</v>
      </c>
      <c r="C45" s="1743">
        <v>0.9</v>
      </c>
      <c r="D45" s="1208"/>
      <c r="E45" s="1704"/>
      <c r="F45" s="1742">
        <f>F43/C45</f>
        <v>764.28663739751983</v>
      </c>
    </row>
    <row r="46" spans="2:8" ht="13.35" customHeight="1" x14ac:dyDescent="0.2">
      <c r="F46" s="1708">
        <v>668.66</v>
      </c>
      <c r="G46" s="1770">
        <f>(F44-F46)/F46</f>
        <v>0.28588889281878649</v>
      </c>
    </row>
    <row r="48" spans="2:8" x14ac:dyDescent="0.2">
      <c r="F48" s="1717"/>
    </row>
    <row r="49" spans="2:7" x14ac:dyDescent="0.2">
      <c r="G49" s="383"/>
    </row>
    <row r="50" spans="2:7" hidden="1" x14ac:dyDescent="0.2">
      <c r="F50" s="1471"/>
    </row>
    <row r="51" spans="2:7" hidden="1" x14ac:dyDescent="0.2"/>
    <row r="52" spans="2:7" ht="13.5" hidden="1" thickBot="1" x14ac:dyDescent="0.25"/>
    <row r="53" spans="2:7" ht="13.5" hidden="1" thickBot="1" x14ac:dyDescent="0.25">
      <c r="B53" s="1206" t="str">
        <f>'[25]Comm Treatment Residence CCTR '!B52</f>
        <v>FY26 Updates</v>
      </c>
      <c r="C53" s="1306"/>
      <c r="D53" s="1306"/>
      <c r="E53" s="1307"/>
    </row>
    <row r="54" spans="2:7" hidden="1" x14ac:dyDescent="0.2">
      <c r="B54" s="1714" t="s">
        <v>2298</v>
      </c>
      <c r="E54" s="736"/>
    </row>
    <row r="55" spans="2:7" hidden="1" x14ac:dyDescent="0.2">
      <c r="B55" s="1714" t="s">
        <v>2459</v>
      </c>
      <c r="E55" s="736"/>
    </row>
    <row r="56" spans="2:7" hidden="1" x14ac:dyDescent="0.2">
      <c r="B56" s="1714" t="s">
        <v>2299</v>
      </c>
      <c r="E56" s="736"/>
    </row>
    <row r="57" spans="2:7" hidden="1" x14ac:dyDescent="0.2">
      <c r="B57" s="1714" t="s">
        <v>2471</v>
      </c>
      <c r="E57" s="736"/>
    </row>
    <row r="58" spans="2:7" hidden="1" x14ac:dyDescent="0.2">
      <c r="B58" s="724"/>
      <c r="E58" s="736"/>
    </row>
    <row r="59" spans="2:7" hidden="1" x14ac:dyDescent="0.2">
      <c r="B59" s="724"/>
      <c r="E59" s="736"/>
    </row>
    <row r="60" spans="2:7" ht="13.5" hidden="1" thickBot="1" x14ac:dyDescent="0.25">
      <c r="B60" s="733"/>
      <c r="C60" s="1192"/>
      <c r="D60" s="1192"/>
      <c r="E60" s="1309"/>
    </row>
    <row r="61" spans="2:7" ht="13.35" hidden="1" customHeight="1" x14ac:dyDescent="0.2"/>
    <row r="62" spans="2:7" ht="15" hidden="1" customHeight="1" thickBot="1" x14ac:dyDescent="0.25"/>
    <row r="63" spans="2:7" hidden="1" x14ac:dyDescent="0.2">
      <c r="B63" s="1766" t="s">
        <v>2476</v>
      </c>
      <c r="C63" s="1188"/>
      <c r="D63" s="1188"/>
      <c r="E63" s="1767" t="s">
        <v>2477</v>
      </c>
      <c r="F63" s="1768"/>
    </row>
    <row r="64" spans="2:7" ht="13.5" hidden="1" thickBot="1" x14ac:dyDescent="0.25">
      <c r="B64" s="733"/>
      <c r="C64" s="1192"/>
      <c r="D64" s="1452" t="s">
        <v>2478</v>
      </c>
      <c r="E64" s="1452" t="s">
        <v>2479</v>
      </c>
      <c r="F64" s="1769" t="s">
        <v>2480</v>
      </c>
    </row>
    <row r="65" spans="1:7" hidden="1" x14ac:dyDescent="0.2">
      <c r="B65" s="724" t="s">
        <v>17</v>
      </c>
      <c r="D65" s="383">
        <v>0.25</v>
      </c>
      <c r="E65" s="383">
        <v>0.34</v>
      </c>
      <c r="F65" s="1352">
        <f>E65-D65</f>
        <v>9.0000000000000024E-2</v>
      </c>
      <c r="G65" s="383"/>
    </row>
    <row r="66" spans="1:7" hidden="1" x14ac:dyDescent="0.2">
      <c r="A66" s="1179"/>
      <c r="B66" s="724" t="s">
        <v>2463</v>
      </c>
      <c r="D66" s="383">
        <v>0.33</v>
      </c>
      <c r="E66" s="383">
        <v>0.5</v>
      </c>
      <c r="F66" s="1352">
        <f t="shared" ref="F66:F73" si="2">E66-D66</f>
        <v>0.16999999999999998</v>
      </c>
      <c r="G66" s="383"/>
    </row>
    <row r="67" spans="1:7" hidden="1" x14ac:dyDescent="0.2">
      <c r="A67" s="1180"/>
      <c r="B67" s="724" t="s">
        <v>2481</v>
      </c>
      <c r="D67" s="383">
        <v>0.18</v>
      </c>
      <c r="E67" s="383">
        <v>0.22</v>
      </c>
      <c r="F67" s="1352">
        <f t="shared" si="2"/>
        <v>4.0000000000000008E-2</v>
      </c>
      <c r="G67" s="383"/>
    </row>
    <row r="68" spans="1:7" hidden="1" x14ac:dyDescent="0.2">
      <c r="B68" s="724" t="s">
        <v>2473</v>
      </c>
      <c r="D68" s="383">
        <v>0.33</v>
      </c>
      <c r="E68" s="383">
        <v>0.5</v>
      </c>
      <c r="F68" s="1352">
        <f t="shared" si="2"/>
        <v>0.16999999999999998</v>
      </c>
      <c r="G68" s="383"/>
    </row>
    <row r="69" spans="1:7" hidden="1" x14ac:dyDescent="0.2">
      <c r="B69" s="724" t="s">
        <v>569</v>
      </c>
      <c r="D69" s="383">
        <v>0.6</v>
      </c>
      <c r="E69" s="383">
        <v>1</v>
      </c>
      <c r="F69" s="1352">
        <f t="shared" si="2"/>
        <v>0.4</v>
      </c>
      <c r="G69" s="383"/>
    </row>
    <row r="70" spans="1:7" hidden="1" x14ac:dyDescent="0.2">
      <c r="B70" s="724" t="s">
        <v>2482</v>
      </c>
      <c r="D70" s="383">
        <v>7.4999999999999997E-2</v>
      </c>
      <c r="E70" s="383">
        <v>0.11</v>
      </c>
      <c r="F70" s="1352">
        <f t="shared" si="2"/>
        <v>3.5000000000000003E-2</v>
      </c>
      <c r="G70" s="383"/>
    </row>
    <row r="71" spans="1:7" hidden="1" x14ac:dyDescent="0.2">
      <c r="B71" s="724" t="s">
        <v>18</v>
      </c>
      <c r="D71" s="383">
        <v>12.6</v>
      </c>
      <c r="E71" s="383">
        <v>15.4</v>
      </c>
      <c r="F71" s="1352">
        <f t="shared" si="2"/>
        <v>2.8000000000000007</v>
      </c>
      <c r="G71" s="383"/>
    </row>
    <row r="72" spans="1:7" hidden="1" x14ac:dyDescent="0.2">
      <c r="B72" s="724" t="s">
        <v>2470</v>
      </c>
      <c r="D72" s="383">
        <v>0.11</v>
      </c>
      <c r="E72" s="383">
        <v>0.23</v>
      </c>
      <c r="F72" s="1352">
        <f t="shared" si="2"/>
        <v>0.12000000000000001</v>
      </c>
      <c r="G72" s="383"/>
    </row>
    <row r="73" spans="1:7" hidden="1" x14ac:dyDescent="0.2">
      <c r="B73" s="724" t="s">
        <v>2449</v>
      </c>
      <c r="D73" s="383">
        <v>1.89</v>
      </c>
      <c r="E73" s="383">
        <v>2.31</v>
      </c>
      <c r="F73" s="1352">
        <f t="shared" si="2"/>
        <v>0.42000000000000015</v>
      </c>
      <c r="G73" s="383"/>
    </row>
    <row r="74" spans="1:7" ht="13.5" hidden="1" thickBot="1" x14ac:dyDescent="0.25">
      <c r="B74" s="733"/>
      <c r="C74" s="1192" t="s">
        <v>2483</v>
      </c>
      <c r="D74" s="1192"/>
      <c r="E74" s="1192"/>
      <c r="F74" s="1769">
        <f>SUM(F65:F73)</f>
        <v>4.245000000000001</v>
      </c>
      <c r="G74" s="383"/>
    </row>
    <row r="75" spans="1:7" hidden="1" x14ac:dyDescent="0.2"/>
    <row r="76" spans="1:7" hidden="1" x14ac:dyDescent="0.2">
      <c r="B76" s="383" t="s">
        <v>2484</v>
      </c>
    </row>
    <row r="84" spans="1:1" x14ac:dyDescent="0.2">
      <c r="A84" s="1451"/>
    </row>
    <row r="85" spans="1:1" x14ac:dyDescent="0.2">
      <c r="A85" s="1200"/>
    </row>
    <row r="86" spans="1:1" x14ac:dyDescent="0.2">
      <c r="A86" s="1200"/>
    </row>
    <row r="87" spans="1:1" x14ac:dyDescent="0.2">
      <c r="A87" s="1200"/>
    </row>
  </sheetData>
  <mergeCells count="2">
    <mergeCell ref="B1:E1"/>
    <mergeCell ref="B4:F4"/>
  </mergeCells>
  <pageMargins left="0.7" right="0.7" top="0.75" bottom="0.75" header="0.3" footer="0.3"/>
  <pageSetup fitToHeight="0" orientation="landscape" r:id="rId1"/>
  <headerFooter>
    <oddFooter>&amp;R&amp;A
&amp;F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3EF08-7537-4861-86DF-DDB34452DB48}">
  <sheetPr>
    <pageSetUpPr fitToPage="1"/>
  </sheetPr>
  <dimension ref="B1:N104"/>
  <sheetViews>
    <sheetView topLeftCell="A20" zoomScaleNormal="100" workbookViewId="0">
      <selection activeCell="I57" sqref="I57"/>
    </sheetView>
  </sheetViews>
  <sheetFormatPr defaultColWidth="9.140625" defaultRowHeight="12.75" x14ac:dyDescent="0.2"/>
  <cols>
    <col min="1" max="1" width="4.140625" style="383" customWidth="1"/>
    <col min="2" max="2" width="36.7109375" style="383" customWidth="1"/>
    <col min="3" max="3" width="9.7109375" style="383" customWidth="1"/>
    <col min="4" max="5" width="14.7109375" style="383" customWidth="1"/>
    <col min="6" max="7" width="18.7109375" style="383" customWidth="1"/>
    <col min="8" max="8" width="9.7109375" style="384" customWidth="1"/>
    <col min="9" max="9" width="36.7109375" style="383" customWidth="1"/>
    <col min="10" max="10" width="9.7109375" style="383" customWidth="1"/>
    <col min="11" max="12" width="14.7109375" style="383" customWidth="1"/>
    <col min="13" max="13" width="18.7109375" style="383" customWidth="1"/>
    <col min="14" max="16384" width="9.140625" style="383"/>
  </cols>
  <sheetData>
    <row r="1" spans="2:14" ht="18" customHeight="1" x14ac:dyDescent="0.2">
      <c r="B1" s="1896" t="s">
        <v>2297</v>
      </c>
      <c r="C1" s="1896"/>
      <c r="D1" s="1896"/>
      <c r="E1" s="1896"/>
      <c r="F1" s="1674">
        <f ca="1">TODAY()</f>
        <v>45805</v>
      </c>
      <c r="G1" s="1674"/>
      <c r="H1" s="383"/>
      <c r="I1" s="384"/>
      <c r="J1" s="1343"/>
      <c r="K1" s="1343"/>
      <c r="L1" s="1343"/>
      <c r="M1" s="1343"/>
      <c r="N1" s="1343"/>
    </row>
    <row r="2" spans="2:14" x14ac:dyDescent="0.2">
      <c r="H2" s="383"/>
      <c r="I2" s="384"/>
      <c r="J2" s="1343"/>
      <c r="K2" s="1343"/>
      <c r="L2" s="1343"/>
      <c r="M2" s="1343"/>
      <c r="N2" s="1343"/>
    </row>
    <row r="3" spans="2:14" ht="13.5" thickBot="1" x14ac:dyDescent="0.25"/>
    <row r="4" spans="2:14" ht="30" customHeight="1" thickBot="1" x14ac:dyDescent="0.25">
      <c r="B4" s="1922" t="s">
        <v>2485</v>
      </c>
      <c r="C4" s="1923"/>
      <c r="D4" s="1923"/>
      <c r="E4" s="1923"/>
      <c r="F4" s="1924"/>
      <c r="G4" s="1783"/>
      <c r="I4" s="1925" t="s">
        <v>2486</v>
      </c>
      <c r="J4" s="1925"/>
      <c r="K4" s="1925"/>
      <c r="L4" s="1925"/>
      <c r="M4" s="1925"/>
      <c r="N4" s="384"/>
    </row>
    <row r="5" spans="2:14" ht="30" customHeight="1" x14ac:dyDescent="0.2">
      <c r="B5" s="1926" t="s">
        <v>2487</v>
      </c>
      <c r="C5" s="1927"/>
      <c r="D5" s="1927"/>
      <c r="E5" s="1927"/>
      <c r="F5" s="1928"/>
      <c r="G5" s="1784"/>
      <c r="I5" s="1926" t="s">
        <v>2487</v>
      </c>
      <c r="J5" s="1929"/>
      <c r="K5" s="1929"/>
      <c r="L5" s="1929"/>
      <c r="M5" s="1930"/>
      <c r="N5" s="384"/>
    </row>
    <row r="6" spans="2:14" x14ac:dyDescent="0.2">
      <c r="B6" s="731" t="s">
        <v>0</v>
      </c>
      <c r="C6" s="1182">
        <v>9</v>
      </c>
      <c r="D6" s="1183"/>
      <c r="E6" s="1183" t="s">
        <v>1</v>
      </c>
      <c r="F6" s="1181">
        <f>C6*365</f>
        <v>3285</v>
      </c>
      <c r="G6" s="1429"/>
      <c r="H6" s="1774"/>
      <c r="I6" s="731" t="s">
        <v>0</v>
      </c>
      <c r="J6" s="1182">
        <v>9</v>
      </c>
      <c r="K6" s="1183"/>
      <c r="L6" s="1183" t="s">
        <v>1</v>
      </c>
      <c r="M6" s="1181">
        <f>J6*365</f>
        <v>3285</v>
      </c>
      <c r="N6" s="384"/>
    </row>
    <row r="7" spans="2:14" x14ac:dyDescent="0.2">
      <c r="B7" s="724"/>
      <c r="F7" s="736"/>
      <c r="H7" s="1774"/>
      <c r="I7" s="724"/>
      <c r="M7" s="736"/>
      <c r="N7" s="384"/>
    </row>
    <row r="8" spans="2:14" x14ac:dyDescent="0.2">
      <c r="B8" s="1432"/>
      <c r="C8" s="1675"/>
      <c r="D8" s="1433" t="s">
        <v>5</v>
      </c>
      <c r="E8" s="1433" t="s">
        <v>6</v>
      </c>
      <c r="F8" s="1676" t="s">
        <v>7</v>
      </c>
      <c r="G8" s="1180"/>
      <c r="I8" s="1432"/>
      <c r="J8" s="1675"/>
      <c r="K8" s="1433" t="s">
        <v>5</v>
      </c>
      <c r="L8" s="1433" t="s">
        <v>6</v>
      </c>
      <c r="M8" s="1676" t="s">
        <v>7</v>
      </c>
      <c r="N8" s="384"/>
    </row>
    <row r="9" spans="2:14" x14ac:dyDescent="0.2">
      <c r="B9" s="1728" t="s">
        <v>9</v>
      </c>
      <c r="F9" s="1191"/>
      <c r="G9" s="1184"/>
      <c r="I9" s="1728" t="s">
        <v>9</v>
      </c>
      <c r="M9" s="1191"/>
      <c r="N9" s="384"/>
    </row>
    <row r="10" spans="2:14" x14ac:dyDescent="0.2">
      <c r="B10" s="724" t="s">
        <v>2462</v>
      </c>
      <c r="D10" s="1184">
        <f>'[24]Master Data'!E17</f>
        <v>83639.712</v>
      </c>
      <c r="E10" s="1190">
        <v>1</v>
      </c>
      <c r="F10" s="1191">
        <f>D10*E10</f>
        <v>83639.712</v>
      </c>
      <c r="G10" s="1184"/>
      <c r="I10" s="724" t="s">
        <v>2462</v>
      </c>
      <c r="K10" s="1184">
        <f>D10</f>
        <v>83639.712</v>
      </c>
      <c r="L10" s="1190">
        <v>1</v>
      </c>
      <c r="M10" s="1191">
        <f>K10*L10</f>
        <v>83639.712</v>
      </c>
      <c r="N10" s="384"/>
    </row>
    <row r="11" spans="2:14" x14ac:dyDescent="0.2">
      <c r="B11" s="724" t="s">
        <v>625</v>
      </c>
      <c r="D11" s="1184">
        <f>'[24]Master Data'!E18</f>
        <v>73854.144</v>
      </c>
      <c r="E11" s="1190">
        <v>0.5</v>
      </c>
      <c r="F11" s="1191">
        <f>D11*E11</f>
        <v>36927.072</v>
      </c>
      <c r="G11" s="1184"/>
      <c r="I11" s="724" t="s">
        <v>625</v>
      </c>
      <c r="K11" s="1184">
        <f>D11</f>
        <v>73854.144</v>
      </c>
      <c r="L11" s="1190">
        <v>0.5</v>
      </c>
      <c r="M11" s="1191">
        <f>K11*L11</f>
        <v>36927.072</v>
      </c>
      <c r="N11" s="384"/>
    </row>
    <row r="12" spans="2:14" x14ac:dyDescent="0.2">
      <c r="B12" s="731" t="s">
        <v>13</v>
      </c>
      <c r="D12" s="1184"/>
      <c r="E12" s="1190"/>
      <c r="F12" s="1191"/>
      <c r="G12" s="1184"/>
      <c r="I12" s="731" t="s">
        <v>13</v>
      </c>
      <c r="K12" s="1184"/>
      <c r="L12" s="1190"/>
      <c r="M12" s="1191"/>
      <c r="N12" s="384"/>
    </row>
    <row r="13" spans="2:14" x14ac:dyDescent="0.2">
      <c r="B13" s="724" t="s">
        <v>17</v>
      </c>
      <c r="D13" s="1184">
        <f>'[24]Master Data'!E22</f>
        <v>247470</v>
      </c>
      <c r="E13" s="1190">
        <v>0.33750000000000002</v>
      </c>
      <c r="F13" s="1191">
        <f>D13*E13</f>
        <v>83521.125</v>
      </c>
      <c r="G13" s="1184"/>
      <c r="I13" s="724" t="s">
        <v>17</v>
      </c>
      <c r="K13" s="1184">
        <f t="shared" ref="K13:K20" si="0">D13</f>
        <v>247470</v>
      </c>
      <c r="L13" s="1190">
        <v>0.33750000000000002</v>
      </c>
      <c r="M13" s="1191">
        <f>K13*L13</f>
        <v>83521.125</v>
      </c>
      <c r="N13" s="384"/>
    </row>
    <row r="14" spans="2:14" x14ac:dyDescent="0.2">
      <c r="B14" s="724" t="s">
        <v>2437</v>
      </c>
      <c r="D14" s="1184">
        <f>'[24]Master Data'!E23</f>
        <v>103622.27200000001</v>
      </c>
      <c r="E14" s="1190">
        <v>0.18</v>
      </c>
      <c r="F14" s="1191">
        <f>D14*E14</f>
        <v>18652.008960000003</v>
      </c>
      <c r="G14" s="1184"/>
      <c r="I14" s="724" t="s">
        <v>2437</v>
      </c>
      <c r="K14" s="1184">
        <f t="shared" si="0"/>
        <v>103622.27200000001</v>
      </c>
      <c r="L14" s="1190">
        <v>0.18</v>
      </c>
      <c r="M14" s="1191">
        <f>K14*L14</f>
        <v>18652.008960000003</v>
      </c>
      <c r="N14" s="384"/>
    </row>
    <row r="15" spans="2:14" x14ac:dyDescent="0.2">
      <c r="B15" s="724" t="str">
        <f>'[24]Specialty TR -CSEC (CCTR)orig'!B14</f>
        <v>Nursing LPN</v>
      </c>
      <c r="D15" s="1184">
        <f>'[24]Master Data'!E24</f>
        <v>73854.144</v>
      </c>
      <c r="E15" s="1190">
        <v>0.5</v>
      </c>
      <c r="F15" s="1191">
        <f t="shared" ref="F15:F20" si="1">D15*E15</f>
        <v>36927.072</v>
      </c>
      <c r="G15" s="1184"/>
      <c r="I15" s="724" t="str">
        <f>B15</f>
        <v>Nursing LPN</v>
      </c>
      <c r="K15" s="1184">
        <f t="shared" si="0"/>
        <v>73854.144</v>
      </c>
      <c r="L15" s="1190">
        <v>0.5</v>
      </c>
      <c r="M15" s="1191">
        <f t="shared" ref="M15:M20" si="2">K15*L15</f>
        <v>36927.072</v>
      </c>
      <c r="N15" s="384"/>
    </row>
    <row r="16" spans="2:14" x14ac:dyDescent="0.2">
      <c r="B16" s="724" t="str">
        <f>'[24]Specialty TR -CSEC (CCTR)orig'!B15</f>
        <v>Clinician w/Independent Licensure</v>
      </c>
      <c r="D16" s="1184">
        <f>'[24]Master Data'!E27</f>
        <v>83639.712</v>
      </c>
      <c r="E16" s="1190">
        <v>0.22</v>
      </c>
      <c r="F16" s="1191">
        <f t="shared" si="1"/>
        <v>18400.736639999999</v>
      </c>
      <c r="G16" s="1184"/>
      <c r="I16" s="724" t="str">
        <f>B16</f>
        <v>Clinician w/Independent Licensure</v>
      </c>
      <c r="K16" s="1184">
        <f t="shared" si="0"/>
        <v>83639.712</v>
      </c>
      <c r="L16" s="1190">
        <v>0.22</v>
      </c>
      <c r="M16" s="1191">
        <f t="shared" si="2"/>
        <v>18400.736639999999</v>
      </c>
      <c r="N16" s="384"/>
    </row>
    <row r="17" spans="2:14" ht="15.75" customHeight="1" x14ac:dyDescent="0.2">
      <c r="B17" s="724" t="s">
        <v>2488</v>
      </c>
      <c r="D17" s="1184">
        <f>'[24]Master Data'!E28</f>
        <v>70211.44</v>
      </c>
      <c r="E17" s="383">
        <v>0.5</v>
      </c>
      <c r="F17" s="1191">
        <f t="shared" si="1"/>
        <v>35105.72</v>
      </c>
      <c r="G17" s="1184"/>
      <c r="I17" s="724" t="s">
        <v>2488</v>
      </c>
      <c r="K17" s="1184">
        <f t="shared" si="0"/>
        <v>70211.44</v>
      </c>
      <c r="L17" s="383">
        <v>0.5</v>
      </c>
      <c r="M17" s="1191">
        <f t="shared" si="2"/>
        <v>35105.72</v>
      </c>
      <c r="N17" s="384"/>
    </row>
    <row r="18" spans="2:14" ht="15.75" customHeight="1" x14ac:dyDescent="0.2">
      <c r="B18" s="724" t="str">
        <f>'[24]Specialty TR -CSEC (CCTR)orig'!B17</f>
        <v>Occupational Therapist</v>
      </c>
      <c r="D18" s="1184">
        <f>'[24]Master Data'!E25</f>
        <v>82681.040000000008</v>
      </c>
      <c r="E18" s="1190">
        <v>0.67</v>
      </c>
      <c r="F18" s="1191">
        <f t="shared" si="1"/>
        <v>55396.296800000011</v>
      </c>
      <c r="G18" s="1184"/>
      <c r="I18" s="724" t="str">
        <f>B18</f>
        <v>Occupational Therapist</v>
      </c>
      <c r="K18" s="1184">
        <f t="shared" si="0"/>
        <v>82681.040000000008</v>
      </c>
      <c r="L18" s="1190">
        <v>0.67</v>
      </c>
      <c r="M18" s="1191">
        <f t="shared" si="2"/>
        <v>55396.296800000011</v>
      </c>
      <c r="N18" s="384"/>
    </row>
    <row r="19" spans="2:14" ht="15.75" customHeight="1" x14ac:dyDescent="0.2">
      <c r="B19" s="724" t="s">
        <v>2489</v>
      </c>
      <c r="D19" s="1184">
        <f>'[24]Master Data'!E29</f>
        <v>83639.712</v>
      </c>
      <c r="E19" s="1190">
        <v>0.45</v>
      </c>
      <c r="F19" s="1191">
        <f t="shared" si="1"/>
        <v>37637.8704</v>
      </c>
      <c r="G19" s="1184"/>
      <c r="I19" s="724" t="s">
        <v>2489</v>
      </c>
      <c r="K19" s="1184">
        <f t="shared" si="0"/>
        <v>83639.712</v>
      </c>
      <c r="L19" s="1190">
        <v>0.45</v>
      </c>
      <c r="M19" s="1191">
        <f t="shared" si="2"/>
        <v>37637.8704</v>
      </c>
      <c r="N19" s="384"/>
    </row>
    <row r="20" spans="2:14" ht="15.75" customHeight="1" x14ac:dyDescent="0.2">
      <c r="B20" s="724" t="s">
        <v>2467</v>
      </c>
      <c r="D20" s="1184">
        <f>'[24]Master Data'!E31</f>
        <v>70211.44</v>
      </c>
      <c r="E20" s="1190">
        <v>0.67</v>
      </c>
      <c r="F20" s="1191">
        <f t="shared" si="1"/>
        <v>47041.664800000006</v>
      </c>
      <c r="G20" s="1184"/>
      <c r="I20" s="724" t="s">
        <v>2467</v>
      </c>
      <c r="K20" s="1184">
        <f t="shared" si="0"/>
        <v>70211.44</v>
      </c>
      <c r="L20" s="1190">
        <v>0.67</v>
      </c>
      <c r="M20" s="1191">
        <f t="shared" si="2"/>
        <v>47041.664800000006</v>
      </c>
      <c r="N20" s="384"/>
    </row>
    <row r="21" spans="2:14" x14ac:dyDescent="0.2">
      <c r="B21" s="724"/>
      <c r="F21" s="736"/>
      <c r="I21" s="724"/>
      <c r="K21" s="1184"/>
      <c r="M21" s="736"/>
      <c r="N21" s="384"/>
    </row>
    <row r="22" spans="2:14" x14ac:dyDescent="0.2">
      <c r="B22" s="731" t="s">
        <v>18</v>
      </c>
      <c r="D22" s="1184"/>
      <c r="E22" s="1190"/>
      <c r="F22" s="1191"/>
      <c r="G22" s="1184"/>
      <c r="I22" s="731" t="s">
        <v>18</v>
      </c>
      <c r="K22" s="1184"/>
      <c r="L22" s="1190"/>
      <c r="M22" s="1191"/>
      <c r="N22" s="384"/>
    </row>
    <row r="23" spans="2:14" x14ac:dyDescent="0.2">
      <c r="B23" s="724" t="s">
        <v>2466</v>
      </c>
      <c r="D23" s="1184">
        <f>'[24]Master Data'!E32</f>
        <v>73854.144</v>
      </c>
      <c r="E23" s="1190">
        <v>1</v>
      </c>
      <c r="F23" s="1191">
        <f t="shared" ref="F23:F31" si="3">D23*E23</f>
        <v>73854.144</v>
      </c>
      <c r="G23" s="1184"/>
      <c r="I23" s="724" t="s">
        <v>2466</v>
      </c>
      <c r="K23" s="1184">
        <f t="shared" ref="K23:K31" si="4">D23</f>
        <v>73854.144</v>
      </c>
      <c r="L23" s="1190">
        <v>0.5</v>
      </c>
      <c r="M23" s="1191">
        <f t="shared" ref="M23:M31" si="5">K23*L23</f>
        <v>36927.072</v>
      </c>
      <c r="N23" s="384"/>
    </row>
    <row r="24" spans="2:14" x14ac:dyDescent="0.2">
      <c r="B24" s="724" t="s">
        <v>2468</v>
      </c>
      <c r="D24" s="1184">
        <f>'[24]Master Data'!E37</f>
        <v>64438.399999999994</v>
      </c>
      <c r="E24" s="1190">
        <v>0.22</v>
      </c>
      <c r="F24" s="1191">
        <f t="shared" si="3"/>
        <v>14176.447999999999</v>
      </c>
      <c r="G24" s="1184"/>
      <c r="I24" s="724" t="s">
        <v>2468</v>
      </c>
      <c r="K24" s="1184">
        <f t="shared" si="4"/>
        <v>64438.399999999994</v>
      </c>
      <c r="L24" s="1190">
        <v>0.22</v>
      </c>
      <c r="M24" s="1191">
        <f t="shared" si="5"/>
        <v>14176.447999999999</v>
      </c>
      <c r="N24" s="384"/>
    </row>
    <row r="25" spans="2:14" x14ac:dyDescent="0.2">
      <c r="B25" s="724" t="s">
        <v>2490</v>
      </c>
      <c r="D25" s="1184">
        <f>'[24]Master Data'!E33</f>
        <v>56217.241600000001</v>
      </c>
      <c r="E25" s="1190">
        <v>0.11</v>
      </c>
      <c r="F25" s="1191">
        <f t="shared" si="3"/>
        <v>6183.8965760000001</v>
      </c>
      <c r="G25" s="1184"/>
      <c r="I25" s="724" t="s">
        <v>2490</v>
      </c>
      <c r="K25" s="1184">
        <f t="shared" si="4"/>
        <v>56217.241600000001</v>
      </c>
      <c r="L25" s="1190">
        <v>0.11</v>
      </c>
      <c r="M25" s="1191">
        <f t="shared" si="5"/>
        <v>6183.8965760000001</v>
      </c>
      <c r="N25" s="384"/>
    </row>
    <row r="26" spans="2:14" x14ac:dyDescent="0.2">
      <c r="B26" s="724" t="str">
        <f>'[24]Specialty TR -CSEC (CCTR)orig'!B23</f>
        <v xml:space="preserve">Direct Care (DC III) Milieu Manager </v>
      </c>
      <c r="D26" s="1184">
        <f>'[24]Master Data'!E34</f>
        <v>56217.241600000001</v>
      </c>
      <c r="E26" s="1190">
        <v>1</v>
      </c>
      <c r="F26" s="1191">
        <f t="shared" si="3"/>
        <v>56217.241600000001</v>
      </c>
      <c r="G26" s="1184"/>
      <c r="I26" s="724" t="str">
        <f>B26</f>
        <v xml:space="preserve">Direct Care (DC III) Milieu Manager </v>
      </c>
      <c r="K26" s="1184">
        <f t="shared" si="4"/>
        <v>56217.241600000001</v>
      </c>
      <c r="L26" s="1190">
        <v>1</v>
      </c>
      <c r="M26" s="1191">
        <f t="shared" si="5"/>
        <v>56217.241600000001</v>
      </c>
      <c r="N26" s="384"/>
    </row>
    <row r="27" spans="2:14" x14ac:dyDescent="0.2">
      <c r="B27" s="724" t="s">
        <v>2491</v>
      </c>
      <c r="D27" s="1184">
        <f>'[24]Master Data'!E39</f>
        <v>43247.567999999999</v>
      </c>
      <c r="E27" s="1190">
        <v>15.4</v>
      </c>
      <c r="F27" s="1191">
        <f t="shared" si="3"/>
        <v>666012.54720000003</v>
      </c>
      <c r="G27" s="1184"/>
      <c r="I27" s="724" t="s">
        <v>2491</v>
      </c>
      <c r="K27" s="1184">
        <f t="shared" si="4"/>
        <v>43247.567999999999</v>
      </c>
      <c r="L27" s="1190">
        <v>15.4</v>
      </c>
      <c r="M27" s="1191">
        <f t="shared" si="5"/>
        <v>666012.54720000003</v>
      </c>
      <c r="N27" s="384"/>
    </row>
    <row r="28" spans="2:14" x14ac:dyDescent="0.2">
      <c r="B28" s="724" t="s">
        <v>2469</v>
      </c>
      <c r="D28" s="1184">
        <f>'[24]Master Data'!E41</f>
        <v>43247.567999999999</v>
      </c>
      <c r="E28" s="1190">
        <v>0.33750000000000002</v>
      </c>
      <c r="F28" s="1191">
        <f t="shared" si="3"/>
        <v>14596.0542</v>
      </c>
      <c r="G28" s="1184"/>
      <c r="I28" s="724" t="s">
        <v>2469</v>
      </c>
      <c r="K28" s="1184">
        <f t="shared" si="4"/>
        <v>43247.567999999999</v>
      </c>
      <c r="L28" s="1190">
        <v>0.33750000000000002</v>
      </c>
      <c r="M28" s="1191">
        <f t="shared" si="5"/>
        <v>14596.0542</v>
      </c>
      <c r="N28" s="384"/>
    </row>
    <row r="29" spans="2:14" x14ac:dyDescent="0.2">
      <c r="B29" s="724" t="s">
        <v>2470</v>
      </c>
      <c r="D29" s="1184">
        <f>'[24]Master Data'!E42</f>
        <v>43247.567999999999</v>
      </c>
      <c r="E29" s="1190">
        <v>0.22500000000000001</v>
      </c>
      <c r="F29" s="1191">
        <f t="shared" si="3"/>
        <v>9730.7028000000009</v>
      </c>
      <c r="G29" s="1184"/>
      <c r="I29" s="724" t="s">
        <v>2470</v>
      </c>
      <c r="K29" s="1184">
        <f t="shared" si="4"/>
        <v>43247.567999999999</v>
      </c>
      <c r="L29" s="1190">
        <v>0.22500000000000001</v>
      </c>
      <c r="M29" s="1191">
        <f t="shared" si="5"/>
        <v>9730.7028000000009</v>
      </c>
      <c r="N29" s="384"/>
    </row>
    <row r="30" spans="2:14" x14ac:dyDescent="0.2">
      <c r="B30" s="724" t="s">
        <v>2446</v>
      </c>
      <c r="C30" s="1686"/>
      <c r="D30" s="1775">
        <f>'[24]Master Data'!E40</f>
        <v>43247.567999999999</v>
      </c>
      <c r="E30" s="1687">
        <v>1</v>
      </c>
      <c r="F30" s="1688">
        <f t="shared" si="3"/>
        <v>43247.567999999999</v>
      </c>
      <c r="G30" s="1775"/>
      <c r="I30" s="724" t="s">
        <v>2446</v>
      </c>
      <c r="J30" s="1686"/>
      <c r="K30" s="1775">
        <f t="shared" si="4"/>
        <v>43247.567999999999</v>
      </c>
      <c r="L30" s="1687">
        <v>1</v>
      </c>
      <c r="M30" s="1688">
        <f t="shared" si="5"/>
        <v>43247.567999999999</v>
      </c>
      <c r="N30" s="384"/>
    </row>
    <row r="31" spans="2:14" x14ac:dyDescent="0.2">
      <c r="B31" s="724" t="s">
        <v>2449</v>
      </c>
      <c r="D31" s="1184">
        <f>'[24]Master Data'!E43</f>
        <v>43247.567999999999</v>
      </c>
      <c r="E31" s="1190">
        <f>E27*'[24]Master Data'!E11</f>
        <v>2.31</v>
      </c>
      <c r="F31" s="1191">
        <f t="shared" si="3"/>
        <v>99901.882079999996</v>
      </c>
      <c r="G31" s="1184"/>
      <c r="I31" s="724" t="s">
        <v>2449</v>
      </c>
      <c r="K31" s="1184">
        <f t="shared" si="4"/>
        <v>43247.567999999999</v>
      </c>
      <c r="L31" s="1190">
        <f>E31</f>
        <v>2.31</v>
      </c>
      <c r="M31" s="1191">
        <f t="shared" si="5"/>
        <v>99901.882079999996</v>
      </c>
      <c r="N31" s="384"/>
    </row>
    <row r="32" spans="2:14" x14ac:dyDescent="0.2">
      <c r="B32" s="1195" t="s">
        <v>20</v>
      </c>
      <c r="C32" s="1196"/>
      <c r="D32" s="1196"/>
      <c r="E32" s="1689">
        <f>SUM(E9:E31)</f>
        <v>26.63</v>
      </c>
      <c r="F32" s="1198">
        <f>SUM(F10:F31)</f>
        <v>1437169.763056</v>
      </c>
      <c r="G32" s="1718"/>
      <c r="I32" s="1195" t="s">
        <v>20</v>
      </c>
      <c r="J32" s="1196"/>
      <c r="K32" s="1196"/>
      <c r="L32" s="1689">
        <f>SUM(L9:L31)</f>
        <v>26.13</v>
      </c>
      <c r="M32" s="1198">
        <f>SUM(M10:M31)</f>
        <v>1400242.6910559998</v>
      </c>
      <c r="N32" s="384"/>
    </row>
    <row r="33" spans="2:14" x14ac:dyDescent="0.2">
      <c r="B33" s="731" t="s">
        <v>21</v>
      </c>
      <c r="E33" s="1183"/>
      <c r="F33" s="736"/>
      <c r="I33" s="731" t="s">
        <v>21</v>
      </c>
      <c r="L33" s="1183"/>
      <c r="M33" s="736"/>
      <c r="N33" s="384"/>
    </row>
    <row r="34" spans="2:14" x14ac:dyDescent="0.2">
      <c r="B34" s="724" t="s">
        <v>23</v>
      </c>
      <c r="D34" s="726">
        <f>'[24]Master Data'!E46</f>
        <v>0.24970000000000001</v>
      </c>
      <c r="F34" s="1191">
        <f>D34*F32</f>
        <v>358861.28983508318</v>
      </c>
      <c r="G34" s="1184"/>
      <c r="I34" s="724" t="s">
        <v>23</v>
      </c>
      <c r="K34" s="726">
        <f>D34</f>
        <v>0.24970000000000001</v>
      </c>
      <c r="M34" s="1191">
        <f>K34*M32</f>
        <v>349640.59995668317</v>
      </c>
      <c r="N34" s="384"/>
    </row>
    <row r="35" spans="2:14" x14ac:dyDescent="0.2">
      <c r="B35" s="1195" t="s">
        <v>24</v>
      </c>
      <c r="C35" s="1196"/>
      <c r="D35" s="1196"/>
      <c r="E35" s="1197"/>
      <c r="F35" s="1198">
        <f>F34+F32</f>
        <v>1796031.0528910831</v>
      </c>
      <c r="G35" s="1718"/>
      <c r="I35" s="1195" t="s">
        <v>24</v>
      </c>
      <c r="J35" s="1196"/>
      <c r="K35" s="1196"/>
      <c r="L35" s="1197"/>
      <c r="M35" s="1198">
        <f>M34+M32</f>
        <v>1749883.291012683</v>
      </c>
      <c r="N35" s="384"/>
    </row>
    <row r="36" spans="2:14" x14ac:dyDescent="0.2">
      <c r="B36" s="724"/>
      <c r="C36" s="1763"/>
      <c r="F36" s="1691"/>
      <c r="G36" s="1200"/>
      <c r="I36" s="724"/>
      <c r="J36" s="1763"/>
      <c r="M36" s="1691"/>
      <c r="N36" s="384"/>
    </row>
    <row r="37" spans="2:14" x14ac:dyDescent="0.2">
      <c r="B37" s="724" t="s">
        <v>26</v>
      </c>
      <c r="E37" s="1200">
        <f>'[24]Master Data'!E48</f>
        <v>31.419846000000003</v>
      </c>
      <c r="F37" s="1199">
        <f>E37*F6</f>
        <v>103214.19411000001</v>
      </c>
      <c r="G37" s="1201"/>
      <c r="I37" s="724" t="s">
        <v>26</v>
      </c>
      <c r="L37" s="1200">
        <f>E37</f>
        <v>31.419846000000003</v>
      </c>
      <c r="M37" s="1199">
        <f>L37*M6</f>
        <v>103214.19411000001</v>
      </c>
      <c r="N37" s="384"/>
    </row>
    <row r="38" spans="2:14" x14ac:dyDescent="0.2">
      <c r="B38" s="724" t="str">
        <f>'[24]Master Data'!C49</f>
        <v>Programmatic expenses</v>
      </c>
      <c r="E38" s="1200">
        <f>'[24]Master Data'!E49</f>
        <v>25.695</v>
      </c>
      <c r="F38" s="1199">
        <f>E38*F6</f>
        <v>84408.074999999997</v>
      </c>
      <c r="G38" s="1201"/>
      <c r="I38" s="724" t="str">
        <f>B38</f>
        <v>Programmatic expenses</v>
      </c>
      <c r="L38" s="1200">
        <f>E38</f>
        <v>25.695</v>
      </c>
      <c r="M38" s="1199">
        <f>L38*M6</f>
        <v>84408.074999999997</v>
      </c>
      <c r="N38" s="384"/>
    </row>
    <row r="39" spans="2:14" x14ac:dyDescent="0.2">
      <c r="B39" s="724" t="s">
        <v>2475</v>
      </c>
      <c r="E39" s="1200">
        <f>'[24]Master Data'!E50</f>
        <v>1.2847500000000001</v>
      </c>
      <c r="F39" s="1199">
        <f>E39*F6</f>
        <v>4220.4037500000004</v>
      </c>
      <c r="G39" s="1201"/>
      <c r="I39" s="724" t="s">
        <v>2475</v>
      </c>
      <c r="L39" s="1200">
        <f>E39</f>
        <v>1.2847500000000001</v>
      </c>
      <c r="M39" s="1199">
        <f>L39*M6</f>
        <v>4220.4037500000004</v>
      </c>
      <c r="N39" s="384"/>
    </row>
    <row r="40" spans="2:14" x14ac:dyDescent="0.2">
      <c r="B40" s="1195" t="s">
        <v>29</v>
      </c>
      <c r="C40" s="1196"/>
      <c r="D40" s="1196"/>
      <c r="E40" s="1196"/>
      <c r="F40" s="1198">
        <f>SUM(F35:F39)</f>
        <v>1987873.7257510831</v>
      </c>
      <c r="G40" s="1718"/>
      <c r="I40" s="1195" t="s">
        <v>29</v>
      </c>
      <c r="J40" s="1196"/>
      <c r="K40" s="1196"/>
      <c r="L40" s="1196"/>
      <c r="M40" s="1198">
        <f>SUM(M35:M39)</f>
        <v>1941725.963872683</v>
      </c>
      <c r="N40" s="384"/>
    </row>
    <row r="41" spans="2:14" x14ac:dyDescent="0.2">
      <c r="B41" s="724" t="s">
        <v>30</v>
      </c>
      <c r="D41" s="726">
        <f>'[24]Master Data'!E53</f>
        <v>0.12</v>
      </c>
      <c r="F41" s="1191">
        <f>D41*F40</f>
        <v>238544.84709012997</v>
      </c>
      <c r="G41" s="1184"/>
      <c r="I41" s="724" t="s">
        <v>30</v>
      </c>
      <c r="K41" s="726">
        <f>D41</f>
        <v>0.12</v>
      </c>
      <c r="M41" s="1191">
        <f>K41*M40</f>
        <v>233007.11566472196</v>
      </c>
      <c r="N41" s="1764"/>
    </row>
    <row r="42" spans="2:14" ht="13.5" thickBot="1" x14ac:dyDescent="0.25">
      <c r="B42" s="1203" t="s">
        <v>31</v>
      </c>
      <c r="C42" s="1204"/>
      <c r="D42" s="1204"/>
      <c r="E42" s="1204"/>
      <c r="F42" s="1205">
        <f>SUM(F40:F41)</f>
        <v>2226418.5728412131</v>
      </c>
      <c r="G42" s="1718"/>
      <c r="I42" s="1203" t="s">
        <v>31</v>
      </c>
      <c r="J42" s="1204"/>
      <c r="K42" s="1204"/>
      <c r="L42" s="1204"/>
      <c r="M42" s="1205">
        <f>SUM(M40:M41)</f>
        <v>2174733.0795374052</v>
      </c>
      <c r="N42" s="1764"/>
    </row>
    <row r="43" spans="2:14" ht="13.5" thickTop="1" x14ac:dyDescent="0.2">
      <c r="B43" s="724" t="str">
        <f>'[24]Master Data'!C55</f>
        <v>CAF - BASELINE</v>
      </c>
      <c r="D43" s="726">
        <f>'[24]Master Data'!E55</f>
        <v>3.2549514448865162E-2</v>
      </c>
      <c r="F43" s="1776">
        <f>F42*(1+D43)</f>
        <v>2298887.4163471302</v>
      </c>
      <c r="G43" s="1777"/>
      <c r="H43" s="383"/>
      <c r="I43" s="724" t="str">
        <f>B43</f>
        <v>CAF - BASELINE</v>
      </c>
      <c r="K43" s="726">
        <f>D43</f>
        <v>3.2549514448865162E-2</v>
      </c>
      <c r="M43" s="1776">
        <f>M42*(1+K43)</f>
        <v>2245519.585332233</v>
      </c>
      <c r="N43" s="384"/>
    </row>
    <row r="44" spans="2:14" x14ac:dyDescent="0.2">
      <c r="B44" s="724"/>
      <c r="F44" s="1694" t="s">
        <v>32</v>
      </c>
      <c r="G44" s="1719"/>
      <c r="H44" s="383"/>
      <c r="I44" s="724"/>
      <c r="M44" s="1694" t="s">
        <v>32</v>
      </c>
      <c r="N44" s="384"/>
    </row>
    <row r="45" spans="2:14" ht="13.5" thickBot="1" x14ac:dyDescent="0.25">
      <c r="B45" s="724"/>
      <c r="D45" s="726"/>
      <c r="E45" s="729"/>
      <c r="F45" s="1778">
        <f>F43/F6</f>
        <v>699.81352095803049</v>
      </c>
      <c r="G45" s="729"/>
      <c r="I45" s="724"/>
      <c r="K45" s="726"/>
      <c r="L45" s="729"/>
      <c r="M45" s="1778">
        <f>M43/M6</f>
        <v>683.56760588500242</v>
      </c>
      <c r="N45" s="384"/>
    </row>
    <row r="46" spans="2:14" ht="14.85" customHeight="1" thickBot="1" x14ac:dyDescent="0.25">
      <c r="B46" s="1712" t="s">
        <v>2453</v>
      </c>
      <c r="C46" s="1765">
        <v>0.8</v>
      </c>
      <c r="D46" s="1697"/>
      <c r="E46" s="1779"/>
      <c r="F46" s="1211">
        <f>F45/C46</f>
        <v>874.76690119753812</v>
      </c>
      <c r="G46" s="1212"/>
      <c r="I46" s="1746" t="s">
        <v>2454</v>
      </c>
      <c r="J46" s="1765">
        <v>0.8</v>
      </c>
      <c r="K46" s="1697"/>
      <c r="L46" s="1779"/>
      <c r="M46" s="1211">
        <f>M45/J46</f>
        <v>854.45950735625297</v>
      </c>
      <c r="N46" s="384"/>
    </row>
    <row r="47" spans="2:14" ht="13.5" thickBot="1" x14ac:dyDescent="0.25">
      <c r="B47" s="1713" t="s">
        <v>2455</v>
      </c>
      <c r="C47" s="1743">
        <v>0.9</v>
      </c>
      <c r="D47" s="1208"/>
      <c r="E47" s="1780"/>
      <c r="F47" s="1742">
        <f>F45/C47</f>
        <v>777.57057884225605</v>
      </c>
      <c r="G47" s="1200"/>
      <c r="I47" s="1713" t="s">
        <v>2456</v>
      </c>
      <c r="J47" s="1743">
        <v>0.9</v>
      </c>
      <c r="K47" s="1208"/>
      <c r="L47" s="1780"/>
      <c r="M47" s="1742">
        <f>M45/J47</f>
        <v>759.51956209444711</v>
      </c>
      <c r="N47" s="384"/>
    </row>
    <row r="48" spans="2:14" x14ac:dyDescent="0.2">
      <c r="B48" s="1711" t="s">
        <v>2457</v>
      </c>
      <c r="C48" s="1760"/>
      <c r="D48" s="1760"/>
      <c r="E48" s="1760"/>
      <c r="F48" s="1212">
        <f>'[24]PRR FY24 Intensive Treat Resi'!E44</f>
        <v>794.1893314821474</v>
      </c>
      <c r="G48" s="1477">
        <f>(F46-F48)/F48</f>
        <v>0.10145889213219937</v>
      </c>
      <c r="H48" s="1781"/>
      <c r="I48" s="1711" t="s">
        <v>2457</v>
      </c>
      <c r="J48" s="1760"/>
      <c r="K48" s="1760"/>
      <c r="M48" s="1212">
        <f>'[24]PRR FY24 Intensive Treat Resi'!E97</f>
        <v>777.62417230802919</v>
      </c>
      <c r="N48" s="1720">
        <f>(M46-M48)/M48</f>
        <v>9.8807801743318366E-2</v>
      </c>
    </row>
    <row r="49" spans="2:14" x14ac:dyDescent="0.2">
      <c r="N49" s="384"/>
    </row>
    <row r="50" spans="2:14" x14ac:dyDescent="0.2">
      <c r="G50" s="1212"/>
    </row>
    <row r="51" spans="2:14" x14ac:dyDescent="0.2">
      <c r="F51" s="1212"/>
      <c r="G51" s="1212"/>
      <c r="H51" s="1782"/>
      <c r="N51" s="1476"/>
    </row>
    <row r="52" spans="2:14" x14ac:dyDescent="0.2">
      <c r="N52" s="384"/>
    </row>
    <row r="53" spans="2:14" x14ac:dyDescent="0.2">
      <c r="F53" s="1212"/>
      <c r="G53" s="1212"/>
    </row>
    <row r="55" spans="2:14" x14ac:dyDescent="0.2">
      <c r="B55" s="1722"/>
    </row>
    <row r="56" spans="2:14" x14ac:dyDescent="0.2">
      <c r="B56" s="1722"/>
      <c r="H56" s="383"/>
    </row>
    <row r="57" spans="2:14" x14ac:dyDescent="0.2">
      <c r="B57" s="1722"/>
      <c r="H57" s="383"/>
    </row>
    <row r="58" spans="2:14" x14ac:dyDescent="0.2">
      <c r="B58" s="1722"/>
      <c r="H58" s="383"/>
    </row>
    <row r="59" spans="2:14" x14ac:dyDescent="0.2">
      <c r="H59" s="383"/>
    </row>
    <row r="60" spans="2:14" x14ac:dyDescent="0.2">
      <c r="H60" s="383"/>
    </row>
    <row r="61" spans="2:14" x14ac:dyDescent="0.2">
      <c r="H61" s="383"/>
    </row>
    <row r="62" spans="2:14" x14ac:dyDescent="0.2">
      <c r="H62" s="383"/>
    </row>
    <row r="63" spans="2:14" x14ac:dyDescent="0.2">
      <c r="H63" s="383"/>
    </row>
    <row r="64" spans="2:14" x14ac:dyDescent="0.2">
      <c r="H64" s="383"/>
    </row>
    <row r="65" spans="8:8" x14ac:dyDescent="0.2">
      <c r="H65" s="383"/>
    </row>
    <row r="66" spans="8:8" x14ac:dyDescent="0.2">
      <c r="H66" s="383"/>
    </row>
    <row r="67" spans="8:8" x14ac:dyDescent="0.2">
      <c r="H67" s="383"/>
    </row>
    <row r="68" spans="8:8" x14ac:dyDescent="0.2">
      <c r="H68" s="383"/>
    </row>
    <row r="69" spans="8:8" x14ac:dyDescent="0.2">
      <c r="H69" s="383"/>
    </row>
    <row r="70" spans="8:8" x14ac:dyDescent="0.2">
      <c r="H70" s="383"/>
    </row>
    <row r="71" spans="8:8" x14ac:dyDescent="0.2">
      <c r="H71" s="383"/>
    </row>
    <row r="72" spans="8:8" x14ac:dyDescent="0.2">
      <c r="H72" s="383"/>
    </row>
    <row r="73" spans="8:8" x14ac:dyDescent="0.2">
      <c r="H73" s="383"/>
    </row>
    <row r="74" spans="8:8" x14ac:dyDescent="0.2">
      <c r="H74" s="383"/>
    </row>
    <row r="75" spans="8:8" x14ac:dyDescent="0.2">
      <c r="H75" s="383"/>
    </row>
    <row r="76" spans="8:8" x14ac:dyDescent="0.2">
      <c r="H76" s="383"/>
    </row>
    <row r="77" spans="8:8" x14ac:dyDescent="0.2">
      <c r="H77" s="383"/>
    </row>
    <row r="78" spans="8:8" x14ac:dyDescent="0.2">
      <c r="H78" s="383"/>
    </row>
    <row r="79" spans="8:8" x14ac:dyDescent="0.2">
      <c r="H79" s="383"/>
    </row>
    <row r="80" spans="8:8" x14ac:dyDescent="0.2">
      <c r="H80" s="383"/>
    </row>
    <row r="81" spans="8:8" x14ac:dyDescent="0.2">
      <c r="H81" s="383"/>
    </row>
    <row r="82" spans="8:8" x14ac:dyDescent="0.2">
      <c r="H82" s="383"/>
    </row>
    <row r="83" spans="8:8" x14ac:dyDescent="0.2">
      <c r="H83" s="383"/>
    </row>
    <row r="84" spans="8:8" x14ac:dyDescent="0.2">
      <c r="H84" s="383"/>
    </row>
    <row r="85" spans="8:8" x14ac:dyDescent="0.2">
      <c r="H85" s="383"/>
    </row>
    <row r="86" spans="8:8" x14ac:dyDescent="0.2">
      <c r="H86" s="383"/>
    </row>
    <row r="87" spans="8:8" x14ac:dyDescent="0.2">
      <c r="H87" s="383"/>
    </row>
    <row r="88" spans="8:8" x14ac:dyDescent="0.2">
      <c r="H88" s="383"/>
    </row>
    <row r="89" spans="8:8" x14ac:dyDescent="0.2">
      <c r="H89" s="383"/>
    </row>
    <row r="90" spans="8:8" x14ac:dyDescent="0.2">
      <c r="H90" s="383"/>
    </row>
    <row r="91" spans="8:8" x14ac:dyDescent="0.2">
      <c r="H91" s="383"/>
    </row>
    <row r="92" spans="8:8" x14ac:dyDescent="0.2">
      <c r="H92" s="383"/>
    </row>
    <row r="93" spans="8:8" ht="33.75" customHeight="1" x14ac:dyDescent="0.2">
      <c r="H93" s="383"/>
    </row>
    <row r="94" spans="8:8" x14ac:dyDescent="0.2">
      <c r="H94" s="383"/>
    </row>
    <row r="95" spans="8:8" x14ac:dyDescent="0.2">
      <c r="H95" s="383"/>
    </row>
    <row r="96" spans="8:8" x14ac:dyDescent="0.2">
      <c r="H96" s="383"/>
    </row>
    <row r="97" spans="8:8" x14ac:dyDescent="0.2">
      <c r="H97" s="383"/>
    </row>
    <row r="98" spans="8:8" x14ac:dyDescent="0.2">
      <c r="H98" s="383"/>
    </row>
    <row r="99" spans="8:8" x14ac:dyDescent="0.2">
      <c r="H99" s="383"/>
    </row>
    <row r="100" spans="8:8" x14ac:dyDescent="0.2">
      <c r="H100" s="383"/>
    </row>
    <row r="101" spans="8:8" x14ac:dyDescent="0.2">
      <c r="H101" s="383"/>
    </row>
    <row r="103" spans="8:8" x14ac:dyDescent="0.2">
      <c r="H103" s="383"/>
    </row>
    <row r="104" spans="8:8" x14ac:dyDescent="0.2">
      <c r="H104" s="383"/>
    </row>
  </sheetData>
  <mergeCells count="5">
    <mergeCell ref="B1:E1"/>
    <mergeCell ref="B4:F4"/>
    <mergeCell ref="I4:M4"/>
    <mergeCell ref="B5:F5"/>
    <mergeCell ref="I5:M5"/>
  </mergeCells>
  <pageMargins left="0.7" right="0.7" top="0.75" bottom="0.75" header="0.3" footer="0.3"/>
  <pageSetup scale="57" fitToHeight="0" orientation="landscape" r:id="rId1"/>
  <headerFooter>
    <oddFooter>&amp;R&amp;A
&amp;F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69E01-B6ED-4AF0-B6EE-D333D36D38A2}">
  <sheetPr>
    <pageSetUpPr fitToPage="1"/>
  </sheetPr>
  <dimension ref="A1:G144"/>
  <sheetViews>
    <sheetView topLeftCell="A19" zoomScaleNormal="100" zoomScaleSheetLayoutView="100" workbookViewId="0">
      <selection activeCell="H47" sqref="H47"/>
    </sheetView>
  </sheetViews>
  <sheetFormatPr defaultColWidth="9.140625" defaultRowHeight="12.75" x14ac:dyDescent="0.2"/>
  <cols>
    <col min="1" max="1" width="3.5703125" style="1" customWidth="1"/>
    <col min="2" max="2" width="31.85546875" style="1" customWidth="1"/>
    <col min="3" max="3" width="8.85546875" style="1" customWidth="1"/>
    <col min="4" max="4" width="12.85546875" style="1" customWidth="1"/>
    <col min="5" max="5" width="14.42578125" style="1" customWidth="1"/>
    <col min="6" max="6" width="16.5703125" style="1" customWidth="1"/>
    <col min="7" max="7" width="15.5703125" style="360" customWidth="1"/>
    <col min="8" max="8" width="39.5703125" style="1" customWidth="1"/>
    <col min="9" max="9" width="25.85546875" style="1" customWidth="1"/>
    <col min="10" max="16384" width="9.140625" style="1"/>
  </cols>
  <sheetData>
    <row r="1" spans="1:7" ht="20.25" x14ac:dyDescent="0.2">
      <c r="B1" s="1931" t="s">
        <v>2297</v>
      </c>
      <c r="C1" s="1931"/>
      <c r="D1" s="1931"/>
      <c r="E1" s="1931"/>
      <c r="F1" s="1785"/>
    </row>
    <row r="3" spans="1:7" ht="13.5" thickBot="1" x14ac:dyDescent="0.25"/>
    <row r="4" spans="1:7" ht="13.5" customHeight="1" x14ac:dyDescent="0.2">
      <c r="B4" s="1932" t="s">
        <v>533</v>
      </c>
      <c r="C4" s="1933"/>
      <c r="D4" s="1933"/>
      <c r="E4" s="1933"/>
      <c r="F4" s="1934"/>
    </row>
    <row r="5" spans="1:7" ht="13.5" thickBot="1" x14ac:dyDescent="0.25">
      <c r="B5" s="1935"/>
      <c r="C5" s="1936"/>
      <c r="D5" s="1936"/>
      <c r="E5" s="1936"/>
      <c r="F5" s="1937"/>
    </row>
    <row r="6" spans="1:7" ht="13.35" customHeight="1" x14ac:dyDescent="0.2">
      <c r="B6" s="8" t="s">
        <v>0</v>
      </c>
      <c r="C6" s="102">
        <v>9</v>
      </c>
      <c r="D6" s="103"/>
      <c r="E6" s="103" t="s">
        <v>1</v>
      </c>
      <c r="F6" s="9">
        <f>C6*365</f>
        <v>3285</v>
      </c>
      <c r="G6" s="1725"/>
    </row>
    <row r="7" spans="1:7" ht="13.35" customHeight="1" x14ac:dyDescent="0.2">
      <c r="B7" s="10"/>
      <c r="F7" s="2"/>
      <c r="G7" s="1725"/>
    </row>
    <row r="8" spans="1:7" ht="15" customHeight="1" x14ac:dyDescent="0.2">
      <c r="B8" s="1419"/>
      <c r="C8" s="1665"/>
      <c r="D8" s="1420" t="s">
        <v>5</v>
      </c>
      <c r="E8" s="1420" t="s">
        <v>6</v>
      </c>
      <c r="F8" s="1666" t="s">
        <v>7</v>
      </c>
    </row>
    <row r="9" spans="1:7" ht="13.35" customHeight="1" x14ac:dyDescent="0.2">
      <c r="A9" s="4"/>
      <c r="B9" s="1726" t="s">
        <v>9</v>
      </c>
      <c r="F9" s="11"/>
    </row>
    <row r="10" spans="1:7" ht="17.45" customHeight="1" x14ac:dyDescent="0.2">
      <c r="A10" s="4"/>
      <c r="B10" s="10" t="str">
        <f>'[24]Intensive Treatment Resi (CCTR)'!B10</f>
        <v>Program Manager (LICSW)</v>
      </c>
      <c r="D10" s="5">
        <f>'[24]Intensive Treatment Resi (CCTR)'!D10</f>
        <v>83639.712</v>
      </c>
      <c r="E10" s="108">
        <v>1</v>
      </c>
      <c r="F10" s="11">
        <f>D10*E10</f>
        <v>83639.712</v>
      </c>
      <c r="G10" s="1425"/>
    </row>
    <row r="11" spans="1:7" ht="13.5" customHeight="1" x14ac:dyDescent="0.2">
      <c r="A11" s="4"/>
      <c r="B11" s="10" t="str">
        <f>'[24]Intensive Treatment Resi (CCTR)'!B11</f>
        <v>Assistant Program Manager</v>
      </c>
      <c r="D11" s="5">
        <f>'[24]Intensive Treatment Resi (CCTR)'!D11</f>
        <v>73854.144</v>
      </c>
      <c r="E11" s="108">
        <v>0.75</v>
      </c>
      <c r="F11" s="11">
        <f>D11*E11</f>
        <v>55390.608</v>
      </c>
      <c r="G11" s="1425"/>
    </row>
    <row r="12" spans="1:7" ht="13.35" customHeight="1" x14ac:dyDescent="0.2">
      <c r="A12" s="4"/>
      <c r="B12" s="8" t="s">
        <v>13</v>
      </c>
      <c r="D12" s="5"/>
      <c r="E12" s="108"/>
      <c r="F12" s="11"/>
      <c r="G12" s="1425"/>
    </row>
    <row r="13" spans="1:7" x14ac:dyDescent="0.2">
      <c r="A13" s="3"/>
      <c r="B13" s="10" t="s">
        <v>17</v>
      </c>
      <c r="D13" s="5">
        <f>'[24]Intensive Treatment Resi (CCTR)'!D13</f>
        <v>247470</v>
      </c>
      <c r="E13" s="108">
        <v>0.75</v>
      </c>
      <c r="F13" s="11">
        <f t="shared" ref="F13:F18" si="0">D13*E13</f>
        <v>185602.5</v>
      </c>
      <c r="G13" s="1425"/>
    </row>
    <row r="14" spans="1:7" x14ac:dyDescent="0.2">
      <c r="B14" s="10" t="s">
        <v>2437</v>
      </c>
      <c r="D14" s="5">
        <f>'[24]Master Data'!E23</f>
        <v>103622.27200000001</v>
      </c>
      <c r="E14" s="108">
        <v>0.18</v>
      </c>
      <c r="F14" s="11">
        <f t="shared" si="0"/>
        <v>18652.008960000003</v>
      </c>
      <c r="G14" s="1425"/>
    </row>
    <row r="15" spans="1:7" ht="13.35" customHeight="1" x14ac:dyDescent="0.2">
      <c r="B15" s="10" t="s">
        <v>2463</v>
      </c>
      <c r="D15" s="5">
        <f>'[24]Master Data'!E24</f>
        <v>73854.144</v>
      </c>
      <c r="E15" s="108">
        <v>0.33</v>
      </c>
      <c r="F15" s="11">
        <f t="shared" si="0"/>
        <v>24371.86752</v>
      </c>
      <c r="G15" s="1425"/>
    </row>
    <row r="16" spans="1:7" ht="15" customHeight="1" x14ac:dyDescent="0.2">
      <c r="B16" s="10" t="s">
        <v>2464</v>
      </c>
      <c r="D16" s="5">
        <f>'[24]Master Data'!E27</f>
        <v>83639.712</v>
      </c>
      <c r="E16" s="108">
        <v>0.22</v>
      </c>
      <c r="F16" s="11">
        <f t="shared" si="0"/>
        <v>18400.736639999999</v>
      </c>
      <c r="G16" s="1425"/>
    </row>
    <row r="17" spans="2:7" ht="13.35" customHeight="1" x14ac:dyDescent="0.2">
      <c r="B17" s="10" t="s">
        <v>2465</v>
      </c>
      <c r="D17" s="5">
        <f>'[24]Master Data'!E28</f>
        <v>70211.44</v>
      </c>
      <c r="E17" s="108">
        <v>0.33</v>
      </c>
      <c r="F17" s="11">
        <f t="shared" si="0"/>
        <v>23169.775200000004</v>
      </c>
      <c r="G17" s="1425"/>
    </row>
    <row r="18" spans="2:7" x14ac:dyDescent="0.2">
      <c r="B18" s="10" t="str">
        <f>'[24]Intensive Treatment Resi (CCTR)'!B18</f>
        <v>Occupational Therapist</v>
      </c>
      <c r="D18" s="5">
        <f>'[24]Master Data'!E25</f>
        <v>82681.040000000008</v>
      </c>
      <c r="E18" s="108">
        <v>0.6</v>
      </c>
      <c r="F18" s="11">
        <f t="shared" si="0"/>
        <v>49608.624000000003</v>
      </c>
      <c r="G18" s="1425"/>
    </row>
    <row r="19" spans="2:7" x14ac:dyDescent="0.2">
      <c r="B19" s="8" t="s">
        <v>18</v>
      </c>
      <c r="D19" s="5"/>
      <c r="E19" s="108"/>
      <c r="F19" s="11"/>
      <c r="G19" s="1425"/>
    </row>
    <row r="20" spans="2:7" ht="13.35" customHeight="1" x14ac:dyDescent="0.2">
      <c r="B20" s="10" t="s">
        <v>2492</v>
      </c>
      <c r="D20" s="5">
        <f>'[24]Master Data'!E34</f>
        <v>56217.241600000001</v>
      </c>
      <c r="E20" s="108">
        <v>1</v>
      </c>
      <c r="F20" s="11">
        <f t="shared" ref="F20:F28" si="1">D20*E20</f>
        <v>56217.241600000001</v>
      </c>
      <c r="G20" s="1425"/>
    </row>
    <row r="21" spans="2:7" x14ac:dyDescent="0.2">
      <c r="B21" s="10" t="s">
        <v>2493</v>
      </c>
      <c r="D21" s="5">
        <f>'[24]Master Data'!E37</f>
        <v>64438.399999999994</v>
      </c>
      <c r="E21" s="108">
        <v>1</v>
      </c>
      <c r="F21" s="11">
        <f t="shared" si="1"/>
        <v>64438.399999999994</v>
      </c>
      <c r="G21" s="1425"/>
    </row>
    <row r="22" spans="2:7" x14ac:dyDescent="0.2">
      <c r="B22" s="10" t="s">
        <v>2494</v>
      </c>
      <c r="D22" s="5">
        <f>'[24]Master Data'!E37</f>
        <v>64438.399999999994</v>
      </c>
      <c r="E22" s="108">
        <v>0.33</v>
      </c>
      <c r="F22" s="11">
        <f t="shared" si="1"/>
        <v>21264.671999999999</v>
      </c>
      <c r="G22" s="1425"/>
    </row>
    <row r="23" spans="2:7" x14ac:dyDescent="0.2">
      <c r="B23" s="10" t="s">
        <v>2490</v>
      </c>
      <c r="D23" s="5">
        <f>'[24]Master Data'!E33</f>
        <v>56217.241600000001</v>
      </c>
      <c r="E23" s="108">
        <v>0.45</v>
      </c>
      <c r="F23" s="11">
        <f t="shared" si="1"/>
        <v>25297.758720000002</v>
      </c>
      <c r="G23" s="1425"/>
    </row>
    <row r="24" spans="2:7" x14ac:dyDescent="0.2">
      <c r="B24" s="10" t="s">
        <v>2445</v>
      </c>
      <c r="D24" s="5">
        <f>'[24]Master Data'!E39</f>
        <v>43247.567999999999</v>
      </c>
      <c r="E24" s="108">
        <v>12.6</v>
      </c>
      <c r="F24" s="11">
        <f t="shared" si="1"/>
        <v>544919.35679999995</v>
      </c>
      <c r="G24" s="1425"/>
    </row>
    <row r="25" spans="2:7" x14ac:dyDescent="0.2">
      <c r="B25" s="10" t="s">
        <v>2469</v>
      </c>
      <c r="D25" s="5">
        <f>'[24]Master Data'!E41</f>
        <v>43247.567999999999</v>
      </c>
      <c r="E25" s="108">
        <v>0.67500000000000004</v>
      </c>
      <c r="F25" s="11">
        <f t="shared" si="1"/>
        <v>29192.108400000001</v>
      </c>
      <c r="G25" s="1425"/>
    </row>
    <row r="26" spans="2:7" x14ac:dyDescent="0.2">
      <c r="B26" s="10" t="s">
        <v>2470</v>
      </c>
      <c r="D26" s="5">
        <f>'[24]Master Data'!E42</f>
        <v>43247.567999999999</v>
      </c>
      <c r="E26" s="108">
        <v>1</v>
      </c>
      <c r="F26" s="11">
        <f t="shared" si="1"/>
        <v>43247.567999999999</v>
      </c>
      <c r="G26" s="1425"/>
    </row>
    <row r="27" spans="2:7" ht="13.35" customHeight="1" x14ac:dyDescent="0.2">
      <c r="B27" s="1421" t="s">
        <v>2446</v>
      </c>
      <c r="C27" s="1667"/>
      <c r="D27" s="1771">
        <f>'[24]Master Data'!E40</f>
        <v>43247.567999999999</v>
      </c>
      <c r="E27" s="1668">
        <v>1</v>
      </c>
      <c r="F27" s="1669">
        <f t="shared" si="1"/>
        <v>43247.567999999999</v>
      </c>
      <c r="G27" s="1425"/>
    </row>
    <row r="28" spans="2:7" x14ac:dyDescent="0.2">
      <c r="B28" s="10" t="s">
        <v>2449</v>
      </c>
      <c r="D28" s="5">
        <f>D27</f>
        <v>43247.567999999999</v>
      </c>
      <c r="E28" s="108">
        <f>E24*'[24]Master Data'!E11</f>
        <v>1.89</v>
      </c>
      <c r="F28" s="11">
        <f t="shared" si="1"/>
        <v>81737.903519999993</v>
      </c>
      <c r="G28" s="1425"/>
    </row>
    <row r="29" spans="2:7" ht="13.35" customHeight="1" x14ac:dyDescent="0.2">
      <c r="B29" s="14" t="s">
        <v>20</v>
      </c>
      <c r="C29" s="15"/>
      <c r="D29" s="15"/>
      <c r="E29" s="1670">
        <f>SUM(E9:E28)</f>
        <v>24.105</v>
      </c>
      <c r="F29" s="16">
        <f>SUM(F10:F28)</f>
        <v>1368398.4093599999</v>
      </c>
      <c r="G29" s="1425"/>
    </row>
    <row r="30" spans="2:7" x14ac:dyDescent="0.2">
      <c r="B30" s="8" t="s">
        <v>21</v>
      </c>
      <c r="E30" s="103"/>
      <c r="F30" s="2"/>
      <c r="G30" s="1425"/>
    </row>
    <row r="31" spans="2:7" ht="13.35" customHeight="1" x14ac:dyDescent="0.2">
      <c r="B31" s="10" t="s">
        <v>23</v>
      </c>
      <c r="D31" s="109">
        <f>'[24]Master Data'!E46</f>
        <v>0.24970000000000001</v>
      </c>
      <c r="F31" s="11">
        <f>D31*F29</f>
        <v>341689.08281719201</v>
      </c>
      <c r="G31" s="1425"/>
    </row>
    <row r="32" spans="2:7" x14ac:dyDescent="0.2">
      <c r="B32" s="14" t="s">
        <v>24</v>
      </c>
      <c r="C32" s="15"/>
      <c r="D32" s="15"/>
      <c r="E32" s="17">
        <f>F32/F6</f>
        <v>520.57457904937348</v>
      </c>
      <c r="F32" s="16">
        <f>F31+F29</f>
        <v>1710087.4921771919</v>
      </c>
      <c r="G32" s="1425"/>
    </row>
    <row r="33" spans="2:7" ht="13.35" customHeight="1" x14ac:dyDescent="0.2">
      <c r="B33" s="10"/>
      <c r="C33" s="109"/>
      <c r="F33" s="1671"/>
      <c r="G33" s="1425"/>
    </row>
    <row r="34" spans="2:7" x14ac:dyDescent="0.2">
      <c r="B34" s="10" t="s">
        <v>26</v>
      </c>
      <c r="E34" s="111">
        <f>'[24]Master Data'!E48</f>
        <v>31.419846000000003</v>
      </c>
      <c r="F34" s="18">
        <f>E34*F6</f>
        <v>103214.19411000001</v>
      </c>
      <c r="G34" s="1425"/>
    </row>
    <row r="35" spans="2:7" ht="13.35" customHeight="1" x14ac:dyDescent="0.2">
      <c r="B35" s="10" t="s">
        <v>27</v>
      </c>
      <c r="E35" s="111">
        <f>'[24]Master Data'!E49</f>
        <v>25.695</v>
      </c>
      <c r="F35" s="18">
        <f>E35*F6</f>
        <v>84408.074999999997</v>
      </c>
      <c r="G35" s="1425"/>
    </row>
    <row r="36" spans="2:7" ht="13.35" customHeight="1" x14ac:dyDescent="0.2">
      <c r="B36" s="10" t="str">
        <f>'[24]Master Data'!C51</f>
        <v>Additional Training Expense Emergency Resi</v>
      </c>
      <c r="E36" s="111">
        <f>'[24]Master Data'!E51</f>
        <v>23.639400000000002</v>
      </c>
      <c r="F36" s="18">
        <f>E36*F6</f>
        <v>77655.429000000004</v>
      </c>
      <c r="G36" s="1425"/>
    </row>
    <row r="37" spans="2:7" ht="13.35" customHeight="1" x14ac:dyDescent="0.2">
      <c r="B37" s="14" t="s">
        <v>29</v>
      </c>
      <c r="C37" s="15"/>
      <c r="D37" s="15"/>
      <c r="E37" s="15"/>
      <c r="F37" s="16">
        <f>SUM(F32:F36)</f>
        <v>1975365.1902871919</v>
      </c>
      <c r="G37" s="1425"/>
    </row>
    <row r="38" spans="2:7" x14ac:dyDescent="0.2">
      <c r="B38" s="10" t="s">
        <v>30</v>
      </c>
      <c r="D38" s="109">
        <f>'[24]Master Data'!E53</f>
        <v>0.12</v>
      </c>
      <c r="F38" s="11">
        <f>D38*F37</f>
        <v>237043.822834463</v>
      </c>
      <c r="G38" s="1425"/>
    </row>
    <row r="39" spans="2:7" ht="13.35" customHeight="1" thickBot="1" x14ac:dyDescent="0.25">
      <c r="B39" s="19" t="s">
        <v>31</v>
      </c>
      <c r="C39" s="20"/>
      <c r="D39" s="20"/>
      <c r="E39" s="20"/>
      <c r="F39" s="21">
        <f>SUM(F37:F38)</f>
        <v>2212409.0131216547</v>
      </c>
      <c r="G39" s="1425"/>
    </row>
    <row r="40" spans="2:7" ht="13.35" customHeight="1" thickTop="1" x14ac:dyDescent="0.2">
      <c r="B40" s="10" t="str">
        <f>'[24]Master Data'!C55</f>
        <v>CAF - BASELINE</v>
      </c>
      <c r="D40" s="109">
        <f>'[24]Master Data'!E55</f>
        <v>3.2549514448865162E-2</v>
      </c>
      <c r="F40" s="1672">
        <f>F39*(1+D40)</f>
        <v>2284421.8522610576</v>
      </c>
      <c r="G40" s="1425"/>
    </row>
    <row r="41" spans="2:7" ht="13.35" customHeight="1" x14ac:dyDescent="0.2">
      <c r="B41" s="10"/>
      <c r="F41" s="1673" t="s">
        <v>32</v>
      </c>
    </row>
    <row r="42" spans="2:7" ht="13.5" thickBot="1" x14ac:dyDescent="0.25">
      <c r="B42" s="1786" t="s">
        <v>2495</v>
      </c>
      <c r="C42" s="23"/>
      <c r="D42" s="363"/>
      <c r="E42" s="1423"/>
      <c r="F42" s="1787">
        <f>F40/F6</f>
        <v>695.4100006882976</v>
      </c>
    </row>
    <row r="43" spans="2:7" x14ac:dyDescent="0.2">
      <c r="F43" s="1788">
        <f>'[24]PRR FY24 Emergency Residence'!F39</f>
        <v>635.99570432453868</v>
      </c>
      <c r="G43" s="1772">
        <f>(F42-F43)/F43</f>
        <v>9.3419335947968501E-2</v>
      </c>
    </row>
    <row r="44" spans="2:7" x14ac:dyDescent="0.2">
      <c r="B44" s="103"/>
      <c r="F44" s="1788"/>
      <c r="G44" s="1"/>
    </row>
    <row r="48" spans="2:7" ht="12.75" customHeight="1" x14ac:dyDescent="0.2"/>
    <row r="50" spans="2:2" ht="15" x14ac:dyDescent="0.25">
      <c r="B50" s="1773"/>
    </row>
    <row r="51" spans="2:2" ht="15" x14ac:dyDescent="0.25">
      <c r="B51" s="1773"/>
    </row>
    <row r="52" spans="2:2" ht="15" x14ac:dyDescent="0.25">
      <c r="B52" s="1773"/>
    </row>
    <row r="53" spans="2:2" ht="15" x14ac:dyDescent="0.25">
      <c r="B53" s="1773"/>
    </row>
    <row r="55" spans="2:2" ht="13.5" customHeight="1" x14ac:dyDescent="0.2"/>
    <row r="67" spans="1:1" ht="13.35" customHeight="1" x14ac:dyDescent="0.2"/>
    <row r="68" spans="1:1" ht="15" customHeight="1" x14ac:dyDescent="0.2"/>
    <row r="73" spans="1:1" ht="12.75" customHeight="1" x14ac:dyDescent="0.2"/>
    <row r="74" spans="1:1" x14ac:dyDescent="0.2">
      <c r="A74" s="1422"/>
    </row>
    <row r="75" spans="1:1" x14ac:dyDescent="0.2">
      <c r="A75" s="111"/>
    </row>
    <row r="76" spans="1:1" x14ac:dyDescent="0.2">
      <c r="A76" s="111"/>
    </row>
    <row r="77" spans="1:1" x14ac:dyDescent="0.2">
      <c r="A77" s="111"/>
    </row>
    <row r="80" spans="1:1" x14ac:dyDescent="0.2">
      <c r="A80" s="4"/>
    </row>
    <row r="81" spans="1:1" x14ac:dyDescent="0.2">
      <c r="A81" s="3"/>
    </row>
    <row r="103" spans="1:1" ht="13.35" customHeight="1" x14ac:dyDescent="0.2"/>
    <row r="104" spans="1:1" ht="15" customHeight="1" x14ac:dyDescent="0.2"/>
    <row r="109" spans="1:1" ht="12.75" customHeight="1" x14ac:dyDescent="0.2">
      <c r="A109" s="111"/>
    </row>
    <row r="110" spans="1:1" x14ac:dyDescent="0.2">
      <c r="A110" s="1422"/>
    </row>
    <row r="111" spans="1:1" x14ac:dyDescent="0.2">
      <c r="A111" s="111"/>
    </row>
    <row r="112" spans="1:1" x14ac:dyDescent="0.2">
      <c r="A112" s="111"/>
    </row>
    <row r="113" spans="1:1" x14ac:dyDescent="0.2">
      <c r="A113" s="111"/>
    </row>
    <row r="115" spans="1:1" x14ac:dyDescent="0.2">
      <c r="A115" s="1424"/>
    </row>
    <row r="116" spans="1:1" x14ac:dyDescent="0.2">
      <c r="A116" s="4"/>
    </row>
    <row r="117" spans="1:1" x14ac:dyDescent="0.2">
      <c r="A117" s="3"/>
    </row>
    <row r="141" spans="1:1" x14ac:dyDescent="0.2">
      <c r="A141" s="1422"/>
    </row>
    <row r="142" spans="1:1" x14ac:dyDescent="0.2">
      <c r="A142" s="111"/>
    </row>
    <row r="143" spans="1:1" x14ac:dyDescent="0.2">
      <c r="A143" s="111"/>
    </row>
    <row r="144" spans="1:1" x14ac:dyDescent="0.2">
      <c r="A144" s="111"/>
    </row>
  </sheetData>
  <mergeCells count="2">
    <mergeCell ref="B1:E1"/>
    <mergeCell ref="B4:F5"/>
  </mergeCells>
  <pageMargins left="0.7" right="0.7" top="0.75" bottom="0.75" header="0.3" footer="0.3"/>
  <pageSetup fitToHeight="0" orientation="landscape" r:id="rId1"/>
  <headerFooter>
    <oddFooter>&amp;R&amp;A
&amp;F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E3B27-AAC7-47F3-9C10-6EA156BC7EB2}">
  <sheetPr>
    <pageSetUpPr fitToPage="1"/>
  </sheetPr>
  <dimension ref="A1:G131"/>
  <sheetViews>
    <sheetView topLeftCell="A9" zoomScaleNormal="100" zoomScaleSheetLayoutView="100" workbookViewId="0">
      <selection activeCell="I39" sqref="I39"/>
    </sheetView>
  </sheetViews>
  <sheetFormatPr defaultColWidth="9.140625" defaultRowHeight="12.75" x14ac:dyDescent="0.2"/>
  <cols>
    <col min="1" max="1" width="3.5703125" style="383" customWidth="1"/>
    <col min="2" max="2" width="31.85546875" style="383" customWidth="1"/>
    <col min="3" max="3" width="8.85546875" style="383" customWidth="1"/>
    <col min="4" max="4" width="15.42578125" style="383" customWidth="1"/>
    <col min="5" max="5" width="14.42578125" style="383" customWidth="1"/>
    <col min="6" max="6" width="15.85546875" style="383" customWidth="1"/>
    <col min="7" max="7" width="20.85546875" style="384" customWidth="1"/>
    <col min="8" max="8" width="36.85546875" style="383" bestFit="1" customWidth="1"/>
    <col min="9" max="9" width="25.85546875" style="383" customWidth="1"/>
    <col min="10" max="16384" width="9.140625" style="383"/>
  </cols>
  <sheetData>
    <row r="1" spans="1:7" x14ac:dyDescent="0.2">
      <c r="B1" s="1896" t="s">
        <v>2297</v>
      </c>
      <c r="C1" s="1896"/>
      <c r="D1" s="1896"/>
      <c r="E1" s="1896"/>
      <c r="F1" s="1674">
        <f ca="1">TODAY()</f>
        <v>45805</v>
      </c>
    </row>
    <row r="3" spans="1:7" ht="13.5" thickBot="1" x14ac:dyDescent="0.25"/>
    <row r="4" spans="1:7" ht="13.5" customHeight="1" x14ac:dyDescent="0.2">
      <c r="B4" s="1919" t="s">
        <v>534</v>
      </c>
      <c r="C4" s="1938"/>
      <c r="D4" s="1938"/>
      <c r="E4" s="1938"/>
      <c r="F4" s="1939"/>
    </row>
    <row r="5" spans="1:7" ht="13.5" thickBot="1" x14ac:dyDescent="0.25">
      <c r="B5" s="1940"/>
      <c r="C5" s="1941"/>
      <c r="D5" s="1941"/>
      <c r="E5" s="1941"/>
      <c r="F5" s="1942"/>
    </row>
    <row r="6" spans="1:7" ht="13.35" customHeight="1" x14ac:dyDescent="0.2">
      <c r="B6" s="731" t="s">
        <v>0</v>
      </c>
      <c r="C6" s="1182">
        <v>9</v>
      </c>
      <c r="D6" s="1183"/>
      <c r="E6" s="1183" t="s">
        <v>1</v>
      </c>
      <c r="F6" s="1181">
        <f>C6*365</f>
        <v>3285</v>
      </c>
      <c r="G6" s="1727"/>
    </row>
    <row r="7" spans="1:7" ht="13.35" customHeight="1" x14ac:dyDescent="0.2">
      <c r="B7" s="724"/>
      <c r="F7" s="736"/>
      <c r="G7" s="1727"/>
    </row>
    <row r="8" spans="1:7" ht="15" customHeight="1" x14ac:dyDescent="0.2">
      <c r="B8" s="1432"/>
      <c r="C8" s="1675"/>
      <c r="D8" s="1433" t="s">
        <v>5</v>
      </c>
      <c r="E8" s="1433" t="s">
        <v>6</v>
      </c>
      <c r="F8" s="1676" t="s">
        <v>7</v>
      </c>
    </row>
    <row r="9" spans="1:7" ht="13.35" customHeight="1" x14ac:dyDescent="0.2">
      <c r="A9" s="1179"/>
      <c r="B9" s="1728" t="s">
        <v>9</v>
      </c>
      <c r="F9" s="1191"/>
    </row>
    <row r="10" spans="1:7" ht="17.45" customHeight="1" x14ac:dyDescent="0.2">
      <c r="A10" s="1179"/>
      <c r="B10" s="724" t="s">
        <v>2462</v>
      </c>
      <c r="D10" s="1184">
        <f>'[24]Emergency Residence CCER'!D10</f>
        <v>83639.712</v>
      </c>
      <c r="E10" s="1190">
        <v>1</v>
      </c>
      <c r="F10" s="1191">
        <f>D10*E10</f>
        <v>83639.712</v>
      </c>
    </row>
    <row r="11" spans="1:7" ht="13.5" customHeight="1" x14ac:dyDescent="0.2">
      <c r="A11" s="1179"/>
      <c r="B11" s="724" t="s">
        <v>625</v>
      </c>
      <c r="D11" s="1184">
        <f>'[24]Emergency Residence CCER'!D11</f>
        <v>73854.144</v>
      </c>
      <c r="E11" s="1190">
        <v>0.75</v>
      </c>
      <c r="F11" s="1191">
        <f>D11*E11</f>
        <v>55390.608</v>
      </c>
    </row>
    <row r="12" spans="1:7" ht="13.35" customHeight="1" x14ac:dyDescent="0.2">
      <c r="A12" s="1179"/>
      <c r="B12" s="731" t="s">
        <v>13</v>
      </c>
      <c r="D12" s="1184"/>
      <c r="E12" s="1190"/>
      <c r="F12" s="1191"/>
    </row>
    <row r="13" spans="1:7" x14ac:dyDescent="0.2">
      <c r="A13" s="1180"/>
      <c r="B13" s="724" t="s">
        <v>2437</v>
      </c>
      <c r="D13" s="1184">
        <f>'[24]Emergency Residence CCER'!D14</f>
        <v>103622.27200000001</v>
      </c>
      <c r="E13" s="1190">
        <v>0.18</v>
      </c>
      <c r="F13" s="1191">
        <f>D13*E13</f>
        <v>18652.008960000003</v>
      </c>
    </row>
    <row r="14" spans="1:7" x14ac:dyDescent="0.2">
      <c r="B14" s="724" t="s">
        <v>2463</v>
      </c>
      <c r="D14" s="1184">
        <f>'[24]Emergency Residence CCER'!D14</f>
        <v>103622.27200000001</v>
      </c>
      <c r="E14" s="1190">
        <v>0.5</v>
      </c>
      <c r="F14" s="1191">
        <f t="shared" ref="F14:F29" si="0">D14*E14</f>
        <v>51811.136000000006</v>
      </c>
    </row>
    <row r="15" spans="1:7" x14ac:dyDescent="0.2">
      <c r="B15" s="724" t="s">
        <v>17</v>
      </c>
      <c r="D15" s="1184">
        <f>'[24]Emergency Residence CCER'!D13</f>
        <v>247470</v>
      </c>
      <c r="E15" s="1190">
        <v>1</v>
      </c>
      <c r="F15" s="1191">
        <f t="shared" si="0"/>
        <v>247470</v>
      </c>
    </row>
    <row r="16" spans="1:7" x14ac:dyDescent="0.2">
      <c r="B16" s="724" t="s">
        <v>2489</v>
      </c>
      <c r="D16" s="1184">
        <f>'[24]Master Data'!E29</f>
        <v>83639.712</v>
      </c>
      <c r="E16" s="1190">
        <v>0.45</v>
      </c>
      <c r="F16" s="1191">
        <f t="shared" si="0"/>
        <v>37637.8704</v>
      </c>
    </row>
    <row r="17" spans="2:6" s="384" customFormat="1" ht="13.35" customHeight="1" x14ac:dyDescent="0.2">
      <c r="B17" s="724" t="s">
        <v>2464</v>
      </c>
      <c r="C17" s="383"/>
      <c r="D17" s="1184">
        <f>'[24]Emergency Residence CCER'!D16</f>
        <v>83639.712</v>
      </c>
      <c r="E17" s="1190">
        <v>0.22</v>
      </c>
      <c r="F17" s="1191">
        <f t="shared" si="0"/>
        <v>18400.736639999999</v>
      </c>
    </row>
    <row r="18" spans="2:6" s="384" customFormat="1" ht="13.35" customHeight="1" x14ac:dyDescent="0.2">
      <c r="B18" s="724" t="s">
        <v>2473</v>
      </c>
      <c r="C18" s="383"/>
      <c r="D18" s="1184">
        <f>'[24]Emergency Residence CCER'!D17</f>
        <v>70211.44</v>
      </c>
      <c r="E18" s="1190">
        <v>0.67</v>
      </c>
      <c r="F18" s="1191">
        <f t="shared" si="0"/>
        <v>47041.664800000006</v>
      </c>
    </row>
    <row r="19" spans="2:6" s="384" customFormat="1" ht="13.35" customHeight="1" x14ac:dyDescent="0.2">
      <c r="B19" s="724" t="str">
        <f>'[24]Emergency Residence CCER'!B18</f>
        <v>Occupational Therapist</v>
      </c>
      <c r="C19" s="383"/>
      <c r="D19" s="1184">
        <f>'[24]Emergency Residence CCER'!D18</f>
        <v>82681.040000000008</v>
      </c>
      <c r="E19" s="1190">
        <v>0.67</v>
      </c>
      <c r="F19" s="1191">
        <f t="shared" si="0"/>
        <v>55396.296800000011</v>
      </c>
    </row>
    <row r="20" spans="2:6" s="384" customFormat="1" x14ac:dyDescent="0.2">
      <c r="B20" s="731" t="s">
        <v>18</v>
      </c>
      <c r="C20" s="383"/>
      <c r="D20" s="1184"/>
      <c r="E20" s="1190"/>
      <c r="F20" s="1191"/>
    </row>
    <row r="21" spans="2:6" s="384" customFormat="1" x14ac:dyDescent="0.2">
      <c r="B21" s="1762" t="str">
        <f>'[24]Master Data'!C31</f>
        <v>Clinical Care Manager (MA)</v>
      </c>
      <c r="C21" s="383"/>
      <c r="D21" s="1184">
        <f>'[24]Master Data'!E31</f>
        <v>70211.44</v>
      </c>
      <c r="E21" s="1190">
        <v>1</v>
      </c>
      <c r="F21" s="1191">
        <f t="shared" si="0"/>
        <v>70211.44</v>
      </c>
    </row>
    <row r="22" spans="2:6" s="384" customFormat="1" ht="13.35" customHeight="1" x14ac:dyDescent="0.2">
      <c r="B22" s="1762" t="s">
        <v>2468</v>
      </c>
      <c r="C22" s="383"/>
      <c r="D22" s="1184">
        <f>'[24]Master Data'!E37</f>
        <v>64438.399999999994</v>
      </c>
      <c r="E22" s="1190">
        <v>0.33</v>
      </c>
      <c r="F22" s="1191">
        <f t="shared" si="0"/>
        <v>21264.671999999999</v>
      </c>
    </row>
    <row r="23" spans="2:6" s="384" customFormat="1" x14ac:dyDescent="0.2">
      <c r="B23" s="724" t="s">
        <v>2492</v>
      </c>
      <c r="C23" s="383"/>
      <c r="D23" s="1184">
        <f>'[24]Master Data'!E34</f>
        <v>56217.241600000001</v>
      </c>
      <c r="E23" s="1190">
        <v>1</v>
      </c>
      <c r="F23" s="1191">
        <f t="shared" si="0"/>
        <v>56217.241600000001</v>
      </c>
    </row>
    <row r="24" spans="2:6" s="384" customFormat="1" x14ac:dyDescent="0.2">
      <c r="B24" s="724" t="s">
        <v>2444</v>
      </c>
      <c r="C24" s="383"/>
      <c r="D24" s="1184">
        <f>'[24]Master Data'!E33</f>
        <v>56217.241600000001</v>
      </c>
      <c r="E24" s="1190">
        <v>0.22</v>
      </c>
      <c r="F24" s="1191">
        <f t="shared" si="0"/>
        <v>12367.793152</v>
      </c>
    </row>
    <row r="25" spans="2:6" s="384" customFormat="1" x14ac:dyDescent="0.2">
      <c r="B25" s="724" t="s">
        <v>2496</v>
      </c>
      <c r="C25" s="383"/>
      <c r="D25" s="1184">
        <f>'[24]Master Data'!E39</f>
        <v>43247.567999999999</v>
      </c>
      <c r="E25" s="1190">
        <v>15.4</v>
      </c>
      <c r="F25" s="1191">
        <f t="shared" si="0"/>
        <v>666012.54720000003</v>
      </c>
    </row>
    <row r="26" spans="2:6" s="384" customFormat="1" x14ac:dyDescent="0.2">
      <c r="B26" s="724" t="s">
        <v>2469</v>
      </c>
      <c r="C26" s="383"/>
      <c r="D26" s="1184">
        <f>'[24]Master Data'!E41</f>
        <v>43247.567999999999</v>
      </c>
      <c r="E26" s="1190">
        <v>1</v>
      </c>
      <c r="F26" s="1191">
        <f t="shared" si="0"/>
        <v>43247.567999999999</v>
      </c>
    </row>
    <row r="27" spans="2:6" s="384" customFormat="1" x14ac:dyDescent="0.2">
      <c r="B27" s="724" t="s">
        <v>2470</v>
      </c>
      <c r="C27" s="383"/>
      <c r="D27" s="1184">
        <f>'[24]Master Data'!E42</f>
        <v>43247.567999999999</v>
      </c>
      <c r="E27" s="1190">
        <v>1</v>
      </c>
      <c r="F27" s="1191">
        <f t="shared" si="0"/>
        <v>43247.567999999999</v>
      </c>
    </row>
    <row r="28" spans="2:6" s="384" customFormat="1" ht="13.35" customHeight="1" x14ac:dyDescent="0.2">
      <c r="B28" s="1438" t="s">
        <v>2446</v>
      </c>
      <c r="C28" s="1686"/>
      <c r="D28" s="1775">
        <f>'[24]Master Data'!E40</f>
        <v>43247.567999999999</v>
      </c>
      <c r="E28" s="1687">
        <v>1</v>
      </c>
      <c r="F28" s="1688">
        <f t="shared" si="0"/>
        <v>43247.567999999999</v>
      </c>
    </row>
    <row r="29" spans="2:6" s="384" customFormat="1" x14ac:dyDescent="0.2">
      <c r="B29" s="724" t="s">
        <v>2449</v>
      </c>
      <c r="C29" s="383"/>
      <c r="D29" s="1184">
        <f>D28</f>
        <v>43247.567999999999</v>
      </c>
      <c r="E29" s="1190">
        <f>E25*'[24]Master Data'!E11</f>
        <v>2.31</v>
      </c>
      <c r="F29" s="1191">
        <f t="shared" si="0"/>
        <v>99901.882079999996</v>
      </c>
    </row>
    <row r="30" spans="2:6" s="384" customFormat="1" ht="13.35" customHeight="1" x14ac:dyDescent="0.2">
      <c r="B30" s="1195" t="s">
        <v>20</v>
      </c>
      <c r="C30" s="1196"/>
      <c r="D30" s="1196"/>
      <c r="E30" s="1689">
        <f>SUM(E9:E29)</f>
        <v>28.7</v>
      </c>
      <c r="F30" s="1198">
        <f>SUM(F10:F29)</f>
        <v>1671158.313632</v>
      </c>
    </row>
    <row r="31" spans="2:6" s="384" customFormat="1" x14ac:dyDescent="0.2">
      <c r="B31" s="731" t="s">
        <v>21</v>
      </c>
      <c r="C31" s="383"/>
      <c r="D31" s="383"/>
      <c r="E31" s="1183" t="s">
        <v>22</v>
      </c>
      <c r="F31" s="736"/>
    </row>
    <row r="32" spans="2:6" s="384" customFormat="1" ht="13.35" customHeight="1" x14ac:dyDescent="0.2">
      <c r="B32" s="724" t="s">
        <v>23</v>
      </c>
      <c r="C32" s="383"/>
      <c r="D32" s="726">
        <f>'[24]Emergency Residence CCER'!D31</f>
        <v>0.24970000000000001</v>
      </c>
      <c r="E32" s="383"/>
      <c r="F32" s="1191">
        <f>D32*F30</f>
        <v>417288.23091391043</v>
      </c>
    </row>
    <row r="33" spans="2:7" x14ac:dyDescent="0.2">
      <c r="B33" s="1195" t="s">
        <v>24</v>
      </c>
      <c r="C33" s="1196"/>
      <c r="D33" s="1734"/>
      <c r="E33" s="1197"/>
      <c r="F33" s="1198">
        <f>F32+F30</f>
        <v>2088446.5445459103</v>
      </c>
    </row>
    <row r="34" spans="2:7" ht="13.35" customHeight="1" x14ac:dyDescent="0.2">
      <c r="B34" s="724"/>
      <c r="C34" s="1763"/>
      <c r="F34" s="1691"/>
    </row>
    <row r="35" spans="2:7" x14ac:dyDescent="0.2">
      <c r="B35" s="724" t="s">
        <v>26</v>
      </c>
      <c r="E35" s="1200">
        <f>'[24]Emergency Residence CCER'!E34</f>
        <v>31.419846000000003</v>
      </c>
      <c r="F35" s="1199">
        <f>E35*F6</f>
        <v>103214.19411000001</v>
      </c>
    </row>
    <row r="36" spans="2:7" ht="13.35" customHeight="1" x14ac:dyDescent="0.2">
      <c r="B36" s="724" t="s">
        <v>27</v>
      </c>
      <c r="E36" s="1200">
        <f>'[24]Emergency Residence CCER'!E35</f>
        <v>25.695</v>
      </c>
      <c r="F36" s="1199">
        <f>E36*F6</f>
        <v>84408.074999999997</v>
      </c>
    </row>
    <row r="37" spans="2:7" ht="13.35" customHeight="1" x14ac:dyDescent="0.2">
      <c r="B37" s="724" t="str">
        <f>'[24]Master Data'!C51</f>
        <v>Additional Training Expense Emergency Resi</v>
      </c>
      <c r="E37" s="1200">
        <f>'[24]Emergency Residence CCER'!E36</f>
        <v>23.639400000000002</v>
      </c>
      <c r="F37" s="1199">
        <f>E37*F6</f>
        <v>77655.429000000004</v>
      </c>
    </row>
    <row r="38" spans="2:7" ht="13.35" customHeight="1" x14ac:dyDescent="0.2">
      <c r="B38" s="1195" t="s">
        <v>29</v>
      </c>
      <c r="C38" s="1196"/>
      <c r="D38" s="1196"/>
      <c r="E38" s="1196"/>
      <c r="F38" s="1198">
        <f>SUM(F33:F37)</f>
        <v>2353724.2426559106</v>
      </c>
    </row>
    <row r="39" spans="2:7" x14ac:dyDescent="0.2">
      <c r="B39" s="724" t="s">
        <v>30</v>
      </c>
      <c r="D39" s="726">
        <f>'[24]Emergency Residence CCER'!D38</f>
        <v>0.12</v>
      </c>
      <c r="F39" s="1191">
        <f>D39*F38</f>
        <v>282446.90911870927</v>
      </c>
    </row>
    <row r="40" spans="2:7" ht="13.35" customHeight="1" thickBot="1" x14ac:dyDescent="0.25">
      <c r="B40" s="1203" t="s">
        <v>31</v>
      </c>
      <c r="C40" s="1204"/>
      <c r="D40" s="1204"/>
      <c r="E40" s="1204"/>
      <c r="F40" s="1205">
        <f>SUM(F38:F39)</f>
        <v>2636171.1517746197</v>
      </c>
    </row>
    <row r="41" spans="2:7" ht="13.35" customHeight="1" thickTop="1" x14ac:dyDescent="0.2">
      <c r="B41" s="1789" t="str">
        <f>'[24]Emergency Residence CCER'!B40</f>
        <v>CAF - BASELINE</v>
      </c>
      <c r="C41" s="1790"/>
      <c r="D41" s="1791">
        <f>'[24]Emergency Residence CCER'!D40</f>
        <v>3.2549514448865162E-2</v>
      </c>
      <c r="E41" s="1790"/>
      <c r="F41" s="1792">
        <f>F40*(D41+1)</f>
        <v>2721977.2427689894</v>
      </c>
    </row>
    <row r="42" spans="2:7" ht="13.35" customHeight="1" x14ac:dyDescent="0.2">
      <c r="B42" s="724"/>
      <c r="F42" s="1694" t="s">
        <v>32</v>
      </c>
    </row>
    <row r="43" spans="2:7" ht="13.5" thickBot="1" x14ac:dyDescent="0.25">
      <c r="B43" s="1793" t="s">
        <v>2497</v>
      </c>
      <c r="C43" s="1192"/>
      <c r="D43" s="734"/>
      <c r="E43" s="1453"/>
      <c r="F43" s="1794">
        <f>F41/F6</f>
        <v>828.60798866635901</v>
      </c>
    </row>
    <row r="44" spans="2:7" x14ac:dyDescent="0.2">
      <c r="F44" s="1795">
        <f>'[24]PRR FY24 Int Emergency Resi'!F40</f>
        <v>755.87014894582899</v>
      </c>
      <c r="G44" s="1477">
        <f>(F43-F44)/F44</f>
        <v>9.6230602335564561E-2</v>
      </c>
    </row>
    <row r="45" spans="2:7" x14ac:dyDescent="0.2">
      <c r="B45" s="1183"/>
    </row>
    <row r="50" spans="1:2" x14ac:dyDescent="0.2">
      <c r="B50" s="1722"/>
    </row>
    <row r="51" spans="1:2" x14ac:dyDescent="0.2">
      <c r="B51" s="1722"/>
    </row>
    <row r="52" spans="1:2" x14ac:dyDescent="0.2">
      <c r="B52" s="1722"/>
    </row>
    <row r="53" spans="1:2" x14ac:dyDescent="0.2">
      <c r="B53" s="1722"/>
    </row>
    <row r="54" spans="1:2" ht="13.35" customHeight="1" x14ac:dyDescent="0.2"/>
    <row r="55" spans="1:2" ht="15" customHeight="1" x14ac:dyDescent="0.2"/>
    <row r="60" spans="1:2" ht="12.75" customHeight="1" x14ac:dyDescent="0.2"/>
    <row r="61" spans="1:2" x14ac:dyDescent="0.2">
      <c r="A61" s="1451"/>
    </row>
    <row r="62" spans="1:2" x14ac:dyDescent="0.2">
      <c r="A62" s="1200"/>
    </row>
    <row r="63" spans="1:2" x14ac:dyDescent="0.2">
      <c r="A63" s="1200"/>
    </row>
    <row r="64" spans="1:2" x14ac:dyDescent="0.2">
      <c r="A64" s="1200"/>
    </row>
    <row r="67" spans="1:1" x14ac:dyDescent="0.2">
      <c r="A67" s="1179"/>
    </row>
    <row r="68" spans="1:1" x14ac:dyDescent="0.2">
      <c r="A68" s="1180"/>
    </row>
    <row r="90" spans="1:1" ht="13.35" customHeight="1" x14ac:dyDescent="0.2"/>
    <row r="91" spans="1:1" ht="15" customHeight="1" x14ac:dyDescent="0.2"/>
    <row r="96" spans="1:1" ht="12.75" customHeight="1" x14ac:dyDescent="0.2">
      <c r="A96" s="1200"/>
    </row>
    <row r="97" spans="1:1" x14ac:dyDescent="0.2">
      <c r="A97" s="1451"/>
    </row>
    <row r="98" spans="1:1" x14ac:dyDescent="0.2">
      <c r="A98" s="1200"/>
    </row>
    <row r="99" spans="1:1" x14ac:dyDescent="0.2">
      <c r="A99" s="1200"/>
    </row>
    <row r="100" spans="1:1" x14ac:dyDescent="0.2">
      <c r="A100" s="1200"/>
    </row>
    <row r="102" spans="1:1" x14ac:dyDescent="0.2">
      <c r="A102" s="1471"/>
    </row>
    <row r="103" spans="1:1" x14ac:dyDescent="0.2">
      <c r="A103" s="1179"/>
    </row>
    <row r="104" spans="1:1" x14ac:dyDescent="0.2">
      <c r="A104" s="1180"/>
    </row>
    <row r="128" spans="1:1" x14ac:dyDescent="0.2">
      <c r="A128" s="1451"/>
    </row>
    <row r="129" spans="1:1" x14ac:dyDescent="0.2">
      <c r="A129" s="1200"/>
    </row>
    <row r="130" spans="1:1" x14ac:dyDescent="0.2">
      <c r="A130" s="1200"/>
    </row>
    <row r="131" spans="1:1" x14ac:dyDescent="0.2">
      <c r="A131" s="1200"/>
    </row>
  </sheetData>
  <mergeCells count="2">
    <mergeCell ref="B1:E1"/>
    <mergeCell ref="B4:F5"/>
  </mergeCells>
  <pageMargins left="0.7" right="0.7" top="0.75" bottom="0.75" header="0.3" footer="0.3"/>
  <pageSetup fitToHeight="0" orientation="landscape" r:id="rId1"/>
  <headerFooter>
    <oddFooter>&amp;R&amp;A
&amp;F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63B3A-CBF1-4745-AD97-A103564499F1}">
  <dimension ref="B1:M45"/>
  <sheetViews>
    <sheetView topLeftCell="A19" workbookViewId="0">
      <selection activeCell="J13" sqref="J13"/>
    </sheetView>
  </sheetViews>
  <sheetFormatPr defaultRowHeight="15" x14ac:dyDescent="0.25"/>
  <cols>
    <col min="3" max="3" width="50.42578125" customWidth="1"/>
    <col min="4" max="4" width="23.7109375" customWidth="1"/>
    <col min="5" max="5" width="15.85546875" customWidth="1"/>
    <col min="6" max="6" width="15.28515625" customWidth="1"/>
    <col min="7" max="7" width="16.140625" style="514" customWidth="1"/>
    <col min="9" max="12" width="15" customWidth="1"/>
    <col min="13" max="13" width="9.85546875" bestFit="1" customWidth="1"/>
  </cols>
  <sheetData>
    <row r="1" spans="2:8" ht="15.75" thickBot="1" x14ac:dyDescent="0.3"/>
    <row r="2" spans="2:8" ht="35.25" customHeight="1" thickBot="1" x14ac:dyDescent="0.3">
      <c r="B2" s="1080" t="s">
        <v>2318</v>
      </c>
      <c r="C2" s="1080" t="s">
        <v>525</v>
      </c>
      <c r="D2" s="1081" t="s">
        <v>339</v>
      </c>
      <c r="E2" s="1081" t="s">
        <v>2319</v>
      </c>
      <c r="F2" s="1081" t="s">
        <v>2320</v>
      </c>
      <c r="G2" s="1082" t="s">
        <v>2321</v>
      </c>
    </row>
    <row r="3" spans="2:8" ht="15.75" thickBot="1" x14ac:dyDescent="0.3">
      <c r="C3" s="675" t="s">
        <v>531</v>
      </c>
      <c r="D3" s="677" t="s">
        <v>532</v>
      </c>
      <c r="E3" s="1084">
        <f>' Intensive Therapeutic Care'!G33</f>
        <v>189.18</v>
      </c>
      <c r="F3" s="1085">
        <f>' Intensive Therapeutic Care'!G32</f>
        <v>207.50208306333167</v>
      </c>
      <c r="G3" s="1079">
        <f>(F3-E3)/E3</f>
        <v>9.6850000334769315E-2</v>
      </c>
    </row>
    <row r="4" spans="2:8" ht="15.75" thickBot="1" x14ac:dyDescent="0.3">
      <c r="C4" s="675" t="s">
        <v>553</v>
      </c>
      <c r="D4" s="1078" t="s">
        <v>527</v>
      </c>
      <c r="E4" s="1083">
        <f>' Adult Theraputic Care'!G38</f>
        <v>87633</v>
      </c>
      <c r="F4" s="1086">
        <f>' Adult Theraputic Care'!G36</f>
        <v>96670.673223089791</v>
      </c>
      <c r="G4" s="1079">
        <f>(F4-E4)/E4</f>
        <v>0.10313093495703435</v>
      </c>
    </row>
    <row r="5" spans="2:8" ht="15.75" thickBot="1" x14ac:dyDescent="0.3">
      <c r="C5" s="675" t="s">
        <v>553</v>
      </c>
      <c r="D5" s="1078" t="s">
        <v>554</v>
      </c>
      <c r="E5" s="1083">
        <v>14605</v>
      </c>
      <c r="F5" s="1086">
        <f>' Adult Theraputic Care'!G37</f>
        <v>16111.778870514965</v>
      </c>
      <c r="G5" s="1079">
        <f>(F5-E5)/E5</f>
        <v>0.10316870048031257</v>
      </c>
    </row>
    <row r="6" spans="2:8" ht="15.75" thickBot="1" x14ac:dyDescent="0.3">
      <c r="C6" s="675" t="s">
        <v>555</v>
      </c>
      <c r="D6" s="1078" t="s">
        <v>554</v>
      </c>
      <c r="E6" s="1083">
        <v>6236</v>
      </c>
      <c r="F6" s="1086">
        <f>' Adult Theraputic Care'!J36</f>
        <v>6970.8745576896918</v>
      </c>
      <c r="G6" s="1079">
        <f t="shared" ref="G6:G11" si="0">(F6-E6)/E6</f>
        <v>0.11784389956537712</v>
      </c>
    </row>
    <row r="7" spans="2:8" ht="15.75" thickBot="1" x14ac:dyDescent="0.3">
      <c r="C7" s="675" t="s">
        <v>556</v>
      </c>
      <c r="D7" s="1078" t="s">
        <v>557</v>
      </c>
      <c r="E7" s="1076">
        <v>65.52</v>
      </c>
      <c r="F7" s="1087">
        <f>' Adult Theraputic Care'!M36</f>
        <v>68.878824872921072</v>
      </c>
      <c r="G7" s="1079">
        <f t="shared" si="0"/>
        <v>5.1264115887073816E-2</v>
      </c>
    </row>
    <row r="8" spans="2:8" ht="15.75" thickBot="1" x14ac:dyDescent="0.3">
      <c r="C8" s="675" t="s">
        <v>551</v>
      </c>
      <c r="D8" s="1078" t="s">
        <v>552</v>
      </c>
      <c r="E8" s="1076">
        <v>63.21</v>
      </c>
      <c r="F8" s="1087">
        <f>' Adult Theraputic Care'!P36</f>
        <v>74.443662342832567</v>
      </c>
      <c r="G8" s="1079">
        <f t="shared" si="0"/>
        <v>0.17771970167430101</v>
      </c>
    </row>
    <row r="9" spans="2:8" ht="15.75" thickBot="1" x14ac:dyDescent="0.3">
      <c r="C9" s="675" t="s">
        <v>547</v>
      </c>
      <c r="D9" s="1078" t="s">
        <v>527</v>
      </c>
      <c r="E9" s="1083">
        <v>99178</v>
      </c>
      <c r="F9" s="1086">
        <f>'Therapeutic Grp Care 6 Bed'!G35</f>
        <v>111135.950988677</v>
      </c>
      <c r="G9" s="1079">
        <f t="shared" si="0"/>
        <v>0.12057060022058315</v>
      </c>
    </row>
    <row r="10" spans="2:8" ht="15.75" thickBot="1" x14ac:dyDescent="0.3">
      <c r="C10" s="675" t="s">
        <v>548</v>
      </c>
      <c r="D10" s="1078" t="s">
        <v>527</v>
      </c>
      <c r="E10" s="1083">
        <v>135891</v>
      </c>
      <c r="F10" s="1086">
        <f>'Therapeutic Grp Care 9 Bed '!G34</f>
        <v>152894.04643105294</v>
      </c>
      <c r="G10" s="1079">
        <f t="shared" si="0"/>
        <v>0.12512268237817761</v>
      </c>
      <c r="H10" s="880" t="s">
        <v>2324</v>
      </c>
    </row>
    <row r="11" spans="2:8" ht="15.75" thickBot="1" x14ac:dyDescent="0.3">
      <c r="C11" s="675" t="s">
        <v>549</v>
      </c>
      <c r="D11" s="1078" t="s">
        <v>527</v>
      </c>
      <c r="E11" s="1083">
        <v>170267</v>
      </c>
      <c r="F11" s="1086">
        <f>'Therapeutic Grp Care12 Bed '!G37</f>
        <v>191481.5512396165</v>
      </c>
      <c r="G11" s="1079">
        <f t="shared" si="0"/>
        <v>0.12459578919941328</v>
      </c>
    </row>
    <row r="12" spans="2:8" ht="15.75" thickBot="1" x14ac:dyDescent="0.3">
      <c r="C12" s="675"/>
      <c r="D12" s="1078"/>
      <c r="E12" s="679"/>
      <c r="F12" s="679"/>
      <c r="G12" s="1078"/>
    </row>
    <row r="13" spans="2:8" ht="15.75" thickBot="1" x14ac:dyDescent="0.3">
      <c r="C13" s="675"/>
      <c r="D13" s="1078"/>
      <c r="E13" s="679"/>
      <c r="F13" s="679"/>
      <c r="G13" s="1078"/>
    </row>
    <row r="14" spans="2:8" ht="15.75" thickBot="1" x14ac:dyDescent="0.3">
      <c r="C14" s="675"/>
      <c r="D14" s="1078"/>
      <c r="E14" s="679"/>
      <c r="F14" s="679"/>
      <c r="G14" s="1078"/>
    </row>
    <row r="15" spans="2:8" x14ac:dyDescent="0.25">
      <c r="C15" s="1068"/>
      <c r="D15" s="1068"/>
    </row>
    <row r="16" spans="2:8" ht="15.75" thickBot="1" x14ac:dyDescent="0.3">
      <c r="C16" s="1069"/>
      <c r="D16" s="1069"/>
    </row>
    <row r="17" spans="3:13" ht="15.75" thickBot="1" x14ac:dyDescent="0.3">
      <c r="C17" s="1070" t="s">
        <v>564</v>
      </c>
      <c r="D17" s="1855" t="s">
        <v>2322</v>
      </c>
      <c r="E17" s="1856"/>
      <c r="F17" s="1856"/>
      <c r="G17" s="1858"/>
      <c r="H17" s="1073"/>
      <c r="I17" s="1855" t="s">
        <v>2323</v>
      </c>
      <c r="J17" s="1856"/>
      <c r="K17" s="1856"/>
      <c r="L17" s="1858"/>
    </row>
    <row r="18" spans="3:13" ht="15.75" thickBot="1" x14ac:dyDescent="0.3">
      <c r="C18" s="1063" t="s">
        <v>182</v>
      </c>
      <c r="D18" s="682" t="s">
        <v>565</v>
      </c>
      <c r="E18" s="1077" t="s">
        <v>566</v>
      </c>
      <c r="F18" s="682" t="s">
        <v>567</v>
      </c>
      <c r="G18" s="682" t="s">
        <v>568</v>
      </c>
      <c r="I18" s="1062" t="s">
        <v>565</v>
      </c>
      <c r="J18" s="1077" t="s">
        <v>566</v>
      </c>
      <c r="K18" s="682" t="s">
        <v>567</v>
      </c>
      <c r="L18" s="682" t="s">
        <v>568</v>
      </c>
    </row>
    <row r="19" spans="3:13" ht="15.75" thickBot="1" x14ac:dyDescent="0.3">
      <c r="C19" s="678" t="s">
        <v>18</v>
      </c>
      <c r="D19" s="679">
        <v>4244</v>
      </c>
      <c r="E19" s="679">
        <v>3183</v>
      </c>
      <c r="F19" s="679">
        <v>2122</v>
      </c>
      <c r="G19" s="679">
        <v>1061</v>
      </c>
      <c r="I19" s="1089">
        <f>'FY26 Add on Rates'!B8</f>
        <v>4650.4727164804999</v>
      </c>
      <c r="J19" s="1088">
        <f>'FY26 Add on Rates'!B9</f>
        <v>3487.8545373603747</v>
      </c>
      <c r="K19" s="1088">
        <f>'FY26 Add on Rates'!B10</f>
        <v>2325.23635824025</v>
      </c>
      <c r="L19" s="1088">
        <f>'FY26 Add on Rates'!B11</f>
        <v>1162.618179120125</v>
      </c>
      <c r="M19" s="514">
        <f>(I19-D19)/D19</f>
        <v>9.5775852139608833E-2</v>
      </c>
    </row>
    <row r="20" spans="3:13" ht="28.5" customHeight="1" thickBot="1" x14ac:dyDescent="0.3">
      <c r="C20" s="678" t="s">
        <v>38</v>
      </c>
      <c r="D20" s="679">
        <v>4023</v>
      </c>
      <c r="E20" s="679">
        <v>3017</v>
      </c>
      <c r="F20" s="679">
        <v>2011</v>
      </c>
      <c r="G20" s="679">
        <v>1006</v>
      </c>
      <c r="I20" s="1089">
        <f>'FY26 Add on Rates'!C8</f>
        <v>4790.4648708682307</v>
      </c>
      <c r="J20" s="1088">
        <f>'FY26 Add on Rates'!C9</f>
        <v>3592.848653151173</v>
      </c>
      <c r="K20" s="1088">
        <f>'FY26 Add on Rates'!C10</f>
        <v>2395.2324354341154</v>
      </c>
      <c r="L20" s="1088">
        <f>'FY26 Add on Rates'!C11</f>
        <v>1197.6162177170577</v>
      </c>
      <c r="M20" s="514">
        <f t="shared" ref="M20:M28" si="1">(I20-D20)/D20</f>
        <v>0.19076929427497658</v>
      </c>
    </row>
    <row r="21" spans="3:13" ht="15.75" thickBot="1" x14ac:dyDescent="0.3">
      <c r="C21" s="678" t="s">
        <v>39</v>
      </c>
      <c r="D21" s="679">
        <v>5415</v>
      </c>
      <c r="E21" s="679">
        <v>4061</v>
      </c>
      <c r="F21" s="679">
        <v>2708</v>
      </c>
      <c r="G21" s="679">
        <v>1354</v>
      </c>
      <c r="I21" s="1089">
        <f>'FY26 Add on Rates'!D8</f>
        <v>6045.1202309594046</v>
      </c>
      <c r="J21" s="1088">
        <f>'FY26 Add on Rates'!D9</f>
        <v>4533.8401732195534</v>
      </c>
      <c r="K21" s="1088">
        <f>'FY26 Add on Rates'!D10</f>
        <v>3022.5601154797023</v>
      </c>
      <c r="L21" s="1088">
        <f>'FY26 Add on Rates'!D11</f>
        <v>1511.2800577398511</v>
      </c>
      <c r="M21" s="514">
        <f t="shared" si="1"/>
        <v>0.11636569362131202</v>
      </c>
    </row>
    <row r="22" spans="3:13" ht="15.75" thickBot="1" x14ac:dyDescent="0.3">
      <c r="C22" s="678" t="s">
        <v>569</v>
      </c>
      <c r="D22" s="679">
        <v>8634</v>
      </c>
      <c r="E22" s="679">
        <v>6475</v>
      </c>
      <c r="F22" s="679">
        <v>4317</v>
      </c>
      <c r="G22" s="679">
        <v>2158</v>
      </c>
      <c r="I22" s="1089">
        <f>'FY26 Add on Rates'!E8</f>
        <v>8890.8102460289319</v>
      </c>
      <c r="J22" s="1088">
        <f>'FY26 Add on Rates'!E9</f>
        <v>6668.1076845216994</v>
      </c>
      <c r="K22" s="1088">
        <f>'FY26 Add on Rates'!E10</f>
        <v>4445.405123014466</v>
      </c>
      <c r="L22" s="1088">
        <f>'FY26 Add on Rates'!E11</f>
        <v>2222.702561507233</v>
      </c>
      <c r="M22" s="514">
        <f t="shared" si="1"/>
        <v>2.9744063704995591E-2</v>
      </c>
    </row>
    <row r="23" spans="3:13" ht="15.75" thickBot="1" x14ac:dyDescent="0.3">
      <c r="C23" s="678" t="s">
        <v>570</v>
      </c>
      <c r="D23" s="679">
        <v>7137</v>
      </c>
      <c r="E23" s="679">
        <v>5353</v>
      </c>
      <c r="F23" s="679">
        <v>3568</v>
      </c>
      <c r="G23" s="679">
        <v>1784</v>
      </c>
      <c r="I23" s="1089">
        <f>'FY26 Add on Rates'!F8</f>
        <v>8132.0254820724249</v>
      </c>
      <c r="J23" s="1088">
        <f>'FY26 Add on Rates'!F9</f>
        <v>6099.0191115543184</v>
      </c>
      <c r="K23" s="1088">
        <f>'FY26 Add on Rates'!F10</f>
        <v>4066.0127410362124</v>
      </c>
      <c r="L23" s="1088">
        <f>'FY26 Add on Rates'!F11</f>
        <v>2033.0063705181062</v>
      </c>
      <c r="M23" s="514">
        <f t="shared" si="1"/>
        <v>0.13941789016007075</v>
      </c>
    </row>
    <row r="24" spans="3:13" ht="30.75" thickBot="1" x14ac:dyDescent="0.3">
      <c r="C24" s="678" t="s">
        <v>571</v>
      </c>
      <c r="D24" s="679">
        <v>6829</v>
      </c>
      <c r="E24" s="679">
        <v>5122</v>
      </c>
      <c r="F24" s="679">
        <v>3414</v>
      </c>
      <c r="G24" s="679">
        <v>1707</v>
      </c>
      <c r="I24" s="1089">
        <f>'FY26 Add on Rates'!G8</f>
        <v>7549.9363595383593</v>
      </c>
      <c r="J24" s="1088">
        <f>'FY26 Add on Rates'!G9</f>
        <v>5662.4522696537697</v>
      </c>
      <c r="K24" s="1088">
        <f>'FY26 Add on Rates'!G10</f>
        <v>3774.9681797691796</v>
      </c>
      <c r="L24" s="1088">
        <f>'FY26 Add on Rates'!G11</f>
        <v>1887.4840898845898</v>
      </c>
      <c r="M24" s="514">
        <f t="shared" si="1"/>
        <v>0.10556982860424063</v>
      </c>
    </row>
    <row r="25" spans="3:13" ht="15.75" thickBot="1" x14ac:dyDescent="0.3">
      <c r="C25" s="678" t="s">
        <v>16</v>
      </c>
      <c r="D25" s="679">
        <v>6497</v>
      </c>
      <c r="E25" s="679">
        <v>4873</v>
      </c>
      <c r="F25" s="679">
        <v>3248</v>
      </c>
      <c r="G25" s="679">
        <v>1624</v>
      </c>
      <c r="I25" s="1089">
        <f>'FY26 Add on Rates'!H8</f>
        <v>7941.6415200739611</v>
      </c>
      <c r="J25" s="1088">
        <f>'FY26 Add on Rates'!H9</f>
        <v>5956.2311400554709</v>
      </c>
      <c r="K25" s="1088">
        <f>'FY26 Add on Rates'!H10</f>
        <v>3970.8207600369806</v>
      </c>
      <c r="L25" s="1088">
        <f>'FY26 Add on Rates'!H11</f>
        <v>1985.4103800184903</v>
      </c>
      <c r="M25" s="514">
        <f t="shared" si="1"/>
        <v>0.22235516701153782</v>
      </c>
    </row>
    <row r="26" spans="3:13" ht="15.75" thickBot="1" x14ac:dyDescent="0.3">
      <c r="C26" s="678" t="s">
        <v>42</v>
      </c>
      <c r="D26" s="679">
        <v>10523</v>
      </c>
      <c r="E26" s="679">
        <v>7893</v>
      </c>
      <c r="F26" s="679">
        <v>5262</v>
      </c>
      <c r="G26" s="679">
        <v>2631</v>
      </c>
      <c r="I26" s="1089">
        <f>'FY26 Add on Rates'!I8</f>
        <v>11142.650813468201</v>
      </c>
      <c r="J26" s="1088">
        <f>'FY26 Add on Rates'!I9</f>
        <v>8356.9881101011506</v>
      </c>
      <c r="K26" s="1088">
        <f>'FY26 Add on Rates'!I10</f>
        <v>5571.3254067341004</v>
      </c>
      <c r="L26" s="1088">
        <f>'FY26 Add on Rates'!I11</f>
        <v>2785.6627033670502</v>
      </c>
      <c r="M26" s="514">
        <f t="shared" si="1"/>
        <v>5.8885376172973562E-2</v>
      </c>
    </row>
    <row r="27" spans="3:13" ht="15.75" thickBot="1" x14ac:dyDescent="0.3">
      <c r="C27" s="678" t="s">
        <v>368</v>
      </c>
      <c r="D27" s="679">
        <v>7858</v>
      </c>
      <c r="E27" s="679">
        <v>5894</v>
      </c>
      <c r="F27" s="679">
        <v>3929</v>
      </c>
      <c r="G27" s="679">
        <v>1965</v>
      </c>
      <c r="I27" s="1089">
        <f>'FY26 Add on Rates'!J8</f>
        <v>8993.8976145499491</v>
      </c>
      <c r="J27" s="1088">
        <f>'FY26 Add on Rates'!J9</f>
        <v>6745.4232109124623</v>
      </c>
      <c r="K27" s="1088">
        <f>'FY26 Add on Rates'!J10</f>
        <v>4496.9488072749746</v>
      </c>
      <c r="L27" s="1088">
        <f>'FY26 Add on Rates'!J11</f>
        <v>2248.4744036374873</v>
      </c>
      <c r="M27" s="514">
        <f t="shared" si="1"/>
        <v>0.14455301788622413</v>
      </c>
    </row>
    <row r="28" spans="3:13" ht="15.75" thickBot="1" x14ac:dyDescent="0.3">
      <c r="C28" s="678" t="s">
        <v>572</v>
      </c>
      <c r="D28" s="679">
        <v>5448</v>
      </c>
      <c r="E28" s="679">
        <v>4086</v>
      </c>
      <c r="F28" s="679">
        <v>2724</v>
      </c>
      <c r="G28" s="679">
        <v>1362</v>
      </c>
      <c r="I28" s="1089">
        <f>'FY26 Add on Rates'!K8</f>
        <v>6929.1531281864691</v>
      </c>
      <c r="J28" s="1088">
        <f>'FY26 Add on Rates'!K9</f>
        <v>5196.8648461398516</v>
      </c>
      <c r="K28" s="1088">
        <f>'FY26 Add on Rates'!K10</f>
        <v>3464.5765640932345</v>
      </c>
      <c r="L28" s="1088">
        <f>'FY26 Add on Rates'!K11</f>
        <v>1732.2882820466173</v>
      </c>
      <c r="M28" s="514">
        <f t="shared" si="1"/>
        <v>0.27187098534993925</v>
      </c>
    </row>
    <row r="29" spans="3:13" ht="16.5" thickBot="1" x14ac:dyDescent="0.3">
      <c r="C29" s="666"/>
      <c r="D29" s="666"/>
    </row>
    <row r="30" spans="3:13" ht="15.75" thickBot="1" x14ac:dyDescent="0.3">
      <c r="C30" s="1855" t="s">
        <v>573</v>
      </c>
      <c r="D30" s="1856"/>
      <c r="E30" s="1857"/>
      <c r="F30" s="1073"/>
    </row>
    <row r="31" spans="3:13" ht="29.25" thickBot="1" x14ac:dyDescent="0.3">
      <c r="C31" s="1063" t="s">
        <v>182</v>
      </c>
      <c r="D31" s="1075"/>
      <c r="E31" s="1072" t="s">
        <v>2319</v>
      </c>
      <c r="F31" s="1071" t="s">
        <v>2320</v>
      </c>
      <c r="G31" s="1090" t="s">
        <v>2321</v>
      </c>
    </row>
    <row r="32" spans="3:13" ht="15.75" thickBot="1" x14ac:dyDescent="0.3">
      <c r="C32" s="678" t="s">
        <v>18</v>
      </c>
      <c r="D32" s="1074"/>
      <c r="E32" s="676">
        <v>26.1</v>
      </c>
      <c r="F32" s="1092">
        <f>'FY26 Add on Rates'!B23</f>
        <v>28.598971617707992</v>
      </c>
      <c r="G32" s="1091">
        <f>(F32-E32)/E32</f>
        <v>9.5746038992643306E-2</v>
      </c>
    </row>
    <row r="33" spans="3:7" ht="15.75" thickBot="1" x14ac:dyDescent="0.3">
      <c r="C33" s="678" t="s">
        <v>38</v>
      </c>
      <c r="D33" s="1074"/>
      <c r="E33" s="676">
        <v>24.73</v>
      </c>
      <c r="F33" s="1092">
        <f>'FY26 Add on Rates'!C23</f>
        <v>29.449579124189942</v>
      </c>
      <c r="G33" s="1091">
        <f t="shared" ref="G33:G44" si="2">(F33-E33)/E33</f>
        <v>0.19084428322644323</v>
      </c>
    </row>
    <row r="34" spans="3:7" ht="15.75" thickBot="1" x14ac:dyDescent="0.3">
      <c r="C34" s="678" t="s">
        <v>39</v>
      </c>
      <c r="D34" s="1074"/>
      <c r="E34" s="676">
        <v>33.29</v>
      </c>
      <c r="F34" s="1092">
        <f>'FY26 Add on Rates'!D23</f>
        <v>37.162624370652075</v>
      </c>
      <c r="G34" s="1091">
        <f t="shared" si="2"/>
        <v>0.11632996006765023</v>
      </c>
    </row>
    <row r="35" spans="3:7" ht="15.75" thickBot="1" x14ac:dyDescent="0.3">
      <c r="C35" s="678" t="s">
        <v>569</v>
      </c>
      <c r="D35" s="1074"/>
      <c r="E35" s="676">
        <v>58.86</v>
      </c>
      <c r="F35" s="1092">
        <f>'FY26 Add on Rates'!E23</f>
        <v>60.609160768379077</v>
      </c>
      <c r="G35" s="1091">
        <f t="shared" si="2"/>
        <v>2.9717308331278926E-2</v>
      </c>
    </row>
    <row r="36" spans="3:7" ht="28.5" customHeight="1" thickBot="1" x14ac:dyDescent="0.3">
      <c r="C36" s="678" t="s">
        <v>570</v>
      </c>
      <c r="D36" s="1074"/>
      <c r="E36" s="676">
        <v>48.68</v>
      </c>
      <c r="F36" s="1092">
        <f>'FY26 Add on Rates'!F23</f>
        <v>55.465628286857445</v>
      </c>
      <c r="G36" s="1091">
        <f t="shared" si="2"/>
        <v>0.1393925284892655</v>
      </c>
    </row>
    <row r="37" spans="3:7" ht="30.75" thickBot="1" x14ac:dyDescent="0.3">
      <c r="C37" s="678" t="s">
        <v>571</v>
      </c>
      <c r="D37" s="1074"/>
      <c r="E37" s="676">
        <v>46.57</v>
      </c>
      <c r="F37" s="1092">
        <f>'FY26 Add on Rates'!G23</f>
        <v>51.486838815034268</v>
      </c>
      <c r="G37" s="1091">
        <f t="shared" si="2"/>
        <v>0.10557953221031281</v>
      </c>
    </row>
    <row r="38" spans="3:7" ht="15.75" thickBot="1" x14ac:dyDescent="0.3">
      <c r="C38" s="678" t="s">
        <v>16</v>
      </c>
      <c r="D38" s="1074"/>
      <c r="E38" s="676">
        <v>44.3</v>
      </c>
      <c r="F38" s="1092">
        <f>'FY26 Add on Rates'!H23</f>
        <v>54.147555818686101</v>
      </c>
      <c r="G38" s="1091">
        <f t="shared" si="2"/>
        <v>0.22229245640374953</v>
      </c>
    </row>
    <row r="39" spans="3:7" ht="15.75" thickBot="1" x14ac:dyDescent="0.3">
      <c r="C39" s="678" t="s">
        <v>42</v>
      </c>
      <c r="D39" s="1074"/>
      <c r="E39" s="676">
        <v>71.77</v>
      </c>
      <c r="F39" s="1092">
        <f>'FY26 Add on Rates'!I23</f>
        <v>75.992619182737727</v>
      </c>
      <c r="G39" s="1091">
        <f t="shared" si="2"/>
        <v>5.8835435178176548E-2</v>
      </c>
    </row>
    <row r="40" spans="3:7" ht="15.75" thickBot="1" x14ac:dyDescent="0.3">
      <c r="C40" s="678" t="s">
        <v>368</v>
      </c>
      <c r="D40" s="1074"/>
      <c r="E40" s="676">
        <v>53.6</v>
      </c>
      <c r="F40" s="1092">
        <f>'FY26 Add on Rates'!J23</f>
        <v>61.342029190113287</v>
      </c>
      <c r="G40" s="1091">
        <f t="shared" si="2"/>
        <v>0.14444084309912847</v>
      </c>
    </row>
    <row r="41" spans="3:7" ht="15.75" thickBot="1" x14ac:dyDescent="0.3">
      <c r="C41" s="678" t="s">
        <v>572</v>
      </c>
      <c r="D41" s="1074"/>
      <c r="E41" s="676">
        <v>37.17</v>
      </c>
      <c r="F41" s="1092">
        <f>'FY26 Add on Rates'!K23</f>
        <v>47.264225873998654</v>
      </c>
      <c r="G41" s="1091">
        <f t="shared" si="2"/>
        <v>0.27156916529455616</v>
      </c>
    </row>
    <row r="42" spans="3:7" ht="15.75" thickBot="1" x14ac:dyDescent="0.3">
      <c r="C42" s="678" t="s">
        <v>574</v>
      </c>
      <c r="D42" s="1074"/>
      <c r="E42" s="676">
        <v>94.45</v>
      </c>
      <c r="F42" s="1092">
        <f>'FY26 Add on Rates'!L23</f>
        <v>103.26837086214164</v>
      </c>
      <c r="G42" s="1091">
        <f t="shared" si="2"/>
        <v>9.3365493511293113E-2</v>
      </c>
    </row>
    <row r="43" spans="3:7" ht="15.75" thickBot="1" x14ac:dyDescent="0.3">
      <c r="C43" s="678" t="s">
        <v>575</v>
      </c>
      <c r="D43" s="1074"/>
      <c r="E43" s="676">
        <v>152.16999999999999</v>
      </c>
      <c r="F43" s="1092">
        <f>'FY26 Add on Rates'!M23</f>
        <v>154.75829191890716</v>
      </c>
      <c r="G43" s="1091">
        <f t="shared" si="2"/>
        <v>1.7009212846863207E-2</v>
      </c>
    </row>
    <row r="44" spans="3:7" ht="15.75" thickBot="1" x14ac:dyDescent="0.3">
      <c r="C44" s="675" t="s">
        <v>576</v>
      </c>
      <c r="D44" s="685"/>
      <c r="E44" s="676">
        <v>181</v>
      </c>
      <c r="F44" s="1092">
        <f>'FY26 Add on Rates'!N23</f>
        <v>181.45728858938847</v>
      </c>
      <c r="G44" s="1091">
        <f t="shared" si="2"/>
        <v>2.5264562949639164E-3</v>
      </c>
    </row>
    <row r="45" spans="3:7" ht="15.75" x14ac:dyDescent="0.25">
      <c r="C45" s="666"/>
      <c r="D45" s="666"/>
    </row>
  </sheetData>
  <mergeCells count="3">
    <mergeCell ref="C30:E30"/>
    <mergeCell ref="D17:G17"/>
    <mergeCell ref="I17:L17"/>
  </mergeCells>
  <pageMargins left="0.7" right="0.7" top="0.75" bottom="0.75" header="0.3" footer="0.3"/>
  <pageSetup orientation="portrait" horizontalDpi="4294967293"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60938-39D3-4C3F-929E-630EF6C8DCC0}">
  <sheetPr>
    <pageSetUpPr fitToPage="1"/>
  </sheetPr>
  <dimension ref="A1:G144"/>
  <sheetViews>
    <sheetView zoomScaleNormal="100" zoomScaleSheetLayoutView="100" workbookViewId="0">
      <selection activeCell="F47" sqref="F47"/>
    </sheetView>
  </sheetViews>
  <sheetFormatPr defaultColWidth="9.140625" defaultRowHeight="12.75" x14ac:dyDescent="0.2"/>
  <cols>
    <col min="1" max="1" width="3.5703125" style="383" customWidth="1"/>
    <col min="2" max="2" width="31.85546875" style="383" customWidth="1"/>
    <col min="3" max="3" width="8.85546875" style="383" customWidth="1"/>
    <col min="4" max="4" width="12.85546875" style="383" customWidth="1"/>
    <col min="5" max="5" width="15.5703125" style="383" customWidth="1"/>
    <col min="6" max="6" width="19.140625" style="383" customWidth="1"/>
    <col min="7" max="7" width="16.42578125" style="383" customWidth="1"/>
    <col min="8" max="16384" width="9.140625" style="383"/>
  </cols>
  <sheetData>
    <row r="1" spans="2:7" x14ac:dyDescent="0.2">
      <c r="B1" s="1896" t="s">
        <v>2297</v>
      </c>
      <c r="C1" s="1896"/>
      <c r="D1" s="1896"/>
      <c r="E1" s="1896"/>
      <c r="F1" s="1674">
        <f ca="1">TODAY()</f>
        <v>45805</v>
      </c>
    </row>
    <row r="4" spans="2:7" ht="13.5" thickBot="1" x14ac:dyDescent="0.25"/>
    <row r="5" spans="2:7" ht="13.5" customHeight="1" x14ac:dyDescent="0.2">
      <c r="B5" s="1897" t="s">
        <v>2498</v>
      </c>
      <c r="C5" s="1898"/>
      <c r="D5" s="1898"/>
      <c r="E5" s="1898"/>
      <c r="F5" s="1899"/>
    </row>
    <row r="6" spans="2:7" ht="13.5" thickBot="1" x14ac:dyDescent="0.25">
      <c r="B6" s="1900"/>
      <c r="C6" s="1901"/>
      <c r="D6" s="1901"/>
      <c r="E6" s="1901"/>
      <c r="F6" s="1902"/>
    </row>
    <row r="7" spans="2:7" x14ac:dyDescent="0.2">
      <c r="B7" s="731" t="s">
        <v>0</v>
      </c>
      <c r="C7" s="1182">
        <v>9</v>
      </c>
      <c r="D7" s="1183"/>
      <c r="E7" s="1183" t="s">
        <v>1</v>
      </c>
      <c r="F7" s="1181">
        <f>C7*365</f>
        <v>3285</v>
      </c>
      <c r="G7" s="1796"/>
    </row>
    <row r="8" spans="2:7" x14ac:dyDescent="0.2">
      <c r="B8" s="724"/>
      <c r="F8" s="736"/>
      <c r="G8" s="1796"/>
    </row>
    <row r="9" spans="2:7" ht="15" customHeight="1" x14ac:dyDescent="0.2">
      <c r="B9" s="1432"/>
      <c r="C9" s="1675"/>
      <c r="D9" s="1433" t="s">
        <v>5</v>
      </c>
      <c r="E9" s="1433" t="s">
        <v>6</v>
      </c>
      <c r="F9" s="1676" t="s">
        <v>7</v>
      </c>
    </row>
    <row r="10" spans="2:7" ht="13.35" customHeight="1" x14ac:dyDescent="0.2">
      <c r="B10" s="1728" t="s">
        <v>9</v>
      </c>
      <c r="F10" s="1191"/>
    </row>
    <row r="11" spans="2:7" ht="17.45" customHeight="1" x14ac:dyDescent="0.2">
      <c r="B11" s="724" t="s">
        <v>2462</v>
      </c>
      <c r="D11" s="1184">
        <f>'[24]Master Data'!E17</f>
        <v>83639.712</v>
      </c>
      <c r="E11" s="1190">
        <v>0.05</v>
      </c>
      <c r="F11" s="1191">
        <f>D11*E11</f>
        <v>4181.9856</v>
      </c>
    </row>
    <row r="12" spans="2:7" ht="13.5" customHeight="1" x14ac:dyDescent="0.2">
      <c r="B12" s="724" t="s">
        <v>625</v>
      </c>
      <c r="D12" s="1184">
        <f>'[24]Master Data'!E18</f>
        <v>73854.144</v>
      </c>
      <c r="E12" s="1190">
        <v>0.25</v>
      </c>
      <c r="F12" s="1191">
        <f>D12*E12</f>
        <v>18463.536</v>
      </c>
    </row>
    <row r="13" spans="2:7" x14ac:dyDescent="0.2">
      <c r="B13" s="731" t="s">
        <v>13</v>
      </c>
      <c r="D13" s="1184"/>
      <c r="E13" s="1190"/>
      <c r="F13" s="1191"/>
    </row>
    <row r="14" spans="2:7" x14ac:dyDescent="0.2">
      <c r="B14" s="724" t="s">
        <v>17</v>
      </c>
      <c r="D14" s="1184">
        <f>'[24]Master Data'!E22</f>
        <v>247470</v>
      </c>
      <c r="E14" s="1190">
        <v>0.34</v>
      </c>
      <c r="F14" s="1191">
        <f>D14*E14</f>
        <v>84139.8</v>
      </c>
    </row>
    <row r="15" spans="2:7" x14ac:dyDescent="0.2">
      <c r="B15" s="724" t="s">
        <v>2437</v>
      </c>
      <c r="D15" s="1184">
        <f>'[24]Master Data'!E23</f>
        <v>103622.27200000001</v>
      </c>
      <c r="E15" s="1190">
        <v>0.13</v>
      </c>
      <c r="F15" s="1191">
        <f>D15*E15</f>
        <v>13470.895360000002</v>
      </c>
    </row>
    <row r="16" spans="2:7" x14ac:dyDescent="0.2">
      <c r="B16" s="731" t="s">
        <v>18</v>
      </c>
      <c r="D16" s="1184"/>
      <c r="E16" s="1190"/>
      <c r="F16" s="1191"/>
    </row>
    <row r="17" spans="1:6" x14ac:dyDescent="0.2">
      <c r="B17" s="724" t="s">
        <v>2467</v>
      </c>
      <c r="D17" s="1184">
        <f>'[24]Master Data'!E31</f>
        <v>70211.44</v>
      </c>
      <c r="E17" s="1190">
        <v>0.1</v>
      </c>
      <c r="F17" s="1191">
        <f>D17*E17</f>
        <v>7021.1440000000002</v>
      </c>
    </row>
    <row r="18" spans="1:6" x14ac:dyDescent="0.2">
      <c r="B18" s="724" t="s">
        <v>2468</v>
      </c>
      <c r="D18" s="1184">
        <f>'[24]Master Data'!E37</f>
        <v>64438.399999999994</v>
      </c>
      <c r="E18" s="1190">
        <v>0.1</v>
      </c>
      <c r="F18" s="1191">
        <f>D18*E18</f>
        <v>6443.84</v>
      </c>
    </row>
    <row r="19" spans="1:6" x14ac:dyDescent="0.2">
      <c r="B19" s="724" t="s">
        <v>2444</v>
      </c>
      <c r="D19" s="1184">
        <f>'[24]Master Data'!E33</f>
        <v>56217.241600000001</v>
      </c>
      <c r="E19" s="1190">
        <v>0.11</v>
      </c>
      <c r="F19" s="1191">
        <f>D19*E19</f>
        <v>6183.8965760000001</v>
      </c>
    </row>
    <row r="20" spans="1:6" x14ac:dyDescent="0.2">
      <c r="B20" s="724" t="s">
        <v>2469</v>
      </c>
      <c r="D20" s="1184">
        <f>'[24]Master Data'!E41</f>
        <v>43247.567999999999</v>
      </c>
      <c r="E20" s="1190">
        <v>0.34</v>
      </c>
      <c r="F20" s="1191">
        <f>D20*E20</f>
        <v>14704.173120000001</v>
      </c>
    </row>
    <row r="21" spans="1:6" x14ac:dyDescent="0.2">
      <c r="B21" s="724" t="s">
        <v>2470</v>
      </c>
      <c r="D21" s="1184">
        <f>'[24]Master Data'!E42</f>
        <v>43247.567999999999</v>
      </c>
      <c r="E21" s="1190">
        <v>0.22500000000000001</v>
      </c>
      <c r="F21" s="1191">
        <f>D21*E21</f>
        <v>9730.7028000000009</v>
      </c>
    </row>
    <row r="22" spans="1:6" x14ac:dyDescent="0.2">
      <c r="A22" s="1179"/>
      <c r="B22" s="1195" t="s">
        <v>20</v>
      </c>
      <c r="C22" s="1196"/>
      <c r="D22" s="1196"/>
      <c r="E22" s="1689">
        <f>SUM(E10:E18)</f>
        <v>0.97</v>
      </c>
      <c r="F22" s="1198">
        <f>SUM(F11:F21)</f>
        <v>164339.97345599998</v>
      </c>
    </row>
    <row r="23" spans="1:6" x14ac:dyDescent="0.2">
      <c r="A23" s="1179"/>
      <c r="B23" s="731" t="s">
        <v>21</v>
      </c>
      <c r="E23" s="1183"/>
      <c r="F23" s="736"/>
    </row>
    <row r="24" spans="1:6" x14ac:dyDescent="0.2">
      <c r="A24" s="1179"/>
      <c r="B24" s="724" t="s">
        <v>23</v>
      </c>
      <c r="D24" s="726">
        <f>'[24]Master Data'!E46</f>
        <v>0.24970000000000001</v>
      </c>
      <c r="F24" s="1191">
        <f>D24*F22</f>
        <v>41035.691371963192</v>
      </c>
    </row>
    <row r="25" spans="1:6" x14ac:dyDescent="0.2">
      <c r="A25" s="1179"/>
      <c r="B25" s="1195" t="s">
        <v>24</v>
      </c>
      <c r="C25" s="1196"/>
      <c r="D25" s="1196"/>
      <c r="E25" s="1197"/>
      <c r="F25" s="1198">
        <f>F24+F22</f>
        <v>205375.66482796316</v>
      </c>
    </row>
    <row r="26" spans="1:6" x14ac:dyDescent="0.2">
      <c r="A26" s="1180"/>
      <c r="B26" s="724"/>
      <c r="C26" s="726"/>
      <c r="F26" s="1691"/>
    </row>
    <row r="27" spans="1:6" x14ac:dyDescent="0.2">
      <c r="B27" s="724" t="s">
        <v>26</v>
      </c>
      <c r="E27" s="1200">
        <f>'[24]Master Data'!E48</f>
        <v>31.419846000000003</v>
      </c>
      <c r="F27" s="1199">
        <f>E27*F7</f>
        <v>103214.19411000001</v>
      </c>
    </row>
    <row r="28" spans="1:6" x14ac:dyDescent="0.2">
      <c r="B28" s="724" t="s">
        <v>27</v>
      </c>
      <c r="E28" s="1200">
        <f>'[24]Master Data'!E49</f>
        <v>25.695</v>
      </c>
      <c r="F28" s="1199">
        <f>E28*F7</f>
        <v>84408.074999999997</v>
      </c>
    </row>
    <row r="29" spans="1:6" x14ac:dyDescent="0.2">
      <c r="B29" s="724"/>
      <c r="E29" s="1200"/>
      <c r="F29" s="1199"/>
    </row>
    <row r="30" spans="1:6" x14ac:dyDescent="0.2">
      <c r="B30" s="1195" t="s">
        <v>29</v>
      </c>
      <c r="C30" s="1196"/>
      <c r="D30" s="1196"/>
      <c r="E30" s="1196"/>
      <c r="F30" s="1198">
        <f>SUM(F25:F29)</f>
        <v>392997.93393796316</v>
      </c>
    </row>
    <row r="31" spans="1:6" x14ac:dyDescent="0.2">
      <c r="B31" s="724" t="s">
        <v>30</v>
      </c>
      <c r="D31" s="726">
        <f>'[24]Master Data'!E53</f>
        <v>0.12</v>
      </c>
      <c r="F31" s="1191">
        <f>D31*F30</f>
        <v>47159.752072555581</v>
      </c>
    </row>
    <row r="32" spans="1:6" ht="13.5" thickBot="1" x14ac:dyDescent="0.25">
      <c r="B32" s="1203" t="s">
        <v>31</v>
      </c>
      <c r="C32" s="1204"/>
      <c r="D32" s="1204"/>
      <c r="E32" s="1204"/>
      <c r="F32" s="1205">
        <f>SUM(F30:F31)</f>
        <v>440157.68601051875</v>
      </c>
    </row>
    <row r="33" spans="2:7" ht="13.5" thickTop="1" x14ac:dyDescent="0.2">
      <c r="B33" s="724" t="str">
        <f>'[24]Master Data'!C55</f>
        <v>CAF - BASELINE</v>
      </c>
      <c r="D33" s="726">
        <f>'[24]Master Data'!E55</f>
        <v>3.2549514448865162E-2</v>
      </c>
      <c r="F33" s="1693">
        <f>F32*(D33+1)</f>
        <v>454484.6049710972</v>
      </c>
    </row>
    <row r="34" spans="2:7" x14ac:dyDescent="0.2">
      <c r="B34" s="724"/>
      <c r="F34" s="1694" t="s">
        <v>32</v>
      </c>
    </row>
    <row r="35" spans="2:7" x14ac:dyDescent="0.2">
      <c r="B35" s="731" t="s">
        <v>32</v>
      </c>
      <c r="D35" s="726"/>
      <c r="E35" s="1451"/>
      <c r="F35" s="1797">
        <f>F33/F7</f>
        <v>138.35147792118636</v>
      </c>
      <c r="G35" s="1472"/>
    </row>
    <row r="36" spans="2:7" x14ac:dyDescent="0.2">
      <c r="B36" s="1798"/>
      <c r="C36" s="1799"/>
      <c r="D36" s="1733"/>
      <c r="E36" s="1800"/>
      <c r="F36" s="1801"/>
    </row>
    <row r="37" spans="2:7" x14ac:dyDescent="0.2">
      <c r="F37" s="1802">
        <f>'[24]PRR Int Tment Res Emer IntakeAO'!F31</f>
        <v>119.4182687696122</v>
      </c>
      <c r="G37" s="1427">
        <f>(F35-F37)/F37</f>
        <v>0.15854533269194407</v>
      </c>
    </row>
    <row r="42" spans="2:7" x14ac:dyDescent="0.2">
      <c r="B42" s="1722"/>
    </row>
    <row r="43" spans="2:7" x14ac:dyDescent="0.2">
      <c r="B43" s="1722"/>
    </row>
    <row r="44" spans="2:7" x14ac:dyDescent="0.2">
      <c r="B44" s="1722"/>
    </row>
    <row r="45" spans="2:7" x14ac:dyDescent="0.2">
      <c r="B45" s="1722"/>
    </row>
    <row r="48" spans="2:7" ht="13.35" customHeight="1" x14ac:dyDescent="0.2"/>
    <row r="53" s="383" customFormat="1" ht="13.35" customHeight="1" x14ac:dyDescent="0.2"/>
    <row r="54" s="383" customFormat="1" ht="15" customHeight="1" x14ac:dyDescent="0.2"/>
    <row r="59" s="383" customFormat="1" ht="12.75" customHeight="1" x14ac:dyDescent="0.2"/>
    <row r="74" spans="1:1" x14ac:dyDescent="0.2">
      <c r="A74" s="1451"/>
    </row>
    <row r="75" spans="1:1" x14ac:dyDescent="0.2">
      <c r="A75" s="1200"/>
    </row>
    <row r="76" spans="1:1" x14ac:dyDescent="0.2">
      <c r="A76" s="1200"/>
    </row>
    <row r="77" spans="1:1" x14ac:dyDescent="0.2">
      <c r="A77" s="1200"/>
    </row>
    <row r="80" spans="1:1" x14ac:dyDescent="0.2">
      <c r="A80" s="1179"/>
    </row>
    <row r="81" spans="1:1" x14ac:dyDescent="0.2">
      <c r="A81" s="1180"/>
    </row>
    <row r="89" spans="1:1" ht="13.35" customHeight="1" x14ac:dyDescent="0.2"/>
    <row r="90" spans="1:1" ht="15" customHeight="1" x14ac:dyDescent="0.2"/>
    <row r="95" spans="1:1" ht="12.75" customHeight="1" x14ac:dyDescent="0.2"/>
    <row r="109" spans="1:1" x14ac:dyDescent="0.2">
      <c r="A109" s="1200"/>
    </row>
    <row r="110" spans="1:1" x14ac:dyDescent="0.2">
      <c r="A110" s="1451"/>
    </row>
    <row r="111" spans="1:1" x14ac:dyDescent="0.2">
      <c r="A111" s="1200"/>
    </row>
    <row r="112" spans="1:1" x14ac:dyDescent="0.2">
      <c r="A112" s="1200"/>
    </row>
    <row r="113" spans="1:1" x14ac:dyDescent="0.2">
      <c r="A113" s="1200"/>
    </row>
    <row r="115" spans="1:1" x14ac:dyDescent="0.2">
      <c r="A115" s="1471"/>
    </row>
    <row r="116" spans="1:1" x14ac:dyDescent="0.2">
      <c r="A116" s="1179"/>
    </row>
    <row r="117" spans="1:1" x14ac:dyDescent="0.2">
      <c r="A117" s="1180"/>
    </row>
    <row r="141" spans="1:1" x14ac:dyDescent="0.2">
      <c r="A141" s="1451"/>
    </row>
    <row r="142" spans="1:1" x14ac:dyDescent="0.2">
      <c r="A142" s="1200"/>
    </row>
    <row r="143" spans="1:1" x14ac:dyDescent="0.2">
      <c r="A143" s="1200"/>
    </row>
    <row r="144" spans="1:1" x14ac:dyDescent="0.2">
      <c r="A144" s="1200"/>
    </row>
  </sheetData>
  <mergeCells count="2">
    <mergeCell ref="B1:E1"/>
    <mergeCell ref="B5:F6"/>
  </mergeCells>
  <pageMargins left="0.7" right="0.7" top="0.75" bottom="0.75" header="0.3" footer="0.3"/>
  <pageSetup scale="96" fitToHeight="0" orientation="landscape" r:id="rId1"/>
  <headerFooter>
    <oddFooter>&amp;R&amp;A
&amp;F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6CD8C-9243-48CE-9C18-B43513137B95}">
  <sheetPr>
    <pageSetUpPr fitToPage="1"/>
  </sheetPr>
  <dimension ref="A1:M114"/>
  <sheetViews>
    <sheetView topLeftCell="A9" zoomScaleNormal="100" zoomScaleSheetLayoutView="100" workbookViewId="0">
      <selection activeCell="P15" sqref="P15"/>
    </sheetView>
  </sheetViews>
  <sheetFormatPr defaultColWidth="9.140625" defaultRowHeight="12.75" x14ac:dyDescent="0.2"/>
  <cols>
    <col min="1" max="1" width="3.5703125" style="383" customWidth="1"/>
    <col min="2" max="2" width="37" style="383" customWidth="1"/>
    <col min="3" max="3" width="9.7109375" style="383" customWidth="1"/>
    <col min="4" max="4" width="11.5703125" style="383" bestFit="1" customWidth="1"/>
    <col min="5" max="5" width="11.28515625" style="383" bestFit="1" customWidth="1"/>
    <col min="6" max="6" width="18.28515625" style="383" customWidth="1"/>
    <col min="7" max="7" width="15.42578125" style="383" customWidth="1"/>
    <col min="8" max="8" width="40.42578125" style="383" customWidth="1"/>
    <col min="9" max="9" width="9.7109375" style="383" customWidth="1"/>
    <col min="10" max="10" width="9.5703125" style="383" bestFit="1" customWidth="1"/>
    <col min="11" max="11" width="8.5703125" style="383" bestFit="1" customWidth="1"/>
    <col min="12" max="12" width="18.28515625" style="383" customWidth="1"/>
    <col min="13" max="16384" width="9.140625" style="383"/>
  </cols>
  <sheetData>
    <row r="1" spans="1:12" x14ac:dyDescent="0.2">
      <c r="B1" s="1896" t="s">
        <v>2297</v>
      </c>
      <c r="C1" s="1896"/>
      <c r="D1" s="1896"/>
      <c r="E1" s="1896"/>
      <c r="F1" s="1674">
        <f ca="1">TODAY()</f>
        <v>45805</v>
      </c>
    </row>
    <row r="4" spans="1:12" ht="19.5" customHeight="1" thickBot="1" x14ac:dyDescent="0.25">
      <c r="B4" s="1943" t="s">
        <v>2485</v>
      </c>
      <c r="C4" s="1943"/>
      <c r="D4" s="1943"/>
      <c r="E4" s="1943"/>
      <c r="F4" s="1943"/>
      <c r="H4" s="1943" t="s">
        <v>2486</v>
      </c>
      <c r="I4" s="1943"/>
      <c r="J4" s="1943"/>
      <c r="K4" s="1943"/>
      <c r="L4" s="1943"/>
    </row>
    <row r="5" spans="1:12" ht="13.5" customHeight="1" x14ac:dyDescent="0.2">
      <c r="B5" s="1944" t="s">
        <v>2499</v>
      </c>
      <c r="C5" s="1945"/>
      <c r="D5" s="1945"/>
      <c r="E5" s="1945"/>
      <c r="F5" s="1946"/>
      <c r="H5" s="1944" t="s">
        <v>2499</v>
      </c>
      <c r="I5" s="1945"/>
      <c r="J5" s="1945"/>
      <c r="K5" s="1945"/>
      <c r="L5" s="1946"/>
    </row>
    <row r="6" spans="1:12" ht="13.5" thickBot="1" x14ac:dyDescent="0.25">
      <c r="B6" s="1947"/>
      <c r="C6" s="1948"/>
      <c r="D6" s="1948"/>
      <c r="E6" s="1948"/>
      <c r="F6" s="1949"/>
      <c r="H6" s="1947"/>
      <c r="I6" s="1948"/>
      <c r="J6" s="1948"/>
      <c r="K6" s="1948"/>
      <c r="L6" s="1949"/>
    </row>
    <row r="7" spans="1:12" x14ac:dyDescent="0.2">
      <c r="B7" s="724" t="s">
        <v>0</v>
      </c>
      <c r="C7" s="1803">
        <v>12</v>
      </c>
      <c r="E7" s="383" t="s">
        <v>1</v>
      </c>
      <c r="F7" s="1804">
        <f>C7*365</f>
        <v>4380</v>
      </c>
      <c r="G7" s="1796"/>
      <c r="H7" s="724" t="s">
        <v>0</v>
      </c>
      <c r="I7" s="1803">
        <v>12</v>
      </c>
      <c r="K7" s="383" t="s">
        <v>1</v>
      </c>
      <c r="L7" s="1804">
        <f>I7*365</f>
        <v>4380</v>
      </c>
    </row>
    <row r="8" spans="1:12" x14ac:dyDescent="0.2">
      <c r="B8" s="724"/>
      <c r="F8" s="736"/>
      <c r="G8" s="1796"/>
      <c r="H8" s="724"/>
      <c r="L8" s="736"/>
    </row>
    <row r="9" spans="1:12" ht="15" customHeight="1" x14ac:dyDescent="0.2">
      <c r="B9" s="1805"/>
      <c r="C9" s="1733"/>
      <c r="D9" s="1806" t="s">
        <v>5</v>
      </c>
      <c r="E9" s="1806" t="s">
        <v>6</v>
      </c>
      <c r="F9" s="1807" t="s">
        <v>7</v>
      </c>
      <c r="H9" s="1805"/>
      <c r="I9" s="1733"/>
      <c r="J9" s="1806" t="s">
        <v>5</v>
      </c>
      <c r="K9" s="1806" t="s">
        <v>6</v>
      </c>
      <c r="L9" s="1807" t="s">
        <v>7</v>
      </c>
    </row>
    <row r="10" spans="1:12" ht="13.35" customHeight="1" x14ac:dyDescent="0.2">
      <c r="A10" s="1808"/>
      <c r="B10" s="1728" t="s">
        <v>9</v>
      </c>
      <c r="F10" s="1191"/>
      <c r="H10" s="1728" t="s">
        <v>9</v>
      </c>
      <c r="L10" s="1191"/>
    </row>
    <row r="11" spans="1:12" ht="17.45" customHeight="1" x14ac:dyDescent="0.2">
      <c r="A11" s="1808"/>
      <c r="B11" s="724" t="s">
        <v>2462</v>
      </c>
      <c r="D11" s="1184">
        <f>'[25]Master Data'!E17</f>
        <v>83639.712</v>
      </c>
      <c r="E11" s="1190">
        <v>1</v>
      </c>
      <c r="F11" s="1191">
        <f>D11*E11</f>
        <v>83639.712</v>
      </c>
      <c r="G11" s="384"/>
      <c r="H11" s="724" t="s">
        <v>2462</v>
      </c>
      <c r="J11" s="1184">
        <f>D11</f>
        <v>83639.712</v>
      </c>
      <c r="K11" s="1190">
        <v>1</v>
      </c>
      <c r="L11" s="1191">
        <f>J11*K11</f>
        <v>83639.712</v>
      </c>
    </row>
    <row r="12" spans="1:12" ht="17.45" customHeight="1" x14ac:dyDescent="0.2">
      <c r="A12" s="1808"/>
      <c r="B12" s="724" t="s">
        <v>2500</v>
      </c>
      <c r="D12" s="1184">
        <v>247740</v>
      </c>
      <c r="E12" s="1190">
        <v>0.5</v>
      </c>
      <c r="F12" s="1191">
        <f>D12*E12</f>
        <v>123870</v>
      </c>
      <c r="G12" s="384"/>
      <c r="H12" s="724" t="s">
        <v>2500</v>
      </c>
      <c r="J12" s="1184">
        <v>247740</v>
      </c>
      <c r="K12" s="1190">
        <v>0.5</v>
      </c>
      <c r="L12" s="1191">
        <f>J12*K12</f>
        <v>123870</v>
      </c>
    </row>
    <row r="13" spans="1:12" ht="13.5" customHeight="1" x14ac:dyDescent="0.2">
      <c r="A13" s="1808"/>
      <c r="B13" s="724" t="s">
        <v>625</v>
      </c>
      <c r="D13" s="1184">
        <f>'[25]Master Data'!E18</f>
        <v>73854.144</v>
      </c>
      <c r="E13" s="1190">
        <v>0.75</v>
      </c>
      <c r="F13" s="1191">
        <f>D13*E13</f>
        <v>55390.608</v>
      </c>
      <c r="G13" s="384"/>
      <c r="H13" s="724" t="s">
        <v>625</v>
      </c>
      <c r="J13" s="1184">
        <f>D13</f>
        <v>73854.144</v>
      </c>
      <c r="K13" s="1190">
        <v>0.75</v>
      </c>
      <c r="L13" s="1191">
        <f>J13*K13</f>
        <v>55390.608</v>
      </c>
    </row>
    <row r="14" spans="1:12" x14ac:dyDescent="0.2">
      <c r="A14" s="1808"/>
      <c r="B14" s="731" t="s">
        <v>13</v>
      </c>
      <c r="D14" s="1184"/>
      <c r="E14" s="1190"/>
      <c r="F14" s="1191"/>
      <c r="G14" s="384"/>
      <c r="H14" s="731" t="s">
        <v>13</v>
      </c>
      <c r="J14" s="1184"/>
      <c r="K14" s="1190"/>
      <c r="L14" s="1191"/>
    </row>
    <row r="15" spans="1:12" x14ac:dyDescent="0.2">
      <c r="A15" s="384"/>
      <c r="B15" s="724" t="s">
        <v>2437</v>
      </c>
      <c r="D15" s="1184">
        <f>'[25]Master Data'!E23</f>
        <v>103622.27200000001</v>
      </c>
      <c r="E15" s="1190">
        <v>1</v>
      </c>
      <c r="F15" s="1191">
        <f>D15*E15</f>
        <v>103622.27200000001</v>
      </c>
      <c r="G15" s="384"/>
      <c r="H15" s="724" t="s">
        <v>2437</v>
      </c>
      <c r="J15" s="1184">
        <f>D15</f>
        <v>103622.27200000001</v>
      </c>
      <c r="K15" s="1190">
        <v>1</v>
      </c>
      <c r="L15" s="1191">
        <f>J15*K15</f>
        <v>103622.27200000001</v>
      </c>
    </row>
    <row r="16" spans="1:12" x14ac:dyDescent="0.2">
      <c r="B16" s="724" t="s">
        <v>2463</v>
      </c>
      <c r="D16" s="1184">
        <f>'[25]Master Data'!E24</f>
        <v>73854.144</v>
      </c>
      <c r="E16" s="1190">
        <v>4.2</v>
      </c>
      <c r="F16" s="1191">
        <f>D16*E16</f>
        <v>310187.40480000002</v>
      </c>
      <c r="G16" s="384"/>
      <c r="H16" s="724" t="s">
        <v>2463</v>
      </c>
      <c r="J16" s="1184">
        <f>D16</f>
        <v>73854.144</v>
      </c>
      <c r="K16" s="1190">
        <v>4.2</v>
      </c>
      <c r="L16" s="1191">
        <f>J16*K16</f>
        <v>310187.40480000002</v>
      </c>
    </row>
    <row r="17" spans="2:12" x14ac:dyDescent="0.2">
      <c r="B17" s="724" t="str">
        <f>'[25]Master Data'!C25</f>
        <v>Occupational Therapist</v>
      </c>
      <c r="D17" s="1184">
        <f>'[25]Master Data'!E25</f>
        <v>82681.040000000008</v>
      </c>
      <c r="E17" s="1190">
        <v>1</v>
      </c>
      <c r="F17" s="1191">
        <f>D17*E17</f>
        <v>82681.040000000008</v>
      </c>
      <c r="G17" s="384"/>
      <c r="H17" s="724" t="s">
        <v>666</v>
      </c>
      <c r="J17" s="1184">
        <f>D17</f>
        <v>82681.040000000008</v>
      </c>
      <c r="K17" s="1190">
        <v>1</v>
      </c>
      <c r="L17" s="1191">
        <f>J17*K17</f>
        <v>82681.040000000008</v>
      </c>
    </row>
    <row r="18" spans="2:12" x14ac:dyDescent="0.2">
      <c r="B18" s="731" t="s">
        <v>18</v>
      </c>
      <c r="D18" s="1184"/>
      <c r="E18" s="1190"/>
      <c r="F18" s="1191"/>
      <c r="G18" s="384"/>
      <c r="H18" s="731" t="s">
        <v>18</v>
      </c>
      <c r="J18" s="1184"/>
      <c r="K18" s="1190"/>
      <c r="L18" s="1191"/>
    </row>
    <row r="19" spans="2:12" x14ac:dyDescent="0.2">
      <c r="B19" s="724" t="s">
        <v>2501</v>
      </c>
      <c r="D19" s="1184">
        <f>'[25]Master Data'!E32</f>
        <v>73854.144</v>
      </c>
      <c r="E19" s="1190">
        <v>1</v>
      </c>
      <c r="F19" s="1191">
        <f>D19*E19</f>
        <v>73854.144</v>
      </c>
      <c r="G19" s="384"/>
      <c r="H19" s="724" t="s">
        <v>2501</v>
      </c>
      <c r="J19" s="1184">
        <f>D19</f>
        <v>73854.144</v>
      </c>
      <c r="K19" s="1190">
        <v>0.5</v>
      </c>
      <c r="L19" s="1191">
        <f>J19*K19</f>
        <v>36927.072</v>
      </c>
    </row>
    <row r="20" spans="2:12" ht="15.75" customHeight="1" x14ac:dyDescent="0.2">
      <c r="B20" s="724" t="s">
        <v>2467</v>
      </c>
      <c r="D20" s="1184">
        <f>'[25]Master Data'!E31</f>
        <v>70211.44</v>
      </c>
      <c r="E20" s="1190">
        <v>0.75</v>
      </c>
      <c r="F20" s="1191">
        <f>D20*E20</f>
        <v>52658.58</v>
      </c>
      <c r="G20" s="384"/>
      <c r="H20" s="724" t="s">
        <v>2467</v>
      </c>
      <c r="J20" s="1184">
        <f>D20</f>
        <v>70211.44</v>
      </c>
      <c r="K20" s="1190">
        <v>0.75</v>
      </c>
      <c r="L20" s="1191">
        <f>J20*K20</f>
        <v>52658.58</v>
      </c>
    </row>
    <row r="21" spans="2:12" ht="15.75" customHeight="1" x14ac:dyDescent="0.2">
      <c r="B21" s="724" t="s">
        <v>2496</v>
      </c>
      <c r="D21" s="1184">
        <f>'[25]Master Data'!E39</f>
        <v>43247.567999999999</v>
      </c>
      <c r="E21" s="1190">
        <v>22.4</v>
      </c>
      <c r="F21" s="1191">
        <f>D21*E21</f>
        <v>968745.52319999994</v>
      </c>
      <c r="G21" s="384"/>
      <c r="H21" s="724" t="s">
        <v>2496</v>
      </c>
      <c r="J21" s="1184">
        <f>D21</f>
        <v>43247.567999999999</v>
      </c>
      <c r="K21" s="1190">
        <v>22.4</v>
      </c>
      <c r="L21" s="1191">
        <f>J21*K21</f>
        <v>968745.52319999994</v>
      </c>
    </row>
    <row r="22" spans="2:12" ht="15.75" customHeight="1" x14ac:dyDescent="0.2">
      <c r="B22" s="724" t="s">
        <v>2446</v>
      </c>
      <c r="D22" s="1184">
        <f>'[25]Master Data'!E40</f>
        <v>43247.567999999999</v>
      </c>
      <c r="E22" s="1687">
        <v>1</v>
      </c>
      <c r="F22" s="1688">
        <f>D22*E22</f>
        <v>43247.567999999999</v>
      </c>
      <c r="G22" s="384"/>
      <c r="H22" s="1438" t="s">
        <v>2446</v>
      </c>
      <c r="I22" s="1686"/>
      <c r="J22" s="1184">
        <f>D22</f>
        <v>43247.567999999999</v>
      </c>
      <c r="K22" s="1687">
        <v>1</v>
      </c>
      <c r="L22" s="1191">
        <f>J22*K22</f>
        <v>43247.567999999999</v>
      </c>
    </row>
    <row r="23" spans="2:12" ht="15.75" customHeight="1" x14ac:dyDescent="0.2">
      <c r="B23" s="724" t="s">
        <v>2449</v>
      </c>
      <c r="D23" s="1184">
        <f>D22</f>
        <v>43247.567999999999</v>
      </c>
      <c r="E23" s="1190">
        <f>SUM(E21)*'[25]Master Data'!E11</f>
        <v>3.36</v>
      </c>
      <c r="F23" s="1191">
        <f>D23*E23</f>
        <v>145311.82848</v>
      </c>
      <c r="G23" s="384"/>
      <c r="H23" s="724" t="s">
        <v>2449</v>
      </c>
      <c r="J23" s="1184">
        <f>D23</f>
        <v>43247.567999999999</v>
      </c>
      <c r="K23" s="1190">
        <f>E23</f>
        <v>3.36</v>
      </c>
      <c r="L23" s="1191">
        <f>J23*K23</f>
        <v>145311.82848</v>
      </c>
    </row>
    <row r="24" spans="2:12" ht="15.75" customHeight="1" x14ac:dyDescent="0.2">
      <c r="B24" s="1809" t="s">
        <v>20</v>
      </c>
      <c r="C24" s="1810"/>
      <c r="D24" s="1810"/>
      <c r="E24" s="1811">
        <f>SUM(E10:E23)</f>
        <v>36.959999999999994</v>
      </c>
      <c r="F24" s="1812">
        <f>SUM(F11:F23)</f>
        <v>2043208.6804799999</v>
      </c>
      <c r="G24" s="384"/>
      <c r="H24" s="1809" t="s">
        <v>20</v>
      </c>
      <c r="I24" s="1810"/>
      <c r="J24" s="1810"/>
      <c r="K24" s="1811">
        <f>SUM(K10:K23)</f>
        <v>36.459999999999994</v>
      </c>
      <c r="L24" s="1812">
        <f>SUM(L11:L23)</f>
        <v>2006281.6084799999</v>
      </c>
    </row>
    <row r="25" spans="2:12" ht="15.75" customHeight="1" x14ac:dyDescent="0.2">
      <c r="B25" s="731" t="s">
        <v>21</v>
      </c>
      <c r="F25" s="736"/>
      <c r="G25" s="384"/>
      <c r="H25" s="731" t="s">
        <v>21</v>
      </c>
      <c r="L25" s="736"/>
    </row>
    <row r="26" spans="2:12" x14ac:dyDescent="0.2">
      <c r="B26" s="724" t="s">
        <v>23</v>
      </c>
      <c r="D26" s="726">
        <f>'[25]Master Data'!E46</f>
        <v>0.24970000000000001</v>
      </c>
      <c r="F26" s="1191">
        <f>D26*F24</f>
        <v>510189.20751585596</v>
      </c>
      <c r="G26" s="384"/>
      <c r="H26" s="724" t="s">
        <v>23</v>
      </c>
      <c r="J26" s="726">
        <f>D26</f>
        <v>0.24970000000000001</v>
      </c>
      <c r="L26" s="1191">
        <f>J26*L24</f>
        <v>500968.51763745601</v>
      </c>
    </row>
    <row r="27" spans="2:12" x14ac:dyDescent="0.2">
      <c r="B27" s="1809" t="s">
        <v>24</v>
      </c>
      <c r="C27" s="1810"/>
      <c r="D27" s="1810"/>
      <c r="E27" s="1813"/>
      <c r="F27" s="1812">
        <f>F26+F24</f>
        <v>2553397.8879958559</v>
      </c>
      <c r="G27" s="384"/>
      <c r="H27" s="1809" t="s">
        <v>24</v>
      </c>
      <c r="I27" s="1810"/>
      <c r="J27" s="1810"/>
      <c r="K27" s="1813"/>
      <c r="L27" s="1812">
        <f>L26+L24</f>
        <v>2507250.1261174558</v>
      </c>
    </row>
    <row r="28" spans="2:12" x14ac:dyDescent="0.2">
      <c r="B28" s="724"/>
      <c r="C28" s="1763"/>
      <c r="F28" s="1691"/>
      <c r="G28" s="384"/>
      <c r="H28" s="724"/>
      <c r="I28" s="1763"/>
      <c r="L28" s="1691"/>
    </row>
    <row r="29" spans="2:12" x14ac:dyDescent="0.2">
      <c r="B29" s="724" t="s">
        <v>26</v>
      </c>
      <c r="E29" s="1200">
        <f>'[25]Master Data'!E48</f>
        <v>31.419846000000003</v>
      </c>
      <c r="F29" s="1199">
        <f>E29*F7</f>
        <v>137618.92548000001</v>
      </c>
      <c r="G29" s="384"/>
      <c r="H29" s="724" t="s">
        <v>26</v>
      </c>
      <c r="K29" s="1200">
        <f>E29</f>
        <v>31.419846000000003</v>
      </c>
      <c r="L29" s="1199">
        <f>K29*L7</f>
        <v>137618.92548000001</v>
      </c>
    </row>
    <row r="30" spans="2:12" x14ac:dyDescent="0.2">
      <c r="B30" s="724" t="str">
        <f>'[25]Master Data'!C49</f>
        <v>Programmatic expenses</v>
      </c>
      <c r="E30" s="1200">
        <f>'[25]Master Data'!E49</f>
        <v>25.695</v>
      </c>
      <c r="F30" s="1199">
        <f>E30*F7</f>
        <v>112544.1</v>
      </c>
      <c r="G30" s="384"/>
      <c r="H30" s="724" t="str">
        <f>B30</f>
        <v>Programmatic expenses</v>
      </c>
      <c r="K30" s="1200">
        <f>E30</f>
        <v>25.695</v>
      </c>
      <c r="L30" s="1199">
        <f>K30*L7</f>
        <v>112544.1</v>
      </c>
    </row>
    <row r="31" spans="2:12" x14ac:dyDescent="0.2">
      <c r="B31" s="1809" t="s">
        <v>29</v>
      </c>
      <c r="C31" s="1810"/>
      <c r="D31" s="1810"/>
      <c r="E31" s="1810"/>
      <c r="F31" s="1812">
        <f>SUM(F27:F30)</f>
        <v>2803560.9134758562</v>
      </c>
      <c r="G31" s="384"/>
      <c r="H31" s="1809" t="s">
        <v>29</v>
      </c>
      <c r="I31" s="1810"/>
      <c r="J31" s="1810"/>
      <c r="K31" s="1810"/>
      <c r="L31" s="1812">
        <f>SUM(L27:L30)</f>
        <v>2757413.1515974561</v>
      </c>
    </row>
    <row r="32" spans="2:12" x14ac:dyDescent="0.2">
      <c r="B32" s="724" t="s">
        <v>30</v>
      </c>
      <c r="D32" s="726">
        <f>'[25]Master Data'!E53</f>
        <v>0.12</v>
      </c>
      <c r="F32" s="1191">
        <f>D32*F31</f>
        <v>336427.30961710273</v>
      </c>
      <c r="G32" s="384"/>
      <c r="H32" s="724" t="s">
        <v>30</v>
      </c>
      <c r="J32" s="726">
        <f>D32</f>
        <v>0.12</v>
      </c>
      <c r="L32" s="1191">
        <f>J32*L31</f>
        <v>330889.57819169475</v>
      </c>
    </row>
    <row r="33" spans="2:13" ht="13.5" thickBot="1" x14ac:dyDescent="0.25">
      <c r="B33" s="1814" t="s">
        <v>31</v>
      </c>
      <c r="C33" s="1204"/>
      <c r="D33" s="1204"/>
      <c r="E33" s="1204"/>
      <c r="F33" s="1815">
        <f>SUM(F31:F32)</f>
        <v>3139988.2230929588</v>
      </c>
      <c r="G33" s="384"/>
      <c r="H33" s="1814" t="s">
        <v>31</v>
      </c>
      <c r="I33" s="1204"/>
      <c r="J33" s="1204"/>
      <c r="K33" s="1204"/>
      <c r="L33" s="1815">
        <f>SUM(L31:L32)</f>
        <v>3088302.7297891509</v>
      </c>
    </row>
    <row r="34" spans="2:13" ht="13.5" thickTop="1" x14ac:dyDescent="0.2">
      <c r="B34" s="724" t="str">
        <f>'[25]Master Data'!C55</f>
        <v>CAF - BASELINE</v>
      </c>
      <c r="D34" s="726">
        <f>'[25]Master Data'!E55</f>
        <v>3.2549514448865162E-2</v>
      </c>
      <c r="F34" s="1693">
        <f>F31*(D34+1)+F32</f>
        <v>3231242.7695544148</v>
      </c>
      <c r="G34" s="384"/>
      <c r="H34" s="724" t="str">
        <f>B34</f>
        <v>CAF - BASELINE</v>
      </c>
      <c r="J34" s="726">
        <f>D34</f>
        <v>3.2549514448865162E-2</v>
      </c>
      <c r="L34" s="1693">
        <f>L31*(J34+1)+L32</f>
        <v>3178055.1890085633</v>
      </c>
    </row>
    <row r="35" spans="2:13" x14ac:dyDescent="0.2">
      <c r="B35" s="724"/>
      <c r="F35" s="1816" t="s">
        <v>32</v>
      </c>
      <c r="G35" s="384"/>
      <c r="H35" s="724"/>
      <c r="L35" s="1816" t="s">
        <v>32</v>
      </c>
    </row>
    <row r="36" spans="2:13" ht="13.5" thickBot="1" x14ac:dyDescent="0.25">
      <c r="B36" s="1805"/>
      <c r="D36" s="726"/>
      <c r="E36" s="1451"/>
      <c r="F36" s="1695">
        <f>F34/F7</f>
        <v>737.7266597156198</v>
      </c>
      <c r="G36" s="384"/>
      <c r="H36" s="1805"/>
      <c r="J36" s="726"/>
      <c r="K36" s="1451"/>
      <c r="L36" s="1695">
        <f>L34/L7</f>
        <v>725.5833764859733</v>
      </c>
    </row>
    <row r="37" spans="2:13" ht="13.5" thickBot="1" x14ac:dyDescent="0.25">
      <c r="B37" s="1712" t="s">
        <v>2453</v>
      </c>
      <c r="C37" s="1817">
        <v>0.8</v>
      </c>
      <c r="D37" s="1818"/>
      <c r="E37" s="1819"/>
      <c r="F37" s="1699">
        <f>F36/C37</f>
        <v>922.15832464452467</v>
      </c>
      <c r="G37" s="384"/>
      <c r="H37" s="1746" t="s">
        <v>2454</v>
      </c>
      <c r="I37" s="1817">
        <v>0.8</v>
      </c>
      <c r="J37" s="1818"/>
      <c r="K37" s="1819"/>
      <c r="L37" s="1699">
        <f>L36/I37</f>
        <v>906.97922060746657</v>
      </c>
    </row>
    <row r="38" spans="2:13" ht="13.5" thickBot="1" x14ac:dyDescent="0.25">
      <c r="B38" s="1713" t="s">
        <v>2455</v>
      </c>
      <c r="C38" s="1743">
        <v>0.9</v>
      </c>
      <c r="D38" s="1820"/>
      <c r="E38" s="1704"/>
      <c r="F38" s="1742">
        <f>F36/C38</f>
        <v>819.69628857291082</v>
      </c>
      <c r="G38" s="384"/>
      <c r="H38" s="1713" t="s">
        <v>2456</v>
      </c>
      <c r="I38" s="1743">
        <v>0.9</v>
      </c>
      <c r="J38" s="1820"/>
      <c r="K38" s="1704"/>
      <c r="L38" s="1742">
        <f>L36/I38</f>
        <v>806.20375165108146</v>
      </c>
    </row>
    <row r="39" spans="2:13" x14ac:dyDescent="0.2">
      <c r="B39" s="1798"/>
      <c r="C39" s="1799"/>
      <c r="D39" s="1733"/>
      <c r="E39" s="1800"/>
      <c r="F39" s="1833"/>
      <c r="G39" s="384"/>
      <c r="H39" s="1798"/>
      <c r="I39" s="1799"/>
      <c r="J39" s="1733"/>
      <c r="K39" s="1800"/>
      <c r="L39" s="1833"/>
    </row>
    <row r="40" spans="2:13" x14ac:dyDescent="0.2">
      <c r="B40" s="1183" t="s">
        <v>2457</v>
      </c>
      <c r="F40" s="1717">
        <f>'[25]7.23 PRR Medically Complex Resi'!F33</f>
        <v>771.67649970269918</v>
      </c>
      <c r="G40" s="1476">
        <f>(F37-F40)/F40</f>
        <v>0.19500635952993392</v>
      </c>
      <c r="L40" s="1717">
        <f>'[25]7.23 PRR Medically Complex Resi'!F75</f>
        <v>759.25263032211046</v>
      </c>
      <c r="M40" s="1476">
        <f>(L37-L40)/L40</f>
        <v>0.19456842740562333</v>
      </c>
    </row>
    <row r="42" spans="2:13" x14ac:dyDescent="0.2">
      <c r="F42" s="1717"/>
      <c r="G42" s="1476"/>
      <c r="M42" s="1476"/>
    </row>
    <row r="43" spans="2:13" x14ac:dyDescent="0.2">
      <c r="B43" s="1822"/>
      <c r="F43" s="1823"/>
      <c r="G43" s="1200"/>
    </row>
    <row r="44" spans="2:13" hidden="1" x14ac:dyDescent="0.2"/>
    <row r="45" spans="2:13" hidden="1" x14ac:dyDescent="0.2"/>
    <row r="46" spans="2:13" ht="13.5" hidden="1" thickBot="1" x14ac:dyDescent="0.25">
      <c r="B46" s="1206" t="str">
        <f>'[25]Int Tment Res Emer Intake addon'!B41</f>
        <v>FY26 Updates</v>
      </c>
      <c r="C46" s="1306"/>
      <c r="D46" s="1306"/>
      <c r="E46" s="1307"/>
    </row>
    <row r="47" spans="2:13" hidden="1" x14ac:dyDescent="0.2">
      <c r="B47" s="1714" t="s">
        <v>2298</v>
      </c>
      <c r="E47" s="736"/>
    </row>
    <row r="48" spans="2:13" hidden="1" x14ac:dyDescent="0.2">
      <c r="B48" s="1714" t="s">
        <v>2459</v>
      </c>
      <c r="E48" s="736"/>
    </row>
    <row r="49" spans="1:6" hidden="1" x14ac:dyDescent="0.2">
      <c r="B49" s="1714" t="s">
        <v>2299</v>
      </c>
      <c r="E49" s="736"/>
    </row>
    <row r="50" spans="1:6" hidden="1" x14ac:dyDescent="0.2">
      <c r="B50" s="1714" t="str">
        <f>'[25]Int Tment Res Emer Intake addon'!B45</f>
        <v>BTL expenses to PY +CAF</v>
      </c>
      <c r="E50" s="736"/>
    </row>
    <row r="51" spans="1:6" hidden="1" x14ac:dyDescent="0.2">
      <c r="B51" s="724"/>
      <c r="E51" s="736"/>
    </row>
    <row r="52" spans="1:6" ht="13.35" hidden="1" customHeight="1" x14ac:dyDescent="0.2">
      <c r="B52" s="724"/>
      <c r="E52" s="736"/>
    </row>
    <row r="53" spans="1:6" ht="15" hidden="1" customHeight="1" thickBot="1" x14ac:dyDescent="0.25">
      <c r="B53" s="733"/>
      <c r="C53" s="1192"/>
      <c r="D53" s="1192"/>
      <c r="E53" s="1309"/>
    </row>
    <row r="54" spans="1:6" hidden="1" x14ac:dyDescent="0.2"/>
    <row r="55" spans="1:6" ht="13.5" hidden="1" thickBot="1" x14ac:dyDescent="0.25">
      <c r="B55" s="1824" t="s">
        <v>2502</v>
      </c>
    </row>
    <row r="56" spans="1:6" hidden="1" x14ac:dyDescent="0.2">
      <c r="B56" s="1766" t="s">
        <v>2503</v>
      </c>
      <c r="C56" s="1188"/>
      <c r="D56" s="1767" t="s">
        <v>2504</v>
      </c>
      <c r="E56" s="1767" t="s">
        <v>2505</v>
      </c>
      <c r="F56" s="1768" t="s">
        <v>2506</v>
      </c>
    </row>
    <row r="57" spans="1:6" ht="13.5" hidden="1" thickBot="1" x14ac:dyDescent="0.25">
      <c r="B57" s="733"/>
      <c r="C57" s="1192"/>
      <c r="D57" s="1452" t="s">
        <v>2507</v>
      </c>
      <c r="E57" s="1452" t="s">
        <v>2508</v>
      </c>
      <c r="F57" s="1769" t="s">
        <v>2509</v>
      </c>
    </row>
    <row r="58" spans="1:6" hidden="1" x14ac:dyDescent="0.2">
      <c r="A58" s="1451"/>
      <c r="B58" s="1728" t="s">
        <v>9</v>
      </c>
      <c r="F58" s="1191"/>
    </row>
    <row r="59" spans="1:6" hidden="1" x14ac:dyDescent="0.2">
      <c r="A59" s="1200"/>
      <c r="B59" s="724" t="s">
        <v>2500</v>
      </c>
      <c r="D59" s="1448">
        <v>0</v>
      </c>
      <c r="E59" s="1190">
        <v>0.5</v>
      </c>
      <c r="F59" s="1825">
        <f t="shared" ref="F59:F60" si="0">E59-D59</f>
        <v>0.5</v>
      </c>
    </row>
    <row r="60" spans="1:6" hidden="1" x14ac:dyDescent="0.2">
      <c r="A60" s="1200"/>
      <c r="B60" s="724" t="s">
        <v>569</v>
      </c>
      <c r="D60" s="1826">
        <v>0.6</v>
      </c>
      <c r="E60" s="1827">
        <v>1</v>
      </c>
      <c r="F60" s="1828">
        <f t="shared" si="0"/>
        <v>0.4</v>
      </c>
    </row>
    <row r="61" spans="1:6" ht="13.5" hidden="1" customHeight="1" thickBot="1" x14ac:dyDescent="0.25">
      <c r="B61" s="733"/>
      <c r="C61" s="1192" t="s">
        <v>2510</v>
      </c>
      <c r="D61" s="1193"/>
      <c r="E61" s="1193"/>
      <c r="F61" s="1829">
        <f>SUM(F59:F60)</f>
        <v>0.9</v>
      </c>
    </row>
    <row r="62" spans="1:6" hidden="1" x14ac:dyDescent="0.2">
      <c r="D62" s="1190"/>
      <c r="E62" s="1190"/>
    </row>
    <row r="63" spans="1:6" hidden="1" x14ac:dyDescent="0.2">
      <c r="A63" s="1808"/>
      <c r="B63" s="1183"/>
      <c r="D63" s="1190"/>
      <c r="E63" s="1190"/>
    </row>
    <row r="64" spans="1:6" ht="13.5" hidden="1" thickBot="1" x14ac:dyDescent="0.25">
      <c r="A64" s="384"/>
      <c r="B64" s="1830"/>
      <c r="C64" s="1831"/>
      <c r="D64" s="1831" t="s">
        <v>2502</v>
      </c>
      <c r="E64" s="1831"/>
      <c r="F64" s="1832"/>
    </row>
    <row r="65" spans="1:6" hidden="1" x14ac:dyDescent="0.2">
      <c r="B65" s="724" t="s">
        <v>2503</v>
      </c>
      <c r="D65" s="384" t="s">
        <v>2504</v>
      </c>
      <c r="E65" s="384" t="s">
        <v>2505</v>
      </c>
      <c r="F65" s="1352" t="s">
        <v>2506</v>
      </c>
    </row>
    <row r="66" spans="1:6" ht="13.5" hidden="1" thickBot="1" x14ac:dyDescent="0.25">
      <c r="B66" s="733"/>
      <c r="C66" s="1192"/>
      <c r="D66" s="1452" t="s">
        <v>2507</v>
      </c>
      <c r="E66" s="1452" t="s">
        <v>2508</v>
      </c>
      <c r="F66" s="1769" t="s">
        <v>2509</v>
      </c>
    </row>
    <row r="67" spans="1:6" hidden="1" x14ac:dyDescent="0.2">
      <c r="B67" s="724" t="s">
        <v>2500</v>
      </c>
      <c r="D67" s="1448">
        <v>0</v>
      </c>
      <c r="E67" s="1190">
        <v>0.5</v>
      </c>
      <c r="F67" s="1825">
        <f t="shared" ref="F67:F68" si="1">E67-D67</f>
        <v>0.5</v>
      </c>
    </row>
    <row r="68" spans="1:6" hidden="1" x14ac:dyDescent="0.2">
      <c r="B68" s="724" t="s">
        <v>569</v>
      </c>
      <c r="D68" s="1826">
        <v>0.6</v>
      </c>
      <c r="E68" s="1827">
        <v>1</v>
      </c>
      <c r="F68" s="1828">
        <f t="shared" si="1"/>
        <v>0.4</v>
      </c>
    </row>
    <row r="69" spans="1:6" ht="13.5" hidden="1" thickBot="1" x14ac:dyDescent="0.25">
      <c r="B69" s="733"/>
      <c r="C69" s="1192" t="s">
        <v>2510</v>
      </c>
      <c r="D69" s="1193"/>
      <c r="E69" s="1193"/>
      <c r="F69" s="1829">
        <f>SUM(F67:F68)</f>
        <v>0.9</v>
      </c>
    </row>
    <row r="70" spans="1:6" hidden="1" x14ac:dyDescent="0.2">
      <c r="D70" s="1190"/>
      <c r="E70" s="1190"/>
    </row>
    <row r="71" spans="1:6" ht="13.5" hidden="1" thickBot="1" x14ac:dyDescent="0.25">
      <c r="B71" s="1830"/>
      <c r="C71" s="1831"/>
      <c r="D71" s="1831" t="s">
        <v>2511</v>
      </c>
      <c r="E71" s="1831"/>
      <c r="F71" s="1832"/>
    </row>
    <row r="72" spans="1:6" hidden="1" x14ac:dyDescent="0.2">
      <c r="B72" s="724" t="s">
        <v>2503</v>
      </c>
      <c r="D72" s="384" t="s">
        <v>2504</v>
      </c>
      <c r="E72" s="384" t="s">
        <v>2505</v>
      </c>
      <c r="F72" s="1352" t="s">
        <v>2506</v>
      </c>
    </row>
    <row r="73" spans="1:6" ht="13.5" hidden="1" thickBot="1" x14ac:dyDescent="0.25">
      <c r="B73" s="733"/>
      <c r="C73" s="1192"/>
      <c r="D73" s="1452" t="s">
        <v>2507</v>
      </c>
      <c r="E73" s="1452" t="s">
        <v>2508</v>
      </c>
      <c r="F73" s="1769" t="s">
        <v>2509</v>
      </c>
    </row>
    <row r="74" spans="1:6" hidden="1" x14ac:dyDescent="0.2">
      <c r="B74" s="724" t="s">
        <v>2500</v>
      </c>
      <c r="D74" s="1448">
        <v>0</v>
      </c>
      <c r="E74" s="1190">
        <v>0.5</v>
      </c>
      <c r="F74" s="1825">
        <f t="shared" ref="F74:F75" si="2">E74-D74</f>
        <v>0.5</v>
      </c>
    </row>
    <row r="75" spans="1:6" hidden="1" x14ac:dyDescent="0.2">
      <c r="B75" s="724" t="s">
        <v>569</v>
      </c>
      <c r="D75" s="1826">
        <v>0.6</v>
      </c>
      <c r="E75" s="1827">
        <v>1</v>
      </c>
      <c r="F75" s="1828">
        <f t="shared" si="2"/>
        <v>0.4</v>
      </c>
    </row>
    <row r="76" spans="1:6" ht="13.5" hidden="1" thickBot="1" x14ac:dyDescent="0.25">
      <c r="B76" s="733"/>
      <c r="C76" s="1192" t="s">
        <v>2510</v>
      </c>
      <c r="D76" s="1193"/>
      <c r="E76" s="1193"/>
      <c r="F76" s="1829">
        <f>SUM(F74:F75)</f>
        <v>0.9</v>
      </c>
    </row>
    <row r="77" spans="1:6" hidden="1" x14ac:dyDescent="0.2">
      <c r="D77" s="1184"/>
      <c r="E77" s="1190"/>
      <c r="F77" s="1184"/>
    </row>
    <row r="78" spans="1:6" hidden="1" x14ac:dyDescent="0.2">
      <c r="D78" s="1184"/>
      <c r="E78" s="1190"/>
      <c r="F78" s="1184"/>
    </row>
    <row r="79" spans="1:6" ht="12.75" hidden="1" customHeight="1" x14ac:dyDescent="0.2">
      <c r="A79" s="1200"/>
      <c r="B79" s="383" t="s">
        <v>2512</v>
      </c>
    </row>
    <row r="80" spans="1:6" hidden="1" x14ac:dyDescent="0.2">
      <c r="A80" s="1451"/>
    </row>
    <row r="81" spans="1:1" hidden="1" x14ac:dyDescent="0.2">
      <c r="A81" s="1200"/>
    </row>
    <row r="82" spans="1:1" hidden="1" x14ac:dyDescent="0.2">
      <c r="A82" s="1200"/>
    </row>
    <row r="83" spans="1:1" hidden="1" x14ac:dyDescent="0.2">
      <c r="A83" s="1200"/>
    </row>
    <row r="84" spans="1:1" hidden="1" x14ac:dyDescent="0.2"/>
    <row r="85" spans="1:1" hidden="1" x14ac:dyDescent="0.2">
      <c r="A85" s="1471"/>
    </row>
    <row r="86" spans="1:1" hidden="1" x14ac:dyDescent="0.2">
      <c r="A86" s="1808"/>
    </row>
    <row r="87" spans="1:1" hidden="1" x14ac:dyDescent="0.2">
      <c r="A87" s="384"/>
    </row>
    <row r="88" spans="1:1" hidden="1" x14ac:dyDescent="0.2"/>
    <row r="89" spans="1:1" hidden="1" x14ac:dyDescent="0.2"/>
    <row r="90" spans="1:1" hidden="1" x14ac:dyDescent="0.2"/>
    <row r="91" spans="1:1" hidden="1" x14ac:dyDescent="0.2"/>
    <row r="92" spans="1:1" hidden="1" x14ac:dyDescent="0.2"/>
    <row r="93" spans="1:1" hidden="1" x14ac:dyDescent="0.2"/>
    <row r="94" spans="1:1" hidden="1" x14ac:dyDescent="0.2"/>
    <row r="95" spans="1:1" hidden="1" x14ac:dyDescent="0.2"/>
    <row r="96" spans="1:1" hidden="1" x14ac:dyDescent="0.2"/>
    <row r="97" spans="1:1" hidden="1" x14ac:dyDescent="0.2"/>
    <row r="98" spans="1:1" hidden="1" x14ac:dyDescent="0.2"/>
    <row r="99" spans="1:1" hidden="1" x14ac:dyDescent="0.2"/>
    <row r="100" spans="1:1" hidden="1" x14ac:dyDescent="0.2"/>
    <row r="101" spans="1:1" hidden="1" x14ac:dyDescent="0.2"/>
    <row r="102" spans="1:1" hidden="1" x14ac:dyDescent="0.2"/>
    <row r="111" spans="1:1" x14ac:dyDescent="0.2">
      <c r="A111" s="1451"/>
    </row>
    <row r="112" spans="1:1" x14ac:dyDescent="0.2">
      <c r="A112" s="1200"/>
    </row>
    <row r="113" spans="1:1" x14ac:dyDescent="0.2">
      <c r="A113" s="1200"/>
    </row>
    <row r="114" spans="1:1" x14ac:dyDescent="0.2">
      <c r="A114" s="1200"/>
    </row>
  </sheetData>
  <mergeCells count="5">
    <mergeCell ref="B1:E1"/>
    <mergeCell ref="B4:F4"/>
    <mergeCell ref="H4:L4"/>
    <mergeCell ref="B5:F6"/>
    <mergeCell ref="H5:L6"/>
  </mergeCells>
  <pageMargins left="0.7" right="0.7" top="0.75" bottom="0.75" header="0.3" footer="0.3"/>
  <pageSetup scale="48" fitToHeight="0" orientation="landscape" r:id="rId1"/>
  <headerFooter>
    <oddFooter>&amp;R&amp;A
&amp;F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20E7B-D900-4BA4-A1BC-1C9D488B577B}">
  <sheetPr>
    <pageSetUpPr fitToPage="1"/>
  </sheetPr>
  <dimension ref="A1:M125"/>
  <sheetViews>
    <sheetView topLeftCell="A9" zoomScaleNormal="100" zoomScaleSheetLayoutView="100" workbookViewId="0">
      <selection activeCell="G114" sqref="G114"/>
    </sheetView>
  </sheetViews>
  <sheetFormatPr defaultColWidth="18.42578125" defaultRowHeight="12.75" x14ac:dyDescent="0.2"/>
  <cols>
    <col min="1" max="1" width="5.140625" style="383" customWidth="1"/>
    <col min="2" max="2" width="40.140625" style="383" customWidth="1"/>
    <col min="3" max="3" width="13.85546875" style="383" customWidth="1"/>
    <col min="4" max="4" width="11.5703125" style="383" bestFit="1" customWidth="1"/>
    <col min="5" max="5" width="11.28515625" style="383" bestFit="1" customWidth="1"/>
    <col min="6" max="6" width="18.28515625" style="383" customWidth="1"/>
    <col min="7" max="7" width="14.85546875" style="384" customWidth="1"/>
    <col min="8" max="8" width="37" style="383" customWidth="1"/>
    <col min="9" max="9" width="13.5703125" style="383" customWidth="1"/>
    <col min="10" max="10" width="9.5703125" style="383" bestFit="1" customWidth="1"/>
    <col min="11" max="11" width="10.28515625" style="383" bestFit="1" customWidth="1"/>
    <col min="12" max="12" width="11" style="383" bestFit="1" customWidth="1"/>
    <col min="13" max="16384" width="18.42578125" style="383"/>
  </cols>
  <sheetData>
    <row r="1" spans="1:13" x14ac:dyDescent="0.2">
      <c r="B1" s="1896" t="s">
        <v>2297</v>
      </c>
      <c r="C1" s="1896"/>
      <c r="D1" s="1896"/>
      <c r="E1" s="1896"/>
      <c r="F1" s="1674">
        <f ca="1">TODAY()</f>
        <v>45805</v>
      </c>
    </row>
    <row r="5" spans="1:13" ht="20.25" customHeight="1" thickBot="1" x14ac:dyDescent="0.25">
      <c r="B5" s="1953" t="s">
        <v>2513</v>
      </c>
      <c r="C5" s="1954"/>
      <c r="D5" s="1954"/>
      <c r="E5" s="1954"/>
      <c r="F5" s="1954"/>
      <c r="H5" s="1953" t="s">
        <v>2514</v>
      </c>
      <c r="I5" s="1954"/>
      <c r="J5" s="1954"/>
      <c r="K5" s="1954"/>
      <c r="L5" s="1954"/>
      <c r="M5" s="384"/>
    </row>
    <row r="6" spans="1:13" ht="13.5" customHeight="1" x14ac:dyDescent="0.2">
      <c r="B6" s="1897" t="s">
        <v>2515</v>
      </c>
      <c r="C6" s="1898"/>
      <c r="D6" s="1898"/>
      <c r="E6" s="1898"/>
      <c r="F6" s="1899"/>
      <c r="H6" s="1897" t="s">
        <v>2515</v>
      </c>
      <c r="I6" s="1903"/>
      <c r="J6" s="1903"/>
      <c r="K6" s="1903"/>
      <c r="L6" s="1904"/>
      <c r="M6" s="384"/>
    </row>
    <row r="7" spans="1:13" ht="13.5" thickBot="1" x14ac:dyDescent="0.25">
      <c r="B7" s="1900"/>
      <c r="C7" s="1901"/>
      <c r="D7" s="1901"/>
      <c r="E7" s="1901"/>
      <c r="F7" s="1902"/>
      <c r="H7" s="1905"/>
      <c r="I7" s="1906"/>
      <c r="J7" s="1906"/>
      <c r="K7" s="1906"/>
      <c r="L7" s="1907"/>
      <c r="M7" s="384"/>
    </row>
    <row r="8" spans="1:13" x14ac:dyDescent="0.2">
      <c r="B8" s="731" t="s">
        <v>0</v>
      </c>
      <c r="C8" s="1182">
        <v>9</v>
      </c>
      <c r="D8" s="1183"/>
      <c r="E8" s="1183" t="s">
        <v>1</v>
      </c>
      <c r="F8" s="1181">
        <f>C8*365</f>
        <v>3285</v>
      </c>
      <c r="G8" s="1727"/>
      <c r="H8" s="731" t="s">
        <v>0</v>
      </c>
      <c r="I8" s="1182">
        <v>9</v>
      </c>
      <c r="J8" s="1183"/>
      <c r="K8" s="1183" t="s">
        <v>1</v>
      </c>
      <c r="L8" s="1181">
        <f>I8*365</f>
        <v>3285</v>
      </c>
      <c r="M8" s="384"/>
    </row>
    <row r="9" spans="1:13" x14ac:dyDescent="0.2">
      <c r="B9" s="724"/>
      <c r="F9" s="736"/>
      <c r="G9" s="1727"/>
      <c r="H9" s="724"/>
      <c r="L9" s="736"/>
      <c r="M9" s="384"/>
    </row>
    <row r="10" spans="1:13" ht="15" customHeight="1" x14ac:dyDescent="0.2">
      <c r="B10" s="1432"/>
      <c r="C10" s="1675"/>
      <c r="D10" s="1433" t="s">
        <v>5</v>
      </c>
      <c r="E10" s="1433" t="s">
        <v>6</v>
      </c>
      <c r="F10" s="1676" t="s">
        <v>7</v>
      </c>
      <c r="H10" s="1432"/>
      <c r="I10" s="1675"/>
      <c r="J10" s="1433" t="s">
        <v>5</v>
      </c>
      <c r="K10" s="1433" t="s">
        <v>6</v>
      </c>
      <c r="L10" s="1676" t="s">
        <v>7</v>
      </c>
      <c r="M10" s="384"/>
    </row>
    <row r="11" spans="1:13" ht="13.35" customHeight="1" x14ac:dyDescent="0.2">
      <c r="A11" s="1179"/>
      <c r="B11" s="1728" t="s">
        <v>9</v>
      </c>
      <c r="F11" s="1191"/>
      <c r="H11" s="1728" t="s">
        <v>9</v>
      </c>
      <c r="L11" s="1191"/>
      <c r="M11" s="384"/>
    </row>
    <row r="12" spans="1:13" ht="17.45" customHeight="1" x14ac:dyDescent="0.2">
      <c r="A12" s="1179"/>
      <c r="B12" s="724" t="s">
        <v>2462</v>
      </c>
      <c r="D12" s="1184">
        <f>'[25]Master Data'!E17</f>
        <v>83639.712</v>
      </c>
      <c r="E12" s="1190">
        <v>1</v>
      </c>
      <c r="F12" s="1191">
        <f>D12*E12</f>
        <v>83639.712</v>
      </c>
      <c r="H12" s="724" t="s">
        <v>2462</v>
      </c>
      <c r="J12" s="1184">
        <f>D12</f>
        <v>83639.712</v>
      </c>
      <c r="K12" s="1190">
        <f>E12</f>
        <v>1</v>
      </c>
      <c r="L12" s="1191">
        <f>J12*K12</f>
        <v>83639.712</v>
      </c>
      <c r="M12" s="384"/>
    </row>
    <row r="13" spans="1:13" ht="13.5" customHeight="1" x14ac:dyDescent="0.2">
      <c r="A13" s="1179"/>
      <c r="B13" s="724" t="s">
        <v>625</v>
      </c>
      <c r="D13" s="1184">
        <f>'[25]Master Data'!E18</f>
        <v>73854.144</v>
      </c>
      <c r="E13" s="1190">
        <v>0.75</v>
      </c>
      <c r="F13" s="1191">
        <f>D13*E13</f>
        <v>55390.608</v>
      </c>
      <c r="H13" s="724" t="s">
        <v>625</v>
      </c>
      <c r="J13" s="1184">
        <f>D13</f>
        <v>73854.144</v>
      </c>
      <c r="K13" s="1190">
        <f>E13</f>
        <v>0.75</v>
      </c>
      <c r="L13" s="1191">
        <f>J13*K13</f>
        <v>55390.608</v>
      </c>
      <c r="M13" s="384"/>
    </row>
    <row r="14" spans="1:13" x14ac:dyDescent="0.2">
      <c r="A14" s="1179"/>
      <c r="B14" s="731" t="s">
        <v>13</v>
      </c>
      <c r="D14" s="1184"/>
      <c r="E14" s="1190"/>
      <c r="F14" s="1191"/>
      <c r="H14" s="731" t="s">
        <v>13</v>
      </c>
      <c r="J14" s="1184"/>
      <c r="K14" s="1190"/>
      <c r="L14" s="1191"/>
      <c r="M14" s="384"/>
    </row>
    <row r="15" spans="1:13" x14ac:dyDescent="0.2">
      <c r="A15" s="1179"/>
      <c r="B15" s="724" t="s">
        <v>17</v>
      </c>
      <c r="D15" s="1184">
        <v>247470</v>
      </c>
      <c r="E15" s="1190">
        <v>0.5</v>
      </c>
      <c r="F15" s="1191">
        <f>D15*E15</f>
        <v>123735</v>
      </c>
      <c r="H15" s="724" t="s">
        <v>17</v>
      </c>
      <c r="J15" s="1184">
        <v>247470</v>
      </c>
      <c r="K15" s="1190">
        <v>0.5</v>
      </c>
      <c r="L15" s="1191">
        <f>J15*K15</f>
        <v>123735</v>
      </c>
      <c r="M15" s="384"/>
    </row>
    <row r="16" spans="1:13" x14ac:dyDescent="0.2">
      <c r="A16" s="1180"/>
      <c r="B16" s="724" t="s">
        <v>2437</v>
      </c>
      <c r="D16" s="1184">
        <f>'[25]Master Data'!E23</f>
        <v>103622.27200000001</v>
      </c>
      <c r="E16" s="1190">
        <v>1</v>
      </c>
      <c r="F16" s="1191">
        <f>D16*E16</f>
        <v>103622.27200000001</v>
      </c>
      <c r="H16" s="724" t="s">
        <v>2437</v>
      </c>
      <c r="J16" s="1184">
        <f t="shared" ref="J16:K19" si="0">D16</f>
        <v>103622.27200000001</v>
      </c>
      <c r="K16" s="1190">
        <f t="shared" si="0"/>
        <v>1</v>
      </c>
      <c r="L16" s="1191">
        <f t="shared" ref="L16:L22" si="1">J16*K16</f>
        <v>103622.27200000001</v>
      </c>
      <c r="M16" s="384"/>
    </row>
    <row r="17" spans="2:13" x14ac:dyDescent="0.2">
      <c r="B17" s="724" t="s">
        <v>2463</v>
      </c>
      <c r="D17" s="1184">
        <f>'[25]Master Data'!E24</f>
        <v>73854.144</v>
      </c>
      <c r="E17" s="1190">
        <v>4.2</v>
      </c>
      <c r="F17" s="1191">
        <f>D17*E17</f>
        <v>310187.40480000002</v>
      </c>
      <c r="H17" s="724" t="s">
        <v>2463</v>
      </c>
      <c r="J17" s="1184">
        <f t="shared" si="0"/>
        <v>73854.144</v>
      </c>
      <c r="K17" s="1190">
        <f t="shared" si="0"/>
        <v>4.2</v>
      </c>
      <c r="L17" s="1191">
        <f t="shared" si="1"/>
        <v>310187.40480000002</v>
      </c>
      <c r="M17" s="384"/>
    </row>
    <row r="18" spans="2:13" x14ac:dyDescent="0.2">
      <c r="B18" s="724" t="s">
        <v>2464</v>
      </c>
      <c r="D18" s="1184">
        <f>'[25]M2023 BLS Chart'!C18</f>
        <v>83639.712</v>
      </c>
      <c r="E18" s="1190">
        <v>1</v>
      </c>
      <c r="F18" s="1191">
        <f>D18*E18</f>
        <v>83639.712</v>
      </c>
      <c r="H18" s="724" t="s">
        <v>2464</v>
      </c>
      <c r="J18" s="1184">
        <f t="shared" si="0"/>
        <v>83639.712</v>
      </c>
      <c r="K18" s="1190">
        <f t="shared" si="0"/>
        <v>1</v>
      </c>
      <c r="L18" s="1191">
        <f t="shared" si="1"/>
        <v>83639.712</v>
      </c>
      <c r="M18" s="384"/>
    </row>
    <row r="19" spans="2:13" x14ac:dyDescent="0.2">
      <c r="B19" s="724" t="s">
        <v>666</v>
      </c>
      <c r="D19" s="1184">
        <f>'[25]M2023 BLS Chart'!C24</f>
        <v>82681.040000000008</v>
      </c>
      <c r="E19" s="1190">
        <v>1</v>
      </c>
      <c r="F19" s="1191">
        <f>D19*E19</f>
        <v>82681.040000000008</v>
      </c>
      <c r="H19" s="724" t="s">
        <v>666</v>
      </c>
      <c r="J19" s="1184">
        <f t="shared" si="0"/>
        <v>82681.040000000008</v>
      </c>
      <c r="K19" s="1190">
        <f t="shared" si="0"/>
        <v>1</v>
      </c>
      <c r="L19" s="1191">
        <f t="shared" si="1"/>
        <v>82681.040000000008</v>
      </c>
      <c r="M19" s="384"/>
    </row>
    <row r="20" spans="2:13" x14ac:dyDescent="0.2">
      <c r="B20" s="731" t="s">
        <v>18</v>
      </c>
      <c r="D20" s="1184"/>
      <c r="E20" s="1190"/>
      <c r="F20" s="1191"/>
      <c r="H20" s="731" t="s">
        <v>18</v>
      </c>
      <c r="J20" s="1184"/>
      <c r="K20" s="1190"/>
      <c r="L20" s="1191"/>
      <c r="M20" s="384"/>
    </row>
    <row r="21" spans="2:13" x14ac:dyDescent="0.2">
      <c r="B21" s="724" t="s">
        <v>2501</v>
      </c>
      <c r="D21" s="1184">
        <f>'[25]Master Data'!E33</f>
        <v>56217.241600000001</v>
      </c>
      <c r="E21" s="1190">
        <v>1</v>
      </c>
      <c r="F21" s="1191">
        <f>D21*E21</f>
        <v>56217.241600000001</v>
      </c>
      <c r="H21" s="724" t="s">
        <v>2501</v>
      </c>
      <c r="J21" s="1184">
        <f>D21</f>
        <v>56217.241600000001</v>
      </c>
      <c r="K21" s="1190">
        <v>0.5</v>
      </c>
      <c r="L21" s="1191">
        <f t="shared" si="1"/>
        <v>28108.620800000001</v>
      </c>
      <c r="M21" s="384"/>
    </row>
    <row r="22" spans="2:13" x14ac:dyDescent="0.2">
      <c r="B22" s="724" t="s">
        <v>2467</v>
      </c>
      <c r="D22" s="1184">
        <f>'[25]Master Data'!E32</f>
        <v>73854.144</v>
      </c>
      <c r="E22" s="1190">
        <v>0.9</v>
      </c>
      <c r="F22" s="1191">
        <f>D22*E22</f>
        <v>66468.729600000006</v>
      </c>
      <c r="H22" s="731" t="s">
        <v>2467</v>
      </c>
      <c r="J22" s="1184">
        <f>D22</f>
        <v>73854.144</v>
      </c>
      <c r="K22" s="1190">
        <f>E22</f>
        <v>0.9</v>
      </c>
      <c r="L22" s="1191">
        <f t="shared" si="1"/>
        <v>66468.729600000006</v>
      </c>
      <c r="M22" s="384"/>
    </row>
    <row r="23" spans="2:13" x14ac:dyDescent="0.2">
      <c r="B23" s="724" t="s">
        <v>2496</v>
      </c>
      <c r="D23" s="1184">
        <f>'[25]Master Data'!E40</f>
        <v>43247.567999999999</v>
      </c>
      <c r="E23" s="1190">
        <v>15.4</v>
      </c>
      <c r="F23" s="1191">
        <f>D23*E23</f>
        <v>666012.54720000003</v>
      </c>
      <c r="H23" s="724" t="s">
        <v>2496</v>
      </c>
      <c r="J23" s="1184">
        <f>D23</f>
        <v>43247.567999999999</v>
      </c>
      <c r="K23" s="1190">
        <f>E23</f>
        <v>15.4</v>
      </c>
      <c r="L23" s="1191">
        <f>J23*K23</f>
        <v>666012.54720000003</v>
      </c>
      <c r="M23" s="384"/>
    </row>
    <row r="24" spans="2:13" x14ac:dyDescent="0.2">
      <c r="B24" s="724" t="s">
        <v>2446</v>
      </c>
      <c r="D24" s="1184">
        <f>'[25]Master Data'!E41</f>
        <v>43247.567999999999</v>
      </c>
      <c r="E24" s="1190">
        <v>1</v>
      </c>
      <c r="F24" s="1191">
        <f>D24*E24</f>
        <v>43247.567999999999</v>
      </c>
      <c r="H24" s="1438" t="s">
        <v>2446</v>
      </c>
      <c r="I24" s="1686"/>
      <c r="J24" s="1184">
        <f>D24</f>
        <v>43247.567999999999</v>
      </c>
      <c r="K24" s="1190">
        <f>E24</f>
        <v>1</v>
      </c>
      <c r="L24" s="1191">
        <f>J24*K24</f>
        <v>43247.567999999999</v>
      </c>
      <c r="M24" s="384"/>
    </row>
    <row r="25" spans="2:13" x14ac:dyDescent="0.2">
      <c r="B25" s="724" t="s">
        <v>2449</v>
      </c>
      <c r="D25" s="1184">
        <f>D24</f>
        <v>43247.567999999999</v>
      </c>
      <c r="E25" s="1190">
        <f>E23*'[25]Master Data'!E11</f>
        <v>2.31</v>
      </c>
      <c r="F25" s="1191">
        <f>D25*E25</f>
        <v>99901.882079999996</v>
      </c>
      <c r="H25" s="724" t="s">
        <v>2449</v>
      </c>
      <c r="J25" s="1184">
        <f>D25</f>
        <v>43247.567999999999</v>
      </c>
      <c r="K25" s="1190">
        <f>E25</f>
        <v>2.31</v>
      </c>
      <c r="L25" s="1191">
        <f>J25*K25</f>
        <v>99901.882079999996</v>
      </c>
      <c r="M25" s="384"/>
    </row>
    <row r="26" spans="2:13" x14ac:dyDescent="0.2">
      <c r="B26" s="1195" t="s">
        <v>20</v>
      </c>
      <c r="C26" s="1196"/>
      <c r="D26" s="1196"/>
      <c r="E26" s="1689">
        <f>SUM(E11:E25)</f>
        <v>30.06</v>
      </c>
      <c r="F26" s="1198">
        <f>SUM(F12:F25)</f>
        <v>1774743.71728</v>
      </c>
      <c r="H26" s="1195" t="s">
        <v>20</v>
      </c>
      <c r="I26" s="1196"/>
      <c r="J26" s="1196"/>
      <c r="K26" s="1689">
        <f>SUM(K11:K25)</f>
        <v>29.56</v>
      </c>
      <c r="L26" s="1198">
        <f>SUM(L12:L25)</f>
        <v>1746635.0964800001</v>
      </c>
      <c r="M26" s="384"/>
    </row>
    <row r="27" spans="2:13" x14ac:dyDescent="0.2">
      <c r="B27" s="731" t="s">
        <v>21</v>
      </c>
      <c r="E27" s="1183" t="s">
        <v>22</v>
      </c>
      <c r="F27" s="736"/>
      <c r="H27" s="731" t="s">
        <v>21</v>
      </c>
      <c r="K27" s="1183" t="s">
        <v>22</v>
      </c>
      <c r="L27" s="736"/>
      <c r="M27" s="384"/>
    </row>
    <row r="28" spans="2:13" x14ac:dyDescent="0.2">
      <c r="B28" s="724" t="s">
        <v>23</v>
      </c>
      <c r="D28" s="726">
        <f>'[24] Medically Complex Resid CCMR'!D26</f>
        <v>0.24970000000000001</v>
      </c>
      <c r="F28" s="1191">
        <f>D28*F26</f>
        <v>443153.50620481599</v>
      </c>
      <c r="H28" s="724" t="s">
        <v>23</v>
      </c>
      <c r="J28" s="726">
        <f>D28</f>
        <v>0.24970000000000001</v>
      </c>
      <c r="L28" s="1191">
        <f>J28*L26</f>
        <v>436134.78359105601</v>
      </c>
      <c r="M28" s="384"/>
    </row>
    <row r="29" spans="2:13" x14ac:dyDescent="0.2">
      <c r="B29" s="1195" t="s">
        <v>24</v>
      </c>
      <c r="C29" s="1196"/>
      <c r="D29" s="1196"/>
      <c r="E29" s="1197">
        <f>F29/F8</f>
        <v>675.15897214149652</v>
      </c>
      <c r="F29" s="1198">
        <f>F28+F26</f>
        <v>2217897.223484816</v>
      </c>
      <c r="H29" s="1195" t="s">
        <v>24</v>
      </c>
      <c r="I29" s="1196"/>
      <c r="J29" s="1196"/>
      <c r="K29" s="1197">
        <f>L29/L8</f>
        <v>664.46571691660768</v>
      </c>
      <c r="L29" s="1198">
        <f>L28+L26</f>
        <v>2182769.8800710561</v>
      </c>
      <c r="M29" s="384"/>
    </row>
    <row r="30" spans="2:13" x14ac:dyDescent="0.2">
      <c r="B30" s="724"/>
      <c r="C30" s="1763"/>
      <c r="F30" s="1691"/>
      <c r="H30" s="724"/>
      <c r="I30" s="1763"/>
      <c r="L30" s="1691"/>
      <c r="M30" s="384"/>
    </row>
    <row r="31" spans="2:13" x14ac:dyDescent="0.2">
      <c r="B31" s="724" t="s">
        <v>26</v>
      </c>
      <c r="E31" s="1200">
        <f>'[24] Medically Complex Resid CCMR'!E29</f>
        <v>31.419846000000003</v>
      </c>
      <c r="F31" s="1199">
        <f>E31*F8</f>
        <v>103214.19411000001</v>
      </c>
      <c r="H31" s="724" t="s">
        <v>26</v>
      </c>
      <c r="K31" s="1200">
        <f>E31</f>
        <v>31.419846000000003</v>
      </c>
      <c r="L31" s="1199">
        <f>K31*L8</f>
        <v>103214.19411000001</v>
      </c>
      <c r="M31" s="384"/>
    </row>
    <row r="32" spans="2:13" x14ac:dyDescent="0.2">
      <c r="B32" s="724" t="s">
        <v>27</v>
      </c>
      <c r="E32" s="1200">
        <f>'[24] Medically Complex Resid CCMR'!E30</f>
        <v>25.695</v>
      </c>
      <c r="F32" s="1199">
        <f>E32*F8</f>
        <v>84408.074999999997</v>
      </c>
      <c r="H32" s="724" t="s">
        <v>27</v>
      </c>
      <c r="K32" s="1200">
        <f>E32</f>
        <v>25.695</v>
      </c>
      <c r="L32" s="1199">
        <f>K32*L8</f>
        <v>84408.074999999997</v>
      </c>
      <c r="M32" s="384"/>
    </row>
    <row r="33" spans="2:13" x14ac:dyDescent="0.2">
      <c r="B33" s="1195" t="s">
        <v>29</v>
      </c>
      <c r="C33" s="1196"/>
      <c r="D33" s="1196"/>
      <c r="E33" s="1196"/>
      <c r="F33" s="1198">
        <f>SUM(F29:F32)</f>
        <v>2405519.4925948163</v>
      </c>
      <c r="H33" s="1195" t="s">
        <v>29</v>
      </c>
      <c r="I33" s="1196"/>
      <c r="J33" s="1196"/>
      <c r="K33" s="1196"/>
      <c r="L33" s="1198">
        <f>SUM(L29:L32)</f>
        <v>2370392.1491810563</v>
      </c>
      <c r="M33" s="384"/>
    </row>
    <row r="34" spans="2:13" x14ac:dyDescent="0.2">
      <c r="B34" s="724" t="s">
        <v>30</v>
      </c>
      <c r="D34" s="726">
        <f>'[24] Medically Complex Resid CCMR'!D32</f>
        <v>0.12</v>
      </c>
      <c r="F34" s="1191">
        <f>D34*F33</f>
        <v>288662.33911137795</v>
      </c>
      <c r="H34" s="724" t="s">
        <v>30</v>
      </c>
      <c r="J34" s="726">
        <f>D34</f>
        <v>0.12</v>
      </c>
      <c r="L34" s="1191">
        <f>J34*L33</f>
        <v>284447.05790172674</v>
      </c>
      <c r="M34" s="384"/>
    </row>
    <row r="35" spans="2:13" ht="13.5" thickBot="1" x14ac:dyDescent="0.25">
      <c r="B35" s="1203" t="s">
        <v>31</v>
      </c>
      <c r="C35" s="1204"/>
      <c r="D35" s="1204"/>
      <c r="E35" s="1204"/>
      <c r="F35" s="1205">
        <f>SUM(F33:F34)</f>
        <v>2694181.8317061942</v>
      </c>
      <c r="H35" s="1203" t="s">
        <v>31</v>
      </c>
      <c r="I35" s="1204"/>
      <c r="J35" s="1204"/>
      <c r="K35" s="1204"/>
      <c r="L35" s="1205">
        <f>SUM(L33:L34)</f>
        <v>2654839.2070827829</v>
      </c>
      <c r="M35" s="384"/>
    </row>
    <row r="36" spans="2:13" ht="13.5" thickTop="1" x14ac:dyDescent="0.2">
      <c r="B36" s="724" t="str">
        <f>'[24] Medically Complex Resid CCMR'!B34</f>
        <v>CAF - BASELINE</v>
      </c>
      <c r="D36" s="726">
        <f>'[24] Medically Complex Resid CCMR'!D34</f>
        <v>3.2549514448865162E-2</v>
      </c>
      <c r="F36" s="1693">
        <f>F33*(D36+1)+F34</f>
        <v>2772480.323187436</v>
      </c>
      <c r="H36" s="724" t="str">
        <f>B36</f>
        <v>CAF - BASELINE</v>
      </c>
      <c r="J36" s="726">
        <f>D36</f>
        <v>3.2549514448865162E-2</v>
      </c>
      <c r="L36" s="1693">
        <f>L33*(J36+1)+L34</f>
        <v>2731994.3205920286</v>
      </c>
      <c r="M36" s="384"/>
    </row>
    <row r="37" spans="2:13" x14ac:dyDescent="0.2">
      <c r="B37" s="724"/>
      <c r="F37" s="1694" t="s">
        <v>32</v>
      </c>
      <c r="H37" s="724"/>
      <c r="L37" s="1694" t="s">
        <v>32</v>
      </c>
      <c r="M37" s="384"/>
    </row>
    <row r="38" spans="2:13" ht="13.5" thickBot="1" x14ac:dyDescent="0.25">
      <c r="B38" s="724"/>
      <c r="D38" s="726"/>
      <c r="E38" s="1451"/>
      <c r="F38" s="1695">
        <f>F36/F8</f>
        <v>843.98183354259845</v>
      </c>
      <c r="H38" s="724"/>
      <c r="J38" s="726"/>
      <c r="K38" s="1451"/>
      <c r="L38" s="1695">
        <f>L36/L8</f>
        <v>831.65732742527507</v>
      </c>
      <c r="M38" s="384"/>
    </row>
    <row r="39" spans="2:13" ht="13.5" thickBot="1" x14ac:dyDescent="0.25">
      <c r="B39" s="1746" t="s">
        <v>2453</v>
      </c>
      <c r="C39" s="1817">
        <v>0.8</v>
      </c>
      <c r="D39" s="1818"/>
      <c r="E39" s="1819"/>
      <c r="F39" s="1699">
        <f>F38/C39</f>
        <v>1054.977291928248</v>
      </c>
      <c r="H39" s="1746" t="s">
        <v>2454</v>
      </c>
      <c r="I39" s="1817">
        <v>0.8</v>
      </c>
      <c r="J39" s="1818"/>
      <c r="K39" s="1819"/>
      <c r="L39" s="1699">
        <f>L38/I39</f>
        <v>1039.5716592815938</v>
      </c>
      <c r="M39" s="384"/>
    </row>
    <row r="40" spans="2:13" ht="13.5" thickBot="1" x14ac:dyDescent="0.25">
      <c r="B40" s="1713" t="s">
        <v>2455</v>
      </c>
      <c r="C40" s="1743">
        <v>0.9</v>
      </c>
      <c r="D40" s="1208"/>
      <c r="E40" s="1704"/>
      <c r="F40" s="1742">
        <f>F38/C40</f>
        <v>937.75759282510933</v>
      </c>
      <c r="H40" s="1713" t="s">
        <v>2456</v>
      </c>
      <c r="I40" s="1743">
        <v>0.9</v>
      </c>
      <c r="J40" s="1208"/>
      <c r="K40" s="1704"/>
      <c r="L40" s="1742">
        <f>L38/I40</f>
        <v>924.06369713919446</v>
      </c>
      <c r="M40" s="384"/>
    </row>
    <row r="41" spans="2:13" ht="13.5" thickBot="1" x14ac:dyDescent="0.25">
      <c r="B41" s="1798"/>
      <c r="C41" s="1799"/>
      <c r="D41" s="1733"/>
      <c r="E41" s="1800"/>
      <c r="F41" s="1821"/>
      <c r="G41" s="1834"/>
      <c r="H41" s="1798"/>
      <c r="I41" s="1799"/>
      <c r="J41" s="1733"/>
      <c r="K41" s="1800"/>
      <c r="L41" s="1821"/>
      <c r="M41" s="384"/>
    </row>
    <row r="42" spans="2:13" x14ac:dyDescent="0.2">
      <c r="B42" s="1183" t="s">
        <v>2457</v>
      </c>
      <c r="F42" s="1835">
        <f>'[25]7.23 MedCmplx &amp; Behavioral Resi'!F34</f>
        <v>754.05011807450103</v>
      </c>
      <c r="G42" s="1720">
        <f>(F39-F42)/F42</f>
        <v>0.39908113086989128</v>
      </c>
      <c r="L42" s="1835">
        <f>'[25]7.23 MedCmplx &amp; Behavioral Resi'!F76</f>
        <v>737.48495890038282</v>
      </c>
      <c r="M42" s="1720">
        <f>(L39-L42)/L42</f>
        <v>0.40961743929209538</v>
      </c>
    </row>
    <row r="43" spans="2:13" x14ac:dyDescent="0.2">
      <c r="G43" s="383"/>
      <c r="H43" s="1183" t="s">
        <v>2457</v>
      </c>
      <c r="M43" s="384"/>
    </row>
    <row r="44" spans="2:13" x14ac:dyDescent="0.2">
      <c r="F44" s="1717"/>
      <c r="G44" s="1476"/>
    </row>
    <row r="48" spans="2:13" hidden="1" x14ac:dyDescent="0.2">
      <c r="G48" s="383"/>
    </row>
    <row r="49" spans="2:7" hidden="1" x14ac:dyDescent="0.2">
      <c r="G49" s="383"/>
    </row>
    <row r="50" spans="2:7" ht="22.5" hidden="1" customHeight="1" thickBot="1" x14ac:dyDescent="0.25">
      <c r="B50" s="1206" t="str">
        <f>'[24] Medically Complex Resid CCMR'!B46</f>
        <v>FY26 Updates</v>
      </c>
      <c r="C50" s="1306"/>
      <c r="D50" s="1306"/>
      <c r="E50" s="1307"/>
      <c r="G50" s="383"/>
    </row>
    <row r="51" spans="2:7" hidden="1" x14ac:dyDescent="0.2">
      <c r="B51" s="1714" t="s">
        <v>2298</v>
      </c>
      <c r="E51" s="736"/>
      <c r="G51" s="383"/>
    </row>
    <row r="52" spans="2:7" hidden="1" x14ac:dyDescent="0.2">
      <c r="B52" s="1714" t="s">
        <v>2459</v>
      </c>
      <c r="E52" s="736"/>
      <c r="G52" s="383"/>
    </row>
    <row r="53" spans="2:7" hidden="1" x14ac:dyDescent="0.2">
      <c r="B53" s="1714" t="s">
        <v>2299</v>
      </c>
      <c r="E53" s="736"/>
      <c r="G53" s="383"/>
    </row>
    <row r="54" spans="2:7" hidden="1" x14ac:dyDescent="0.2">
      <c r="B54" s="1714" t="str">
        <f>'[25]Int Tment Res Emer Intake addon'!B45</f>
        <v>BTL expenses to PY +CAF</v>
      </c>
      <c r="E54" s="736"/>
      <c r="G54" s="383"/>
    </row>
    <row r="55" spans="2:7" hidden="1" x14ac:dyDescent="0.2">
      <c r="B55" s="724"/>
      <c r="E55" s="736"/>
      <c r="G55" s="383"/>
    </row>
    <row r="56" spans="2:7" hidden="1" x14ac:dyDescent="0.2">
      <c r="B56" s="724"/>
      <c r="E56" s="736"/>
      <c r="G56" s="383"/>
    </row>
    <row r="57" spans="2:7" ht="13.35" hidden="1" customHeight="1" thickBot="1" x14ac:dyDescent="0.25">
      <c r="B57" s="733"/>
      <c r="C57" s="1192"/>
      <c r="D57" s="1192"/>
      <c r="E57" s="1309"/>
      <c r="G57" s="383"/>
    </row>
    <row r="58" spans="2:7" ht="15" hidden="1" customHeight="1" x14ac:dyDescent="0.2">
      <c r="G58" s="383"/>
    </row>
    <row r="59" spans="2:7" hidden="1" x14ac:dyDescent="0.2">
      <c r="G59" s="383"/>
    </row>
    <row r="60" spans="2:7" hidden="1" x14ac:dyDescent="0.2">
      <c r="G60" s="383"/>
    </row>
    <row r="61" spans="2:7" hidden="1" x14ac:dyDescent="0.2">
      <c r="B61" s="383" t="s">
        <v>2516</v>
      </c>
      <c r="G61" s="383"/>
    </row>
    <row r="62" spans="2:7" ht="15.75" hidden="1" customHeight="1" thickBot="1" x14ac:dyDescent="0.25">
      <c r="B62" s="1950" t="s">
        <v>2502</v>
      </c>
      <c r="C62" s="1951"/>
      <c r="D62" s="1951"/>
      <c r="E62" s="1951"/>
      <c r="F62" s="1952"/>
      <c r="G62" s="383"/>
    </row>
    <row r="63" spans="2:7" ht="15.75" hidden="1" customHeight="1" x14ac:dyDescent="0.2">
      <c r="B63" s="1836"/>
      <c r="C63" s="384"/>
      <c r="D63" s="384" t="s">
        <v>2504</v>
      </c>
      <c r="E63" s="384" t="s">
        <v>2505</v>
      </c>
      <c r="F63" s="1352" t="s">
        <v>2506</v>
      </c>
      <c r="G63" s="383"/>
    </row>
    <row r="64" spans="2:7" ht="15.75" hidden="1" customHeight="1" thickBot="1" x14ac:dyDescent="0.25">
      <c r="B64" s="1836"/>
      <c r="C64" s="384"/>
      <c r="D64" s="1452" t="s">
        <v>2507</v>
      </c>
      <c r="E64" s="1452" t="s">
        <v>2508</v>
      </c>
      <c r="F64" s="1769" t="s">
        <v>2509</v>
      </c>
      <c r="G64" s="383"/>
    </row>
    <row r="65" spans="1:7" hidden="1" x14ac:dyDescent="0.2">
      <c r="A65" s="1200"/>
      <c r="B65" s="724" t="s">
        <v>17</v>
      </c>
      <c r="D65" s="1190">
        <v>0</v>
      </c>
      <c r="E65" s="1190">
        <v>0.5</v>
      </c>
      <c r="F65" s="1825">
        <f t="shared" ref="F65:F70" si="2">E65-D65</f>
        <v>0.5</v>
      </c>
    </row>
    <row r="66" spans="1:7" hidden="1" x14ac:dyDescent="0.2">
      <c r="B66" s="724" t="s">
        <v>2437</v>
      </c>
      <c r="D66" s="1190">
        <v>0.6</v>
      </c>
      <c r="E66" s="1190">
        <v>1</v>
      </c>
      <c r="F66" s="1825">
        <f t="shared" si="2"/>
        <v>0.4</v>
      </c>
    </row>
    <row r="67" spans="1:7" hidden="1" x14ac:dyDescent="0.2">
      <c r="A67" s="1179"/>
      <c r="B67" s="724" t="s">
        <v>2464</v>
      </c>
      <c r="D67" s="1190">
        <v>0.22</v>
      </c>
      <c r="E67" s="1190">
        <v>1</v>
      </c>
      <c r="F67" s="1825">
        <f t="shared" si="2"/>
        <v>0.78</v>
      </c>
    </row>
    <row r="68" spans="1:7" hidden="1" x14ac:dyDescent="0.2">
      <c r="A68" s="1180"/>
      <c r="B68" s="724" t="s">
        <v>666</v>
      </c>
      <c r="D68" s="1190">
        <v>0.67</v>
      </c>
      <c r="E68" s="1190">
        <v>1</v>
      </c>
      <c r="F68" s="1825">
        <f t="shared" si="2"/>
        <v>0.32999999999999996</v>
      </c>
    </row>
    <row r="69" spans="1:7" hidden="1" x14ac:dyDescent="0.2">
      <c r="B69" s="724" t="s">
        <v>2496</v>
      </c>
      <c r="D69" s="1190">
        <v>12.6</v>
      </c>
      <c r="E69" s="1190">
        <v>15.4</v>
      </c>
      <c r="F69" s="1825">
        <f t="shared" si="2"/>
        <v>2.8000000000000007</v>
      </c>
    </row>
    <row r="70" spans="1:7" ht="13.5" hidden="1" thickBot="1" x14ac:dyDescent="0.25">
      <c r="B70" s="724" t="s">
        <v>2449</v>
      </c>
      <c r="D70" s="1193">
        <v>1.89</v>
      </c>
      <c r="E70" s="1193">
        <v>2.31</v>
      </c>
      <c r="F70" s="1829">
        <f t="shared" si="2"/>
        <v>0.42000000000000015</v>
      </c>
    </row>
    <row r="71" spans="1:7" ht="13.5" hidden="1" thickBot="1" x14ac:dyDescent="0.25">
      <c r="B71" s="733"/>
      <c r="C71" s="1192" t="s">
        <v>2510</v>
      </c>
      <c r="D71" s="1192"/>
      <c r="E71" s="1192"/>
      <c r="F71" s="1829">
        <f>SUM(F65:F70)</f>
        <v>5.23</v>
      </c>
      <c r="G71" s="383"/>
    </row>
    <row r="72" spans="1:7" hidden="1" x14ac:dyDescent="0.2">
      <c r="G72" s="383"/>
    </row>
    <row r="73" spans="1:7" hidden="1" x14ac:dyDescent="0.2">
      <c r="G73" s="383"/>
    </row>
    <row r="74" spans="1:7" ht="13.5" hidden="1" thickBot="1" x14ac:dyDescent="0.25">
      <c r="B74" s="1950" t="s">
        <v>2517</v>
      </c>
      <c r="C74" s="1951"/>
      <c r="D74" s="1951"/>
      <c r="E74" s="1951"/>
      <c r="F74" s="1952"/>
      <c r="G74" s="383"/>
    </row>
    <row r="75" spans="1:7" hidden="1" x14ac:dyDescent="0.2">
      <c r="B75" s="1836"/>
      <c r="C75" s="384"/>
      <c r="D75" s="384" t="s">
        <v>2504</v>
      </c>
      <c r="E75" s="384" t="s">
        <v>2505</v>
      </c>
      <c r="F75" s="1352" t="s">
        <v>2506</v>
      </c>
      <c r="G75" s="383"/>
    </row>
    <row r="76" spans="1:7" ht="13.5" hidden="1" thickBot="1" x14ac:dyDescent="0.25">
      <c r="B76" s="1836"/>
      <c r="C76" s="384"/>
      <c r="D76" s="1452" t="s">
        <v>2507</v>
      </c>
      <c r="E76" s="1452" t="s">
        <v>2508</v>
      </c>
      <c r="F76" s="1769" t="s">
        <v>2509</v>
      </c>
      <c r="G76" s="383"/>
    </row>
    <row r="77" spans="1:7" hidden="1" x14ac:dyDescent="0.2">
      <c r="B77" s="724" t="s">
        <v>17</v>
      </c>
      <c r="D77" s="1190">
        <v>0</v>
      </c>
      <c r="E77" s="1190">
        <v>0.5</v>
      </c>
      <c r="F77" s="1825">
        <f>E77-D77</f>
        <v>0.5</v>
      </c>
      <c r="G77" s="1476"/>
    </row>
    <row r="78" spans="1:7" hidden="1" x14ac:dyDescent="0.2">
      <c r="B78" s="724" t="s">
        <v>2437</v>
      </c>
      <c r="D78" s="1190">
        <v>0.6</v>
      </c>
      <c r="E78" s="1190">
        <v>1</v>
      </c>
      <c r="F78" s="1825">
        <f t="shared" ref="F78:F82" si="3">E78-D78</f>
        <v>0.4</v>
      </c>
    </row>
    <row r="79" spans="1:7" hidden="1" x14ac:dyDescent="0.2">
      <c r="B79" s="724" t="s">
        <v>2464</v>
      </c>
      <c r="D79" s="1190">
        <v>0.22</v>
      </c>
      <c r="E79" s="1190">
        <v>1</v>
      </c>
      <c r="F79" s="1825">
        <f t="shared" si="3"/>
        <v>0.78</v>
      </c>
    </row>
    <row r="80" spans="1:7" hidden="1" x14ac:dyDescent="0.2">
      <c r="B80" s="724" t="s">
        <v>666</v>
      </c>
      <c r="D80" s="1190">
        <v>0.67</v>
      </c>
      <c r="E80" s="1190">
        <v>1</v>
      </c>
      <c r="F80" s="1825">
        <f t="shared" si="3"/>
        <v>0.32999999999999996</v>
      </c>
    </row>
    <row r="81" spans="1:6" hidden="1" x14ac:dyDescent="0.2">
      <c r="B81" s="724" t="s">
        <v>2496</v>
      </c>
      <c r="D81" s="1190">
        <v>12.6</v>
      </c>
      <c r="E81" s="1190">
        <v>15.4</v>
      </c>
      <c r="F81" s="1825">
        <f t="shared" si="3"/>
        <v>2.8000000000000007</v>
      </c>
    </row>
    <row r="82" spans="1:6" ht="13.5" hidden="1" thickBot="1" x14ac:dyDescent="0.25">
      <c r="B82" s="724" t="s">
        <v>2449</v>
      </c>
      <c r="D82" s="1193">
        <v>1.89</v>
      </c>
      <c r="E82" s="1193">
        <v>2.31</v>
      </c>
      <c r="F82" s="1829">
        <f t="shared" si="3"/>
        <v>0.42000000000000015</v>
      </c>
    </row>
    <row r="83" spans="1:6" ht="13.35" hidden="1" customHeight="1" thickBot="1" x14ac:dyDescent="0.25">
      <c r="B83" s="733"/>
      <c r="C83" s="1192" t="s">
        <v>2510</v>
      </c>
      <c r="D83" s="1192"/>
      <c r="E83" s="1192"/>
      <c r="F83" s="1829">
        <f>SUM(F77:F82)</f>
        <v>5.23</v>
      </c>
    </row>
    <row r="84" spans="1:6" ht="15" hidden="1" customHeight="1" x14ac:dyDescent="0.2"/>
    <row r="85" spans="1:6" hidden="1" x14ac:dyDescent="0.2"/>
    <row r="86" spans="1:6" hidden="1" x14ac:dyDescent="0.2"/>
    <row r="87" spans="1:6" hidden="1" x14ac:dyDescent="0.2"/>
    <row r="88" spans="1:6" hidden="1" x14ac:dyDescent="0.2"/>
    <row r="89" spans="1:6" ht="12.75" hidden="1" customHeight="1" x14ac:dyDescent="0.2"/>
    <row r="90" spans="1:6" hidden="1" x14ac:dyDescent="0.2">
      <c r="A90" s="1200"/>
    </row>
    <row r="91" spans="1:6" hidden="1" x14ac:dyDescent="0.2">
      <c r="A91" s="1451"/>
    </row>
    <row r="92" spans="1:6" hidden="1" x14ac:dyDescent="0.2">
      <c r="A92" s="1200"/>
    </row>
    <row r="93" spans="1:6" hidden="1" x14ac:dyDescent="0.2">
      <c r="A93" s="1200"/>
    </row>
    <row r="94" spans="1:6" hidden="1" x14ac:dyDescent="0.2">
      <c r="A94" s="1200"/>
    </row>
    <row r="95" spans="1:6" hidden="1" x14ac:dyDescent="0.2"/>
    <row r="96" spans="1:6" hidden="1" x14ac:dyDescent="0.2">
      <c r="A96" s="1471"/>
    </row>
    <row r="97" spans="1:1" hidden="1" x14ac:dyDescent="0.2">
      <c r="A97" s="1179"/>
    </row>
    <row r="98" spans="1:1" hidden="1" x14ac:dyDescent="0.2">
      <c r="A98" s="1180"/>
    </row>
    <row r="99" spans="1:1" hidden="1" x14ac:dyDescent="0.2"/>
    <row r="100" spans="1:1" hidden="1" x14ac:dyDescent="0.2"/>
    <row r="101" spans="1:1" hidden="1" x14ac:dyDescent="0.2"/>
    <row r="102" spans="1:1" hidden="1" x14ac:dyDescent="0.2"/>
    <row r="103" spans="1:1" hidden="1" x14ac:dyDescent="0.2"/>
    <row r="104" spans="1:1" hidden="1" x14ac:dyDescent="0.2"/>
    <row r="105" spans="1:1" hidden="1" x14ac:dyDescent="0.2"/>
    <row r="106" spans="1:1" hidden="1" x14ac:dyDescent="0.2"/>
    <row r="107" spans="1:1" hidden="1" x14ac:dyDescent="0.2"/>
    <row r="108" spans="1:1" hidden="1" x14ac:dyDescent="0.2"/>
    <row r="109" spans="1:1" hidden="1" x14ac:dyDescent="0.2"/>
    <row r="110" spans="1:1" hidden="1" x14ac:dyDescent="0.2"/>
    <row r="111" spans="1:1" hidden="1" x14ac:dyDescent="0.2"/>
    <row r="112" spans="1:1" hidden="1" x14ac:dyDescent="0.2"/>
    <row r="122" spans="1:1" x14ac:dyDescent="0.2">
      <c r="A122" s="1451"/>
    </row>
    <row r="123" spans="1:1" x14ac:dyDescent="0.2">
      <c r="A123" s="1200"/>
    </row>
    <row r="124" spans="1:1" x14ac:dyDescent="0.2">
      <c r="A124" s="1200"/>
    </row>
    <row r="125" spans="1:1" x14ac:dyDescent="0.2">
      <c r="A125" s="1200"/>
    </row>
  </sheetData>
  <mergeCells count="7">
    <mergeCell ref="B74:F74"/>
    <mergeCell ref="B1:E1"/>
    <mergeCell ref="B5:F5"/>
    <mergeCell ref="H5:L5"/>
    <mergeCell ref="B6:F7"/>
    <mergeCell ref="H6:L7"/>
    <mergeCell ref="B62:F62"/>
  </mergeCells>
  <pageMargins left="0.7" right="0.7" top="0.75" bottom="0.75" header="0.3" footer="0.3"/>
  <pageSetup scale="44" fitToHeight="0" orientation="landscape" r:id="rId1"/>
  <headerFooter>
    <oddFooter>&amp;R&amp;A
&amp;F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45"/>
  <sheetViews>
    <sheetView zoomScale="70" zoomScaleNormal="70" workbookViewId="0">
      <selection activeCell="C14" sqref="C14"/>
    </sheetView>
  </sheetViews>
  <sheetFormatPr defaultColWidth="8.85546875" defaultRowHeight="15" x14ac:dyDescent="0.25"/>
  <cols>
    <col min="1" max="1" width="5.5703125" style="465" customWidth="1"/>
    <col min="2" max="2" width="58" style="465" customWidth="1"/>
    <col min="3" max="3" width="24.28515625" style="465" customWidth="1"/>
    <col min="4" max="5" width="14.7109375" style="465" hidden="1" customWidth="1"/>
    <col min="6" max="6" width="61.42578125" style="465" customWidth="1"/>
    <col min="7" max="7" width="62.140625" style="468" customWidth="1"/>
    <col min="8" max="8" width="14.7109375" style="465" hidden="1" customWidth="1"/>
    <col min="9" max="9" width="0" style="465" hidden="1" customWidth="1"/>
    <col min="10" max="10" width="11" style="465" hidden="1" customWidth="1"/>
    <col min="11" max="11" width="0" style="465" hidden="1" customWidth="1"/>
    <col min="12" max="16384" width="8.85546875" style="465"/>
  </cols>
  <sheetData>
    <row r="1" spans="2:10" ht="21" x14ac:dyDescent="0.35">
      <c r="B1" s="465" t="s">
        <v>378</v>
      </c>
      <c r="C1" s="466" t="s">
        <v>379</v>
      </c>
      <c r="D1" s="466" t="s">
        <v>379</v>
      </c>
      <c r="E1" s="467"/>
    </row>
    <row r="2" spans="2:10" ht="21" x14ac:dyDescent="0.35">
      <c r="C2" s="469">
        <v>2020</v>
      </c>
      <c r="D2" s="470" t="s">
        <v>380</v>
      </c>
      <c r="E2" s="471"/>
    </row>
    <row r="3" spans="2:10" ht="21" x14ac:dyDescent="0.35">
      <c r="B3" s="472"/>
      <c r="C3" s="470" t="s">
        <v>381</v>
      </c>
      <c r="D3" s="470" t="s">
        <v>381</v>
      </c>
      <c r="E3" s="470"/>
      <c r="F3" s="473"/>
      <c r="G3" s="474"/>
    </row>
    <row r="4" spans="2:10" ht="42.75" thickBot="1" x14ac:dyDescent="0.4">
      <c r="B4" s="475" t="s">
        <v>182</v>
      </c>
      <c r="C4" s="476" t="s">
        <v>382</v>
      </c>
      <c r="D4" s="477" t="s">
        <v>180</v>
      </c>
      <c r="E4" s="477" t="s">
        <v>383</v>
      </c>
      <c r="F4" s="475" t="s">
        <v>384</v>
      </c>
      <c r="G4" s="478" t="s">
        <v>385</v>
      </c>
      <c r="H4" s="471" t="s">
        <v>186</v>
      </c>
      <c r="J4" s="465" t="s">
        <v>187</v>
      </c>
    </row>
    <row r="5" spans="2:10" ht="21" x14ac:dyDescent="0.35">
      <c r="B5" s="479" t="s">
        <v>386</v>
      </c>
      <c r="C5" s="480">
        <f>'[26]DC  CNA  DC III'!G7</f>
        <v>16.791999999999998</v>
      </c>
      <c r="D5" s="480">
        <v>15.48</v>
      </c>
      <c r="E5" s="481"/>
      <c r="F5" s="1961" t="s">
        <v>387</v>
      </c>
      <c r="G5" s="1955" t="s">
        <v>190</v>
      </c>
      <c r="H5" s="482">
        <f>H6/2080</f>
        <v>15.480288461538462</v>
      </c>
      <c r="J5" s="483">
        <f>C5-H5</f>
        <v>1.3117115384615357</v>
      </c>
    </row>
    <row r="6" spans="2:10" ht="21.75" thickBot="1" x14ac:dyDescent="0.4">
      <c r="B6" s="484" t="s">
        <v>388</v>
      </c>
      <c r="C6" s="485">
        <f>C5*2080</f>
        <v>34927.359999999993</v>
      </c>
      <c r="D6" s="485">
        <f>D5*2080</f>
        <v>32198.400000000001</v>
      </c>
      <c r="E6" s="486">
        <f>(C6-D6)/D6</f>
        <v>8.4754521963824034E-2</v>
      </c>
      <c r="F6" s="1962"/>
      <c r="G6" s="1956"/>
      <c r="H6" s="487">
        <v>32199</v>
      </c>
      <c r="J6" s="483"/>
    </row>
    <row r="7" spans="2:10" ht="21" x14ac:dyDescent="0.35">
      <c r="B7" s="479" t="s">
        <v>192</v>
      </c>
      <c r="C7" s="480">
        <f>'[26]DC  CNA  DC III'!G20</f>
        <v>21.736000000000001</v>
      </c>
      <c r="D7" s="480">
        <v>19.96</v>
      </c>
      <c r="E7" s="481"/>
      <c r="F7" s="488" t="s">
        <v>193</v>
      </c>
      <c r="G7" s="1955" t="s">
        <v>194</v>
      </c>
      <c r="H7" s="482">
        <f>H8/2080</f>
        <v>18.400480769230768</v>
      </c>
      <c r="J7" s="483">
        <f>C7-H7</f>
        <v>3.3355192307692327</v>
      </c>
    </row>
    <row r="8" spans="2:10" ht="21.75" thickBot="1" x14ac:dyDescent="0.4">
      <c r="B8" s="489" t="s">
        <v>195</v>
      </c>
      <c r="C8" s="490">
        <f>C7*2080</f>
        <v>45210.880000000005</v>
      </c>
      <c r="D8" s="490">
        <f>D7*2080</f>
        <v>41516.800000000003</v>
      </c>
      <c r="E8" s="491">
        <f>(C8-D8)/D8</f>
        <v>8.8977955911823683E-2</v>
      </c>
      <c r="F8" s="473" t="s">
        <v>389</v>
      </c>
      <c r="G8" s="1963"/>
      <c r="H8" s="487">
        <v>38273</v>
      </c>
      <c r="J8" s="483"/>
    </row>
    <row r="9" spans="2:10" ht="21" x14ac:dyDescent="0.35">
      <c r="B9" s="479" t="s">
        <v>196</v>
      </c>
      <c r="C9" s="480">
        <f>'[26]DC  CNA  DC III'!G11</f>
        <v>17.260000000000002</v>
      </c>
      <c r="D9" s="480">
        <v>15.53</v>
      </c>
      <c r="E9" s="481"/>
      <c r="F9" s="488"/>
      <c r="G9" s="1955" t="s">
        <v>197</v>
      </c>
      <c r="H9" s="482">
        <f>H10/2080</f>
        <v>20.43028846153846</v>
      </c>
      <c r="J9" s="492">
        <f>C9-H9</f>
        <v>-3.1702884615384583</v>
      </c>
    </row>
    <row r="10" spans="2:10" ht="21.75" thickBot="1" x14ac:dyDescent="0.4">
      <c r="B10" s="484" t="s">
        <v>198</v>
      </c>
      <c r="C10" s="485">
        <f>C9*2080</f>
        <v>35900.800000000003</v>
      </c>
      <c r="D10" s="485">
        <f>D9*2080</f>
        <v>32302.399999999998</v>
      </c>
      <c r="E10" s="486">
        <f>(C10-D10)/D10</f>
        <v>0.11139729555698664</v>
      </c>
      <c r="F10" s="493"/>
      <c r="G10" s="1956"/>
      <c r="H10" s="487">
        <v>42495</v>
      </c>
      <c r="J10" s="483"/>
    </row>
    <row r="11" spans="2:10" ht="21" x14ac:dyDescent="0.35">
      <c r="B11" s="479" t="s">
        <v>199</v>
      </c>
      <c r="C11" s="480">
        <f>'[26]Case Social Worker.Manager'!G4</f>
        <v>21.814999999999998</v>
      </c>
      <c r="D11" s="480">
        <v>21.14</v>
      </c>
      <c r="E11" s="481"/>
      <c r="F11" s="488" t="s">
        <v>200</v>
      </c>
      <c r="G11" s="1955" t="s">
        <v>201</v>
      </c>
      <c r="H11" s="1959" t="s">
        <v>202</v>
      </c>
      <c r="J11" s="483"/>
    </row>
    <row r="12" spans="2:10" ht="21.75" thickBot="1" x14ac:dyDescent="0.4">
      <c r="B12" s="489" t="s">
        <v>203</v>
      </c>
      <c r="C12" s="490">
        <f>C11*2080</f>
        <v>45375.199999999997</v>
      </c>
      <c r="D12" s="490">
        <f>D11*2080</f>
        <v>43971.200000000004</v>
      </c>
      <c r="E12" s="491">
        <f>(C12-D12)/D12</f>
        <v>3.192999053926189E-2</v>
      </c>
      <c r="F12" s="473" t="s">
        <v>390</v>
      </c>
      <c r="G12" s="1963"/>
      <c r="H12" s="1960"/>
      <c r="J12" s="483"/>
    </row>
    <row r="13" spans="2:10" ht="42" x14ac:dyDescent="0.35">
      <c r="B13" s="494" t="s">
        <v>204</v>
      </c>
      <c r="C13" s="480">
        <f>'[26]Case Social Worker.Manager'!G10</f>
        <v>26.16</v>
      </c>
      <c r="D13" s="480">
        <v>25.32</v>
      </c>
      <c r="E13" s="481"/>
      <c r="F13" s="488" t="s">
        <v>391</v>
      </c>
      <c r="G13" s="1955" t="s">
        <v>206</v>
      </c>
      <c r="H13" s="482">
        <f>H14/2080</f>
        <v>19.703365384615385</v>
      </c>
      <c r="J13" s="483">
        <f>C13-H13</f>
        <v>6.4566346153846155</v>
      </c>
    </row>
    <row r="14" spans="2:10" ht="42.75" thickBot="1" x14ac:dyDescent="0.4">
      <c r="B14" s="495" t="s">
        <v>207</v>
      </c>
      <c r="C14" s="485">
        <f>C13*2080</f>
        <v>54412.800000000003</v>
      </c>
      <c r="D14" s="485">
        <f>D13*2080</f>
        <v>52665.599999999999</v>
      </c>
      <c r="E14" s="486">
        <f>(C14-D14)/D14</f>
        <v>3.3175355450237053E-2</v>
      </c>
      <c r="F14" s="493" t="s">
        <v>208</v>
      </c>
      <c r="G14" s="1956"/>
      <c r="H14" s="487">
        <v>40983</v>
      </c>
      <c r="J14" s="483"/>
    </row>
    <row r="15" spans="2:10" ht="21" x14ac:dyDescent="0.35">
      <c r="B15" s="479" t="s">
        <v>217</v>
      </c>
      <c r="C15" s="480">
        <f>[26]Nursing!G2</f>
        <v>28.8</v>
      </c>
      <c r="D15" s="480">
        <v>27.62</v>
      </c>
      <c r="E15" s="481"/>
      <c r="F15" s="488"/>
      <c r="G15" s="1955" t="s">
        <v>218</v>
      </c>
      <c r="H15" s="496"/>
      <c r="J15" s="483"/>
    </row>
    <row r="16" spans="2:10" ht="21.75" thickBot="1" x14ac:dyDescent="0.4">
      <c r="B16" s="484" t="s">
        <v>219</v>
      </c>
      <c r="C16" s="485">
        <f>C15*2080</f>
        <v>59904</v>
      </c>
      <c r="D16" s="485">
        <f>D15*2080</f>
        <v>57449.599999999999</v>
      </c>
      <c r="E16" s="486">
        <f>(C16-D16)/D16</f>
        <v>4.2722664735698794E-2</v>
      </c>
      <c r="F16" s="493"/>
      <c r="G16" s="1956"/>
      <c r="H16" s="496"/>
      <c r="J16" s="483"/>
    </row>
    <row r="17" spans="2:10" ht="21" x14ac:dyDescent="0.35">
      <c r="B17" s="479" t="s">
        <v>209</v>
      </c>
      <c r="C17" s="480">
        <f>[26]Clinical!G5</f>
        <v>30.59</v>
      </c>
      <c r="D17" s="480">
        <v>29.29</v>
      </c>
      <c r="E17" s="481"/>
      <c r="F17" s="488" t="s">
        <v>210</v>
      </c>
      <c r="G17" s="1955" t="s">
        <v>211</v>
      </c>
      <c r="H17" s="482">
        <f>H18/2080</f>
        <v>27.190865384615385</v>
      </c>
      <c r="J17" s="483">
        <f>C17-H17</f>
        <v>3.3991346153846145</v>
      </c>
    </row>
    <row r="18" spans="2:10" ht="21.75" thickBot="1" x14ac:dyDescent="0.4">
      <c r="B18" s="484" t="s">
        <v>212</v>
      </c>
      <c r="C18" s="485">
        <f>C17*2080</f>
        <v>63627.199999999997</v>
      </c>
      <c r="D18" s="485">
        <f>D17*2080</f>
        <v>60923.199999999997</v>
      </c>
      <c r="E18" s="486">
        <f>(C18-D18)/D18</f>
        <v>4.4383748719699558E-2</v>
      </c>
      <c r="F18" s="493"/>
      <c r="G18" s="1956"/>
      <c r="H18" s="487">
        <v>56557</v>
      </c>
      <c r="J18" s="483"/>
    </row>
    <row r="19" spans="2:10" ht="21" x14ac:dyDescent="0.35">
      <c r="B19" s="479" t="s">
        <v>392</v>
      </c>
      <c r="C19" s="497">
        <f>[26]Therapies!E2</f>
        <v>31.99</v>
      </c>
      <c r="D19" s="498"/>
      <c r="E19" s="499"/>
      <c r="F19" s="488"/>
      <c r="G19" s="1955" t="s">
        <v>393</v>
      </c>
      <c r="H19" s="496"/>
      <c r="J19" s="483"/>
    </row>
    <row r="20" spans="2:10" ht="21.75" thickBot="1" x14ac:dyDescent="0.4">
      <c r="B20" s="484" t="s">
        <v>394</v>
      </c>
      <c r="C20" s="485">
        <f>C19*2080</f>
        <v>66539.199999999997</v>
      </c>
      <c r="D20" s="485"/>
      <c r="E20" s="500"/>
      <c r="F20" s="493"/>
      <c r="G20" s="1956"/>
      <c r="H20" s="496"/>
      <c r="J20" s="483"/>
    </row>
    <row r="21" spans="2:10" ht="21" x14ac:dyDescent="0.35">
      <c r="B21" s="489" t="s">
        <v>395</v>
      </c>
      <c r="C21" s="501">
        <f>[26]Management!G2</f>
        <v>33.46153846153846</v>
      </c>
      <c r="D21" s="490" t="s">
        <v>202</v>
      </c>
      <c r="E21" s="502"/>
      <c r="F21" s="473" t="s">
        <v>396</v>
      </c>
      <c r="G21" s="1955" t="s">
        <v>397</v>
      </c>
      <c r="H21" s="496"/>
      <c r="J21" s="483"/>
    </row>
    <row r="22" spans="2:10" ht="21.75" thickBot="1" x14ac:dyDescent="0.4">
      <c r="B22" s="484" t="s">
        <v>398</v>
      </c>
      <c r="C22" s="485">
        <f>[26]Management!H2</f>
        <v>69600</v>
      </c>
      <c r="D22" s="485" t="s">
        <v>202</v>
      </c>
      <c r="E22" s="503"/>
      <c r="F22" s="493" t="s">
        <v>399</v>
      </c>
      <c r="G22" s="1956"/>
      <c r="H22" s="496"/>
      <c r="J22" s="483"/>
    </row>
    <row r="23" spans="2:10" ht="21" x14ac:dyDescent="0.35">
      <c r="B23" s="489" t="s">
        <v>400</v>
      </c>
      <c r="C23" s="501">
        <f>[26]Therapies!E8</f>
        <v>34.022499999999994</v>
      </c>
      <c r="D23" s="490"/>
      <c r="E23" s="504"/>
      <c r="F23" s="473" t="s">
        <v>401</v>
      </c>
      <c r="G23" s="1955" t="s">
        <v>206</v>
      </c>
      <c r="H23" s="496"/>
      <c r="J23" s="483"/>
    </row>
    <row r="24" spans="2:10" ht="21.75" thickBot="1" x14ac:dyDescent="0.4">
      <c r="B24" s="484" t="s">
        <v>402</v>
      </c>
      <c r="C24" s="485">
        <f>C23*2080</f>
        <v>70766.799999999988</v>
      </c>
      <c r="D24" s="485"/>
      <c r="E24" s="500"/>
      <c r="F24" s="493"/>
      <c r="G24" s="1956"/>
      <c r="H24" s="496"/>
      <c r="J24" s="483"/>
    </row>
    <row r="25" spans="2:10" ht="21" x14ac:dyDescent="0.35">
      <c r="B25" s="489" t="s">
        <v>403</v>
      </c>
      <c r="C25" s="501">
        <f>[26]Therapies!E14</f>
        <v>36.380000000000003</v>
      </c>
      <c r="D25" s="490"/>
      <c r="E25" s="504"/>
      <c r="F25" s="473" t="s">
        <v>404</v>
      </c>
      <c r="G25" s="1955" t="s">
        <v>206</v>
      </c>
      <c r="H25" s="496"/>
      <c r="J25" s="483"/>
    </row>
    <row r="26" spans="2:10" ht="21.75" thickBot="1" x14ac:dyDescent="0.4">
      <c r="B26" s="484" t="s">
        <v>405</v>
      </c>
      <c r="C26" s="490">
        <f>C25*2080</f>
        <v>75670.400000000009</v>
      </c>
      <c r="D26" s="490"/>
      <c r="E26" s="504"/>
      <c r="F26" s="473"/>
      <c r="G26" s="1956"/>
      <c r="H26" s="496"/>
      <c r="J26" s="483"/>
    </row>
    <row r="27" spans="2:10" ht="21" x14ac:dyDescent="0.35">
      <c r="B27" s="479" t="s">
        <v>406</v>
      </c>
      <c r="C27" s="480">
        <f>[26]Clinical!G9</f>
        <v>40.57</v>
      </c>
      <c r="D27" s="480">
        <v>40.06</v>
      </c>
      <c r="E27" s="481"/>
      <c r="F27" s="1957" t="s">
        <v>407</v>
      </c>
      <c r="G27" s="1955" t="s">
        <v>215</v>
      </c>
      <c r="H27" s="482">
        <f>H28/2080</f>
        <v>33.217788461538461</v>
      </c>
      <c r="J27" s="483">
        <f>C27-H27</f>
        <v>7.352211538461539</v>
      </c>
    </row>
    <row r="28" spans="2:10" ht="21.75" thickBot="1" x14ac:dyDescent="0.4">
      <c r="B28" s="484" t="s">
        <v>408</v>
      </c>
      <c r="C28" s="485">
        <f>C27*2080</f>
        <v>84385.600000000006</v>
      </c>
      <c r="D28" s="485">
        <f>D27*2080</f>
        <v>83324.800000000003</v>
      </c>
      <c r="E28" s="486">
        <f>(C28-D28)/D28</f>
        <v>1.2730903644533234E-2</v>
      </c>
      <c r="F28" s="1958"/>
      <c r="G28" s="1956"/>
      <c r="H28" s="487">
        <v>69093</v>
      </c>
      <c r="J28" s="483"/>
    </row>
    <row r="29" spans="2:10" ht="21" x14ac:dyDescent="0.35">
      <c r="B29" s="479" t="s">
        <v>409</v>
      </c>
      <c r="C29" s="480">
        <f>[26]Therapies!E18</f>
        <v>37.751999999999995</v>
      </c>
      <c r="D29" s="480"/>
      <c r="E29" s="481"/>
      <c r="F29" s="488"/>
      <c r="G29" s="1955" t="s">
        <v>206</v>
      </c>
      <c r="H29" s="482">
        <f>H30/2080</f>
        <v>25.143750000000001</v>
      </c>
      <c r="J29" s="483">
        <f>C29-H29</f>
        <v>12.608249999999995</v>
      </c>
    </row>
    <row r="30" spans="2:10" ht="21.75" thickBot="1" x14ac:dyDescent="0.4">
      <c r="B30" s="484" t="s">
        <v>410</v>
      </c>
      <c r="C30" s="485">
        <f>C29*2080</f>
        <v>78524.159999999989</v>
      </c>
      <c r="D30" s="485"/>
      <c r="E30" s="486"/>
      <c r="F30" s="493"/>
      <c r="G30" s="1956"/>
      <c r="H30" s="487">
        <v>52299</v>
      </c>
      <c r="J30" s="483"/>
    </row>
    <row r="31" spans="2:10" ht="21" x14ac:dyDescent="0.35">
      <c r="B31" s="479" t="s">
        <v>220</v>
      </c>
      <c r="C31" s="480">
        <f>[26]Nursing!G6</f>
        <v>43.41</v>
      </c>
      <c r="D31" s="480">
        <v>41.76</v>
      </c>
      <c r="E31" s="481"/>
      <c r="F31" s="488"/>
      <c r="G31" s="1955" t="s">
        <v>221</v>
      </c>
      <c r="H31" s="505">
        <f>H32/2080</f>
        <v>33.460576923076921</v>
      </c>
      <c r="J31" s="483">
        <f>C31-H31</f>
        <v>9.9494230769230754</v>
      </c>
    </row>
    <row r="32" spans="2:10" ht="21.75" thickBot="1" x14ac:dyDescent="0.4">
      <c r="B32" s="484" t="s">
        <v>222</v>
      </c>
      <c r="C32" s="485">
        <f>C31*2080</f>
        <v>90292.799999999988</v>
      </c>
      <c r="D32" s="485">
        <f>D31*2080</f>
        <v>86860.800000000003</v>
      </c>
      <c r="E32" s="486">
        <f>(C32-D32)/D32</f>
        <v>3.9511494252873397E-2</v>
      </c>
      <c r="F32" s="493"/>
      <c r="G32" s="1956"/>
      <c r="H32" s="487">
        <v>69598</v>
      </c>
      <c r="J32" s="483"/>
    </row>
    <row r="33" spans="2:10" ht="21" x14ac:dyDescent="0.35">
      <c r="B33" s="479" t="s">
        <v>223</v>
      </c>
      <c r="C33" s="480">
        <f>[26]Nursing!G11</f>
        <v>59.6</v>
      </c>
      <c r="D33" s="480">
        <v>57.41</v>
      </c>
      <c r="E33" s="481"/>
      <c r="F33" s="488"/>
      <c r="G33" s="1955" t="s">
        <v>224</v>
      </c>
      <c r="H33" s="482">
        <f>H34/2080</f>
        <v>48.354326923076925</v>
      </c>
      <c r="J33" s="483">
        <f>C33-H33</f>
        <v>11.245673076923076</v>
      </c>
    </row>
    <row r="34" spans="2:10" ht="21.75" thickBot="1" x14ac:dyDescent="0.4">
      <c r="B34" s="484" t="s">
        <v>225</v>
      </c>
      <c r="C34" s="485">
        <f>C33*2080</f>
        <v>123968</v>
      </c>
      <c r="D34" s="485">
        <f>D33*2080</f>
        <v>119412.79999999999</v>
      </c>
      <c r="E34" s="486">
        <f>(C34-D34)/D34</f>
        <v>3.8146664344191006E-2</v>
      </c>
      <c r="F34" s="493"/>
      <c r="G34" s="1956"/>
      <c r="H34" s="487">
        <v>100577</v>
      </c>
      <c r="J34" s="483"/>
    </row>
    <row r="35" spans="2:10" ht="21" x14ac:dyDescent="0.35">
      <c r="B35" s="473"/>
      <c r="C35" s="473"/>
      <c r="D35" s="473"/>
      <c r="E35" s="473"/>
      <c r="F35" s="473"/>
      <c r="G35" s="474"/>
    </row>
    <row r="36" spans="2:10" ht="37.5" x14ac:dyDescent="0.3">
      <c r="B36" s="506" t="s">
        <v>411</v>
      </c>
      <c r="C36" s="507">
        <f>C6</f>
        <v>34927.359999999993</v>
      </c>
      <c r="D36" s="508"/>
      <c r="E36" s="508"/>
      <c r="F36" s="508"/>
      <c r="G36" s="509"/>
    </row>
    <row r="37" spans="2:10" ht="18.75" x14ac:dyDescent="0.3">
      <c r="B37" s="510" t="s">
        <v>412</v>
      </c>
      <c r="C37" s="507">
        <v>42286</v>
      </c>
      <c r="D37" s="508"/>
      <c r="E37" s="508"/>
      <c r="F37" s="508" t="s">
        <v>413</v>
      </c>
      <c r="G37" s="509"/>
    </row>
    <row r="38" spans="2:10" ht="18.75" x14ac:dyDescent="0.3">
      <c r="B38" s="510" t="s">
        <v>414</v>
      </c>
      <c r="C38" s="507">
        <v>82514</v>
      </c>
      <c r="D38" s="508"/>
      <c r="E38" s="508"/>
      <c r="F38" s="508" t="s">
        <v>413</v>
      </c>
      <c r="G38" s="509"/>
    </row>
    <row r="39" spans="2:10" ht="37.5" x14ac:dyDescent="0.3">
      <c r="B39" s="506" t="s">
        <v>415</v>
      </c>
      <c r="C39" s="511">
        <f>AVERAGE(14.25,15)</f>
        <v>14.625</v>
      </c>
      <c r="D39" s="508"/>
      <c r="E39" s="508"/>
      <c r="F39" s="508" t="s">
        <v>416</v>
      </c>
      <c r="G39" s="509"/>
    </row>
    <row r="40" spans="2:10" ht="18.75" x14ac:dyDescent="0.3">
      <c r="B40" s="508"/>
      <c r="C40" s="508"/>
      <c r="D40" s="508"/>
      <c r="E40" s="508"/>
      <c r="F40" s="508"/>
      <c r="G40" s="509"/>
    </row>
    <row r="41" spans="2:10" ht="18.75" x14ac:dyDescent="0.3">
      <c r="B41" s="510" t="s">
        <v>228</v>
      </c>
      <c r="C41" s="512">
        <v>0.224</v>
      </c>
      <c r="D41" s="508"/>
      <c r="E41" s="508"/>
      <c r="F41" s="508" t="s">
        <v>417</v>
      </c>
      <c r="G41" s="509"/>
    </row>
    <row r="42" spans="2:10" ht="75" x14ac:dyDescent="0.3">
      <c r="B42" s="510"/>
      <c r="C42" s="508"/>
      <c r="D42" s="508"/>
      <c r="E42" s="508"/>
      <c r="F42" s="509" t="s">
        <v>418</v>
      </c>
      <c r="G42" s="509"/>
    </row>
    <row r="43" spans="2:10" ht="18.75" x14ac:dyDescent="0.3">
      <c r="B43" s="510" t="s">
        <v>48</v>
      </c>
      <c r="C43" s="512">
        <v>3.7000000000000002E-3</v>
      </c>
      <c r="D43" s="508"/>
      <c r="E43" s="508"/>
      <c r="F43" s="508"/>
      <c r="G43" s="509"/>
    </row>
    <row r="44" spans="2:10" ht="18.75" x14ac:dyDescent="0.3">
      <c r="B44" s="508"/>
      <c r="C44" s="508"/>
      <c r="D44" s="508"/>
      <c r="E44" s="508"/>
      <c r="F44" s="508"/>
      <c r="G44" s="509"/>
    </row>
    <row r="45" spans="2:10" ht="18.75" x14ac:dyDescent="0.3">
      <c r="B45" s="510" t="s">
        <v>233</v>
      </c>
      <c r="C45" s="513">
        <v>0.12</v>
      </c>
      <c r="D45" s="508"/>
      <c r="E45" s="508"/>
      <c r="F45" s="508" t="s">
        <v>234</v>
      </c>
      <c r="G45" s="509"/>
    </row>
  </sheetData>
  <mergeCells count="18">
    <mergeCell ref="F5:F6"/>
    <mergeCell ref="G5:G6"/>
    <mergeCell ref="G7:G8"/>
    <mergeCell ref="G9:G10"/>
    <mergeCell ref="G11:G12"/>
    <mergeCell ref="F27:F28"/>
    <mergeCell ref="G27:G28"/>
    <mergeCell ref="H11:H12"/>
    <mergeCell ref="G13:G14"/>
    <mergeCell ref="G15:G16"/>
    <mergeCell ref="G17:G18"/>
    <mergeCell ref="G19:G20"/>
    <mergeCell ref="G29:G30"/>
    <mergeCell ref="G31:G32"/>
    <mergeCell ref="G33:G34"/>
    <mergeCell ref="G21:G22"/>
    <mergeCell ref="G23:G24"/>
    <mergeCell ref="G25:G26"/>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F2A79-86C6-44F0-9476-AE4EC2ED6292}">
  <dimension ref="A1:G144"/>
  <sheetViews>
    <sheetView topLeftCell="A131" workbookViewId="0">
      <selection activeCell="G125" sqref="G125"/>
    </sheetView>
  </sheetViews>
  <sheetFormatPr defaultRowHeight="15" x14ac:dyDescent="0.25"/>
  <cols>
    <col min="1" max="1" width="52.28515625" customWidth="1"/>
    <col min="2" max="2" width="38.5703125" customWidth="1"/>
    <col min="3" max="3" width="35.42578125" customWidth="1"/>
    <col min="4" max="4" width="20" customWidth="1"/>
    <col min="5" max="5" width="22.42578125" customWidth="1"/>
    <col min="7" max="7" width="29.42578125" customWidth="1"/>
  </cols>
  <sheetData>
    <row r="1" spans="1:7" ht="16.5" thickBot="1" x14ac:dyDescent="0.3">
      <c r="A1" s="659"/>
      <c r="B1" s="1967" t="s">
        <v>478</v>
      </c>
      <c r="C1" s="1967"/>
      <c r="D1" s="661" t="s">
        <v>32</v>
      </c>
      <c r="E1" s="1967" t="s">
        <v>479</v>
      </c>
      <c r="F1" s="1967"/>
      <c r="G1" s="1967"/>
    </row>
    <row r="2" spans="1:7" ht="16.5" customHeight="1" thickBot="1" x14ac:dyDescent="0.3">
      <c r="A2" s="659"/>
      <c r="B2" s="1972" t="s">
        <v>480</v>
      </c>
      <c r="C2" s="1974"/>
      <c r="D2" s="663">
        <v>300.01</v>
      </c>
      <c r="E2" s="1972" t="s">
        <v>481</v>
      </c>
      <c r="F2" s="1973"/>
      <c r="G2" s="1974"/>
    </row>
    <row r="3" spans="1:7" ht="16.5" customHeight="1" thickBot="1" x14ac:dyDescent="0.3">
      <c r="A3" s="659"/>
      <c r="B3" s="1972" t="s">
        <v>482</v>
      </c>
      <c r="C3" s="1974"/>
      <c r="D3" s="663">
        <v>404.74</v>
      </c>
      <c r="E3" s="1972" t="s">
        <v>483</v>
      </c>
      <c r="F3" s="1973"/>
      <c r="G3" s="1974"/>
    </row>
    <row r="4" spans="1:7" x14ac:dyDescent="0.25">
      <c r="A4" s="1968"/>
      <c r="B4" s="1968"/>
      <c r="C4" s="1968"/>
      <c r="D4" s="1968"/>
      <c r="E4" s="1968"/>
      <c r="F4" s="1968"/>
      <c r="G4" s="1970"/>
    </row>
    <row r="5" spans="1:7" x14ac:dyDescent="0.25">
      <c r="A5" s="1968"/>
      <c r="B5" s="1968"/>
      <c r="C5" s="1968"/>
      <c r="D5" s="1968"/>
      <c r="E5" s="1968"/>
      <c r="F5" s="1968"/>
      <c r="G5" s="1971"/>
    </row>
    <row r="6" spans="1:7" ht="15.75" thickBot="1" x14ac:dyDescent="0.3">
      <c r="A6" s="1969" t="s">
        <v>484</v>
      </c>
      <c r="B6" s="1969"/>
      <c r="C6" s="1969"/>
      <c r="D6" s="1969"/>
      <c r="E6" s="1969"/>
      <c r="F6" s="1969"/>
      <c r="G6" s="1971"/>
    </row>
    <row r="7" spans="1:7" ht="30.75" thickBot="1" x14ac:dyDescent="0.3">
      <c r="A7" s="1975" t="s">
        <v>485</v>
      </c>
      <c r="B7" s="1976"/>
      <c r="C7" s="1975" t="s">
        <v>2</v>
      </c>
      <c r="D7" s="1977"/>
      <c r="E7" s="1976"/>
      <c r="F7" s="664" t="s">
        <v>486</v>
      </c>
      <c r="G7" s="659"/>
    </row>
    <row r="8" spans="1:7" ht="16.5" thickBot="1" x14ac:dyDescent="0.3">
      <c r="A8" s="1981" t="s">
        <v>487</v>
      </c>
      <c r="B8" s="1982"/>
      <c r="C8" s="1987" t="s">
        <v>488</v>
      </c>
      <c r="D8" s="1988"/>
      <c r="E8" s="1989"/>
      <c r="F8" s="665">
        <v>66404</v>
      </c>
      <c r="G8" s="659"/>
    </row>
    <row r="9" spans="1:7" ht="16.5" thickBot="1" x14ac:dyDescent="0.3">
      <c r="A9" s="1983"/>
      <c r="B9" s="1984"/>
      <c r="C9" s="1987" t="s">
        <v>489</v>
      </c>
      <c r="D9" s="1988"/>
      <c r="E9" s="1989"/>
      <c r="F9" s="665">
        <v>87476</v>
      </c>
      <c r="G9" s="659"/>
    </row>
    <row r="10" spans="1:7" ht="16.5" thickBot="1" x14ac:dyDescent="0.3">
      <c r="A10" s="1983"/>
      <c r="B10" s="1984"/>
      <c r="C10" s="1987" t="s">
        <v>490</v>
      </c>
      <c r="D10" s="1988"/>
      <c r="E10" s="1989"/>
      <c r="F10" s="665">
        <v>116238</v>
      </c>
      <c r="G10" s="659"/>
    </row>
    <row r="11" spans="1:7" ht="16.5" thickBot="1" x14ac:dyDescent="0.3">
      <c r="A11" s="1985"/>
      <c r="B11" s="1986"/>
      <c r="C11" s="1987" t="s">
        <v>491</v>
      </c>
      <c r="D11" s="1988"/>
      <c r="E11" s="1989"/>
      <c r="F11" s="665">
        <v>139510</v>
      </c>
      <c r="G11" s="659"/>
    </row>
    <row r="12" spans="1:7" ht="16.5" thickBot="1" x14ac:dyDescent="0.3">
      <c r="A12" s="1981" t="s">
        <v>492</v>
      </c>
      <c r="B12" s="1982"/>
      <c r="C12" s="1987" t="s">
        <v>493</v>
      </c>
      <c r="D12" s="1988"/>
      <c r="E12" s="1989"/>
      <c r="F12" s="665">
        <v>6358</v>
      </c>
      <c r="G12" s="659"/>
    </row>
    <row r="13" spans="1:7" ht="16.5" thickBot="1" x14ac:dyDescent="0.3">
      <c r="A13" s="1983"/>
      <c r="B13" s="1984"/>
      <c r="C13" s="1987" t="s">
        <v>494</v>
      </c>
      <c r="D13" s="1988"/>
      <c r="E13" s="1989"/>
      <c r="F13" s="665">
        <v>6420</v>
      </c>
      <c r="G13" s="659"/>
    </row>
    <row r="14" spans="1:7" ht="16.5" thickBot="1" x14ac:dyDescent="0.3">
      <c r="A14" s="1985"/>
      <c r="B14" s="1986"/>
      <c r="C14" s="1987" t="s">
        <v>495</v>
      </c>
      <c r="D14" s="1988"/>
      <c r="E14" s="1989"/>
      <c r="F14" s="665">
        <v>3024</v>
      </c>
      <c r="G14" s="659"/>
    </row>
    <row r="15" spans="1:7" x14ac:dyDescent="0.25">
      <c r="A15" s="662"/>
      <c r="B15" s="662"/>
      <c r="C15" s="662"/>
      <c r="D15" s="662"/>
      <c r="E15" s="662"/>
      <c r="F15" s="662"/>
      <c r="G15" s="662"/>
    </row>
    <row r="16" spans="1:7" x14ac:dyDescent="0.25">
      <c r="A16" s="667"/>
    </row>
    <row r="17" spans="1:3" ht="15.75" thickBot="1" x14ac:dyDescent="0.3">
      <c r="A17" s="1969" t="s">
        <v>484</v>
      </c>
      <c r="B17" s="1969"/>
      <c r="C17" s="1969"/>
    </row>
    <row r="18" spans="1:3" ht="15.75" thickBot="1" x14ac:dyDescent="0.3">
      <c r="A18" s="668" t="s">
        <v>485</v>
      </c>
      <c r="B18" s="664" t="s">
        <v>2</v>
      </c>
      <c r="C18" s="664" t="s">
        <v>496</v>
      </c>
    </row>
    <row r="19" spans="1:3" ht="15.75" thickBot="1" x14ac:dyDescent="0.3">
      <c r="A19" s="1964" t="s">
        <v>497</v>
      </c>
      <c r="B19" s="669" t="s">
        <v>498</v>
      </c>
      <c r="C19" s="670">
        <v>354.02</v>
      </c>
    </row>
    <row r="20" spans="1:3" ht="15.75" thickBot="1" x14ac:dyDescent="0.3">
      <c r="A20" s="1965"/>
      <c r="B20" s="669" t="s">
        <v>499</v>
      </c>
      <c r="C20" s="670">
        <v>297.74</v>
      </c>
    </row>
    <row r="21" spans="1:3" ht="15.75" thickBot="1" x14ac:dyDescent="0.3">
      <c r="A21" s="1965"/>
      <c r="B21" s="669" t="s">
        <v>500</v>
      </c>
      <c r="C21" s="670">
        <v>255.54</v>
      </c>
    </row>
    <row r="22" spans="1:3" ht="15.75" thickBot="1" x14ac:dyDescent="0.3">
      <c r="A22" s="1966"/>
      <c r="B22" s="669" t="s">
        <v>501</v>
      </c>
      <c r="C22" s="670">
        <v>110.35</v>
      </c>
    </row>
    <row r="23" spans="1:3" ht="15.75" thickBot="1" x14ac:dyDescent="0.3">
      <c r="A23" s="671" t="s">
        <v>492</v>
      </c>
      <c r="B23" s="669" t="s">
        <v>502</v>
      </c>
      <c r="C23" s="670">
        <v>295.58999999999997</v>
      </c>
    </row>
    <row r="24" spans="1:3" ht="15.75" x14ac:dyDescent="0.25">
      <c r="A24" s="666"/>
    </row>
    <row r="25" spans="1:3" ht="15.75" thickBot="1" x14ac:dyDescent="0.3">
      <c r="A25" s="1969" t="s">
        <v>503</v>
      </c>
      <c r="B25" s="1969"/>
      <c r="C25" s="1969"/>
    </row>
    <row r="26" spans="1:3" ht="15.75" thickBot="1" x14ac:dyDescent="0.3">
      <c r="A26" s="668" t="s">
        <v>485</v>
      </c>
      <c r="B26" s="664" t="s">
        <v>2</v>
      </c>
      <c r="C26" s="664" t="s">
        <v>496</v>
      </c>
    </row>
    <row r="27" spans="1:3" ht="15.75" thickBot="1" x14ac:dyDescent="0.3">
      <c r="A27" s="1964" t="s">
        <v>250</v>
      </c>
      <c r="B27" s="669" t="s">
        <v>504</v>
      </c>
      <c r="C27" s="670">
        <v>119.02</v>
      </c>
    </row>
    <row r="28" spans="1:3" ht="15.75" thickBot="1" x14ac:dyDescent="0.3">
      <c r="A28" s="1965"/>
      <c r="B28" s="669" t="s">
        <v>505</v>
      </c>
      <c r="C28" s="670">
        <v>357.77</v>
      </c>
    </row>
    <row r="29" spans="1:3" ht="15.75" thickBot="1" x14ac:dyDescent="0.3">
      <c r="A29" s="1965"/>
      <c r="B29" s="669" t="s">
        <v>506</v>
      </c>
      <c r="C29" s="670">
        <v>297.07</v>
      </c>
    </row>
    <row r="30" spans="1:3" ht="15.75" thickBot="1" x14ac:dyDescent="0.3">
      <c r="A30" s="1965"/>
      <c r="B30" s="669" t="s">
        <v>507</v>
      </c>
      <c r="C30" s="670">
        <v>69.63</v>
      </c>
    </row>
    <row r="31" spans="1:3" ht="15.75" thickBot="1" x14ac:dyDescent="0.3">
      <c r="A31" s="1966"/>
      <c r="B31" s="669" t="s">
        <v>508</v>
      </c>
      <c r="C31" s="670">
        <v>48.45</v>
      </c>
    </row>
    <row r="32" spans="1:3" ht="15.75" x14ac:dyDescent="0.25">
      <c r="A32" s="666"/>
    </row>
    <row r="33" spans="1:2" ht="15.75" thickBot="1" x14ac:dyDescent="0.3">
      <c r="A33" s="1969" t="s">
        <v>509</v>
      </c>
      <c r="B33" s="1969"/>
    </row>
    <row r="34" spans="1:2" ht="15.75" thickBot="1" x14ac:dyDescent="0.3">
      <c r="A34" s="668" t="s">
        <v>335</v>
      </c>
      <c r="B34" s="664" t="s">
        <v>510</v>
      </c>
    </row>
    <row r="35" spans="1:2" ht="15.75" thickBot="1" x14ac:dyDescent="0.3">
      <c r="A35" s="671" t="s">
        <v>511</v>
      </c>
      <c r="B35" s="670">
        <v>164.03</v>
      </c>
    </row>
    <row r="36" spans="1:2" ht="30.75" thickBot="1" x14ac:dyDescent="0.3">
      <c r="A36" s="671" t="s">
        <v>512</v>
      </c>
      <c r="B36" s="670">
        <v>355.74</v>
      </c>
    </row>
    <row r="37" spans="1:2" ht="15.75" thickBot="1" x14ac:dyDescent="0.3">
      <c r="A37" s="671" t="s">
        <v>513</v>
      </c>
      <c r="B37" s="670">
        <v>697.09</v>
      </c>
    </row>
    <row r="38" spans="1:2" ht="15.75" thickBot="1" x14ac:dyDescent="0.3">
      <c r="A38" s="671" t="s">
        <v>514</v>
      </c>
      <c r="B38" s="670">
        <v>434.5</v>
      </c>
    </row>
    <row r="39" spans="1:2" ht="15.75" thickBot="1" x14ac:dyDescent="0.3">
      <c r="A39" s="671" t="s">
        <v>515</v>
      </c>
      <c r="B39" s="670">
        <v>417.31</v>
      </c>
    </row>
    <row r="40" spans="1:2" ht="15.75" thickBot="1" x14ac:dyDescent="0.3">
      <c r="A40" s="671" t="s">
        <v>516</v>
      </c>
      <c r="B40" s="670">
        <v>494.08</v>
      </c>
    </row>
    <row r="41" spans="1:2" ht="30.75" thickBot="1" x14ac:dyDescent="0.3">
      <c r="A41" s="671" t="s">
        <v>517</v>
      </c>
      <c r="B41" s="670">
        <v>585.04</v>
      </c>
    </row>
    <row r="42" spans="1:2" ht="15.75" thickBot="1" x14ac:dyDescent="0.3">
      <c r="A42" s="671" t="s">
        <v>518</v>
      </c>
      <c r="B42" s="670">
        <v>516.57000000000005</v>
      </c>
    </row>
    <row r="43" spans="1:2" ht="30.75" thickBot="1" x14ac:dyDescent="0.3">
      <c r="A43" s="671" t="s">
        <v>519</v>
      </c>
      <c r="B43" s="670">
        <v>658.53</v>
      </c>
    </row>
    <row r="44" spans="1:2" ht="15.75" thickBot="1" x14ac:dyDescent="0.3">
      <c r="A44" s="671" t="s">
        <v>520</v>
      </c>
      <c r="B44" s="670">
        <v>462.24</v>
      </c>
    </row>
    <row r="45" spans="1:2" ht="30.75" thickBot="1" x14ac:dyDescent="0.3">
      <c r="A45" s="671" t="s">
        <v>521</v>
      </c>
      <c r="B45" s="670">
        <v>523.59</v>
      </c>
    </row>
    <row r="46" spans="1:2" ht="15.75" thickBot="1" x14ac:dyDescent="0.3">
      <c r="A46" s="671" t="s">
        <v>522</v>
      </c>
      <c r="B46" s="670">
        <v>41.66</v>
      </c>
    </row>
    <row r="47" spans="1:2" ht="15.75" thickBot="1" x14ac:dyDescent="0.3">
      <c r="A47" s="671" t="s">
        <v>523</v>
      </c>
      <c r="B47" s="670">
        <v>15.24</v>
      </c>
    </row>
    <row r="48" spans="1:2" ht="15.75" thickBot="1" x14ac:dyDescent="0.3">
      <c r="A48" s="671" t="s">
        <v>524</v>
      </c>
      <c r="B48" s="670">
        <v>463.5</v>
      </c>
    </row>
    <row r="49" spans="1:3" x14ac:dyDescent="0.25">
      <c r="A49" s="667"/>
    </row>
    <row r="50" spans="1:3" ht="15.75" thickBot="1" x14ac:dyDescent="0.3">
      <c r="A50" s="660" t="s">
        <v>525</v>
      </c>
      <c r="B50" s="660" t="s">
        <v>32</v>
      </c>
      <c r="C50" s="660" t="s">
        <v>339</v>
      </c>
    </row>
    <row r="51" spans="1:3" ht="15.75" thickBot="1" x14ac:dyDescent="0.3">
      <c r="A51" s="672" t="s">
        <v>526</v>
      </c>
      <c r="B51" s="673">
        <v>222265</v>
      </c>
      <c r="C51" s="674" t="s">
        <v>527</v>
      </c>
    </row>
    <row r="52" spans="1:3" ht="15.75" thickBot="1" x14ac:dyDescent="0.3">
      <c r="A52" s="675" t="s">
        <v>528</v>
      </c>
      <c r="B52" s="676">
        <v>378.09</v>
      </c>
      <c r="C52" s="677" t="s">
        <v>529</v>
      </c>
    </row>
    <row r="53" spans="1:3" ht="15.75" thickBot="1" x14ac:dyDescent="0.3">
      <c r="A53" s="678" t="s">
        <v>530</v>
      </c>
      <c r="B53" s="663">
        <v>388.52</v>
      </c>
      <c r="C53" s="677" t="s">
        <v>529</v>
      </c>
    </row>
    <row r="54" spans="1:3" ht="15.75" thickBot="1" x14ac:dyDescent="0.3">
      <c r="A54" s="695" t="s">
        <v>531</v>
      </c>
      <c r="B54" s="696">
        <v>148.4</v>
      </c>
      <c r="C54" s="697" t="s">
        <v>532</v>
      </c>
    </row>
    <row r="55" spans="1:3" ht="15.75" thickBot="1" x14ac:dyDescent="0.3">
      <c r="A55" s="675" t="s">
        <v>533</v>
      </c>
      <c r="B55" s="676">
        <v>422.6</v>
      </c>
      <c r="C55" s="677" t="s">
        <v>529</v>
      </c>
    </row>
    <row r="56" spans="1:3" ht="15.75" thickBot="1" x14ac:dyDescent="0.3">
      <c r="A56" s="675" t="s">
        <v>534</v>
      </c>
      <c r="B56" s="676">
        <v>474.27</v>
      </c>
      <c r="C56" s="677" t="s">
        <v>529</v>
      </c>
    </row>
    <row r="57" spans="1:3" ht="15.75" thickBot="1" x14ac:dyDescent="0.3">
      <c r="A57" s="675" t="s">
        <v>535</v>
      </c>
      <c r="B57" s="679">
        <v>283502</v>
      </c>
      <c r="C57" s="677" t="s">
        <v>527</v>
      </c>
    </row>
    <row r="58" spans="1:3" ht="15.75" thickBot="1" x14ac:dyDescent="0.3">
      <c r="A58" s="675" t="s">
        <v>536</v>
      </c>
      <c r="B58" s="679">
        <v>288141</v>
      </c>
      <c r="C58" s="677" t="s">
        <v>527</v>
      </c>
    </row>
    <row r="59" spans="1:3" ht="15.75" thickBot="1" x14ac:dyDescent="0.3">
      <c r="A59" s="675" t="s">
        <v>537</v>
      </c>
      <c r="B59" s="676">
        <v>548.17999999999995</v>
      </c>
      <c r="C59" s="677" t="s">
        <v>529</v>
      </c>
    </row>
    <row r="60" spans="1:3" ht="15.75" thickBot="1" x14ac:dyDescent="0.3">
      <c r="A60" s="678" t="s">
        <v>538</v>
      </c>
      <c r="B60" s="663">
        <v>562.1</v>
      </c>
      <c r="C60" s="677" t="s">
        <v>529</v>
      </c>
    </row>
    <row r="61" spans="1:3" ht="30.75" thickBot="1" x14ac:dyDescent="0.3">
      <c r="A61" s="678" t="s">
        <v>539</v>
      </c>
      <c r="B61" s="663">
        <v>76.48</v>
      </c>
      <c r="C61" s="677" t="s">
        <v>529</v>
      </c>
    </row>
    <row r="62" spans="1:3" ht="15.75" thickBot="1" x14ac:dyDescent="0.3">
      <c r="A62" s="678" t="s">
        <v>540</v>
      </c>
      <c r="B62" s="663">
        <v>575.45000000000005</v>
      </c>
      <c r="C62" s="677" t="s">
        <v>529</v>
      </c>
    </row>
    <row r="63" spans="1:3" ht="15.75" thickBot="1" x14ac:dyDescent="0.3">
      <c r="A63" s="675" t="s">
        <v>541</v>
      </c>
      <c r="B63" s="676">
        <v>589.29</v>
      </c>
      <c r="C63" s="677" t="s">
        <v>529</v>
      </c>
    </row>
    <row r="64" spans="1:3" ht="15.75" thickBot="1" x14ac:dyDescent="0.3">
      <c r="A64" s="675" t="s">
        <v>542</v>
      </c>
      <c r="B64" s="676">
        <v>588.65</v>
      </c>
      <c r="C64" s="677" t="s">
        <v>529</v>
      </c>
    </row>
    <row r="65" spans="1:3" ht="15.75" thickBot="1" x14ac:dyDescent="0.3">
      <c r="A65" s="675" t="s">
        <v>543</v>
      </c>
      <c r="B65" s="676">
        <v>599.14</v>
      </c>
      <c r="C65" s="677" t="s">
        <v>529</v>
      </c>
    </row>
    <row r="66" spans="1:3" ht="15.75" thickBot="1" x14ac:dyDescent="0.3">
      <c r="A66" s="675" t="s">
        <v>544</v>
      </c>
      <c r="B66" s="676">
        <v>453.06</v>
      </c>
      <c r="C66" s="677" t="s">
        <v>529</v>
      </c>
    </row>
    <row r="67" spans="1:3" ht="15.75" thickBot="1" x14ac:dyDescent="0.3">
      <c r="A67" s="675" t="s">
        <v>545</v>
      </c>
      <c r="B67" s="676">
        <v>467.8</v>
      </c>
      <c r="C67" s="677" t="s">
        <v>529</v>
      </c>
    </row>
    <row r="68" spans="1:3" ht="15.75" thickBot="1" x14ac:dyDescent="0.3">
      <c r="A68" s="675" t="s">
        <v>546</v>
      </c>
      <c r="B68" s="676">
        <v>481.73</v>
      </c>
      <c r="C68" s="677" t="s">
        <v>529</v>
      </c>
    </row>
    <row r="69" spans="1:3" ht="15.75" thickBot="1" x14ac:dyDescent="0.3">
      <c r="A69" s="695" t="s">
        <v>547</v>
      </c>
      <c r="B69" s="698">
        <v>73241</v>
      </c>
      <c r="C69" s="697" t="s">
        <v>527</v>
      </c>
    </row>
    <row r="70" spans="1:3" ht="15.75" thickBot="1" x14ac:dyDescent="0.3">
      <c r="A70" s="695" t="s">
        <v>548</v>
      </c>
      <c r="B70" s="698">
        <v>101165</v>
      </c>
      <c r="C70" s="697" t="s">
        <v>527</v>
      </c>
    </row>
    <row r="71" spans="1:3" ht="15.75" thickBot="1" x14ac:dyDescent="0.3">
      <c r="A71" s="695" t="s">
        <v>549</v>
      </c>
      <c r="B71" s="698">
        <v>125901</v>
      </c>
      <c r="C71" s="697" t="s">
        <v>527</v>
      </c>
    </row>
    <row r="72" spans="1:3" ht="15.75" thickBot="1" x14ac:dyDescent="0.3">
      <c r="A72" s="675" t="s">
        <v>550</v>
      </c>
      <c r="B72" s="676">
        <v>143.96</v>
      </c>
      <c r="C72" s="677" t="s">
        <v>529</v>
      </c>
    </row>
    <row r="73" spans="1:3" ht="15.75" thickBot="1" x14ac:dyDescent="0.3">
      <c r="A73" s="695" t="s">
        <v>551</v>
      </c>
      <c r="B73" s="696">
        <v>53.61</v>
      </c>
      <c r="C73" s="697" t="s">
        <v>552</v>
      </c>
    </row>
    <row r="74" spans="1:3" ht="15.75" thickBot="1" x14ac:dyDescent="0.3">
      <c r="A74" s="695" t="s">
        <v>553</v>
      </c>
      <c r="B74" s="698">
        <v>75167</v>
      </c>
      <c r="C74" s="697" t="s">
        <v>527</v>
      </c>
    </row>
    <row r="75" spans="1:3" ht="15.75" thickBot="1" x14ac:dyDescent="0.3">
      <c r="A75" s="695" t="s">
        <v>553</v>
      </c>
      <c r="B75" s="698">
        <v>12528</v>
      </c>
      <c r="C75" s="697" t="s">
        <v>554</v>
      </c>
    </row>
    <row r="76" spans="1:3" ht="15.75" thickBot="1" x14ac:dyDescent="0.3">
      <c r="A76" s="695" t="s">
        <v>555</v>
      </c>
      <c r="B76" s="698">
        <v>5348</v>
      </c>
      <c r="C76" s="697" t="s">
        <v>554</v>
      </c>
    </row>
    <row r="77" spans="1:3" ht="15.75" thickBot="1" x14ac:dyDescent="0.3">
      <c r="A77" s="695" t="s">
        <v>556</v>
      </c>
      <c r="B77" s="696">
        <v>61.78</v>
      </c>
      <c r="C77" s="697" t="s">
        <v>557</v>
      </c>
    </row>
    <row r="78" spans="1:3" ht="15.75" thickBot="1" x14ac:dyDescent="0.3">
      <c r="A78" s="675" t="s">
        <v>558</v>
      </c>
      <c r="B78" s="676">
        <v>360.15</v>
      </c>
      <c r="C78" s="677" t="s">
        <v>559</v>
      </c>
    </row>
    <row r="79" spans="1:3" ht="15.75" thickBot="1" x14ac:dyDescent="0.3">
      <c r="A79" s="675" t="s">
        <v>560</v>
      </c>
      <c r="B79" s="676">
        <v>7346.62</v>
      </c>
      <c r="C79" s="677" t="s">
        <v>561</v>
      </c>
    </row>
    <row r="80" spans="1:3" ht="15.75" thickBot="1" x14ac:dyDescent="0.3">
      <c r="A80" s="675" t="s">
        <v>562</v>
      </c>
      <c r="B80" s="676">
        <v>305.12</v>
      </c>
      <c r="C80" s="677" t="s">
        <v>529</v>
      </c>
    </row>
    <row r="81" spans="1:5" ht="15.75" thickBot="1" x14ac:dyDescent="0.3">
      <c r="A81" s="675" t="s">
        <v>563</v>
      </c>
      <c r="B81" s="676">
        <v>275.67</v>
      </c>
      <c r="C81" s="677" t="s">
        <v>529</v>
      </c>
    </row>
    <row r="82" spans="1:5" ht="15.75" thickBot="1" x14ac:dyDescent="0.3">
      <c r="A82" s="667"/>
    </row>
    <row r="83" spans="1:5" ht="15.75" thickBot="1" x14ac:dyDescent="0.3">
      <c r="A83" s="1978" t="s">
        <v>564</v>
      </c>
      <c r="B83" s="1979"/>
      <c r="C83" s="1979"/>
      <c r="D83" s="1979"/>
      <c r="E83" s="1980"/>
    </row>
    <row r="84" spans="1:5" ht="15.75" thickBot="1" x14ac:dyDescent="0.3">
      <c r="A84" s="681" t="s">
        <v>182</v>
      </c>
      <c r="B84" s="682" t="s">
        <v>565</v>
      </c>
      <c r="C84" s="682" t="s">
        <v>566</v>
      </c>
      <c r="D84" s="682" t="s">
        <v>567</v>
      </c>
      <c r="E84" s="682" t="s">
        <v>568</v>
      </c>
    </row>
    <row r="85" spans="1:5" ht="15.75" thickBot="1" x14ac:dyDescent="0.3">
      <c r="A85" s="678" t="s">
        <v>18</v>
      </c>
      <c r="B85" s="679">
        <v>3585</v>
      </c>
      <c r="C85" s="679">
        <v>2689</v>
      </c>
      <c r="D85" s="679">
        <v>1793</v>
      </c>
      <c r="E85" s="679">
        <v>896</v>
      </c>
    </row>
    <row r="86" spans="1:5" ht="15.75" thickBot="1" x14ac:dyDescent="0.3">
      <c r="A86" s="678" t="s">
        <v>38</v>
      </c>
      <c r="B86" s="679">
        <v>3685</v>
      </c>
      <c r="C86" s="679">
        <v>2764</v>
      </c>
      <c r="D86" s="679">
        <v>1843</v>
      </c>
      <c r="E86" s="679">
        <v>921</v>
      </c>
    </row>
    <row r="87" spans="1:5" ht="15.75" thickBot="1" x14ac:dyDescent="0.3">
      <c r="A87" s="678" t="s">
        <v>39</v>
      </c>
      <c r="B87" s="679">
        <v>4641</v>
      </c>
      <c r="C87" s="679">
        <v>3481</v>
      </c>
      <c r="D87" s="679">
        <v>2320</v>
      </c>
      <c r="E87" s="679">
        <v>1160</v>
      </c>
    </row>
    <row r="88" spans="1:5" ht="15.75" thickBot="1" x14ac:dyDescent="0.3">
      <c r="A88" s="678" t="s">
        <v>569</v>
      </c>
      <c r="B88" s="679">
        <v>8067</v>
      </c>
      <c r="C88" s="679">
        <v>6051</v>
      </c>
      <c r="D88" s="679">
        <v>4034</v>
      </c>
      <c r="E88" s="679">
        <v>2017</v>
      </c>
    </row>
    <row r="89" spans="1:5" ht="15.75" thickBot="1" x14ac:dyDescent="0.3">
      <c r="A89" s="678" t="s">
        <v>570</v>
      </c>
      <c r="B89" s="679">
        <v>6385</v>
      </c>
      <c r="C89" s="679">
        <v>4788</v>
      </c>
      <c r="D89" s="679">
        <v>3192</v>
      </c>
      <c r="E89" s="679">
        <v>1596</v>
      </c>
    </row>
    <row r="90" spans="1:5" ht="30.75" thickBot="1" x14ac:dyDescent="0.3">
      <c r="A90" s="678" t="s">
        <v>571</v>
      </c>
      <c r="B90" s="679">
        <v>5585</v>
      </c>
      <c r="C90" s="679">
        <v>4189</v>
      </c>
      <c r="D90" s="679">
        <v>2793</v>
      </c>
      <c r="E90" s="679">
        <v>1396</v>
      </c>
    </row>
    <row r="91" spans="1:5" ht="15.75" thickBot="1" x14ac:dyDescent="0.3">
      <c r="A91" s="678" t="s">
        <v>16</v>
      </c>
      <c r="B91" s="679">
        <v>6149</v>
      </c>
      <c r="C91" s="679">
        <v>4612</v>
      </c>
      <c r="D91" s="679">
        <v>3074</v>
      </c>
      <c r="E91" s="679">
        <v>1537</v>
      </c>
    </row>
    <row r="92" spans="1:5" ht="15.75" thickBot="1" x14ac:dyDescent="0.3">
      <c r="A92" s="678" t="s">
        <v>42</v>
      </c>
      <c r="B92" s="679">
        <v>9268</v>
      </c>
      <c r="C92" s="679">
        <v>6951</v>
      </c>
      <c r="D92" s="679">
        <v>4634</v>
      </c>
      <c r="E92" s="679">
        <v>2317</v>
      </c>
    </row>
    <row r="93" spans="1:5" ht="15.75" thickBot="1" x14ac:dyDescent="0.3">
      <c r="A93" s="678" t="s">
        <v>368</v>
      </c>
      <c r="B93" s="679">
        <v>6531</v>
      </c>
      <c r="C93" s="679">
        <v>4898</v>
      </c>
      <c r="D93" s="679">
        <v>3266</v>
      </c>
      <c r="E93" s="679">
        <v>1633</v>
      </c>
    </row>
    <row r="94" spans="1:5" ht="15.75" thickBot="1" x14ac:dyDescent="0.3">
      <c r="A94" s="678" t="s">
        <v>572</v>
      </c>
      <c r="B94" s="679">
        <v>4658</v>
      </c>
      <c r="C94" s="679">
        <v>3493</v>
      </c>
      <c r="D94" s="679">
        <v>2329</v>
      </c>
      <c r="E94" s="679">
        <v>1164</v>
      </c>
    </row>
    <row r="95" spans="1:5" ht="15.75" x14ac:dyDescent="0.25">
      <c r="A95" s="666"/>
    </row>
    <row r="96" spans="1:5" x14ac:dyDescent="0.25">
      <c r="A96" s="680" t="s">
        <v>573</v>
      </c>
    </row>
    <row r="97" spans="1:5" ht="15.75" thickBot="1" x14ac:dyDescent="0.3">
      <c r="A97" s="1996" t="s">
        <v>182</v>
      </c>
      <c r="B97" s="1996"/>
      <c r="C97" s="1996"/>
      <c r="D97" s="1996"/>
      <c r="E97" s="661" t="s">
        <v>32</v>
      </c>
    </row>
    <row r="98" spans="1:5" ht="15.75" thickBot="1" x14ac:dyDescent="0.3">
      <c r="A98" s="1972" t="s">
        <v>18</v>
      </c>
      <c r="B98" s="1973"/>
      <c r="C98" s="1973"/>
      <c r="D98" s="1974"/>
      <c r="E98" s="676">
        <v>22.04</v>
      </c>
    </row>
    <row r="99" spans="1:5" ht="15.75" thickBot="1" x14ac:dyDescent="0.3">
      <c r="A99" s="1972" t="s">
        <v>38</v>
      </c>
      <c r="B99" s="1973"/>
      <c r="C99" s="1973"/>
      <c r="D99" s="1974"/>
      <c r="E99" s="676">
        <v>22.67</v>
      </c>
    </row>
    <row r="100" spans="1:5" ht="15.75" thickBot="1" x14ac:dyDescent="0.3">
      <c r="A100" s="1972" t="s">
        <v>39</v>
      </c>
      <c r="B100" s="1973"/>
      <c r="C100" s="1973"/>
      <c r="D100" s="1974"/>
      <c r="E100" s="676">
        <v>28.53</v>
      </c>
    </row>
    <row r="101" spans="1:5" ht="15.75" thickBot="1" x14ac:dyDescent="0.3">
      <c r="A101" s="1972" t="s">
        <v>569</v>
      </c>
      <c r="B101" s="1973"/>
      <c r="C101" s="1973"/>
      <c r="D101" s="1974"/>
      <c r="E101" s="676">
        <v>55.04</v>
      </c>
    </row>
    <row r="102" spans="1:5" ht="15.75" thickBot="1" x14ac:dyDescent="0.3">
      <c r="A102" s="1972" t="s">
        <v>570</v>
      </c>
      <c r="B102" s="1973"/>
      <c r="C102" s="1973"/>
      <c r="D102" s="1974"/>
      <c r="E102" s="676">
        <v>43.56</v>
      </c>
    </row>
    <row r="103" spans="1:5" ht="15.75" thickBot="1" x14ac:dyDescent="0.3">
      <c r="A103" s="1972" t="s">
        <v>571</v>
      </c>
      <c r="B103" s="1973"/>
      <c r="C103" s="1973"/>
      <c r="D103" s="1974"/>
      <c r="E103" s="676">
        <v>38.1</v>
      </c>
    </row>
    <row r="104" spans="1:5" ht="15.75" thickBot="1" x14ac:dyDescent="0.3">
      <c r="A104" s="1972" t="s">
        <v>16</v>
      </c>
      <c r="B104" s="1973"/>
      <c r="C104" s="1973"/>
      <c r="D104" s="1974"/>
      <c r="E104" s="676">
        <v>41.91</v>
      </c>
    </row>
    <row r="105" spans="1:5" ht="15.75" thickBot="1" x14ac:dyDescent="0.3">
      <c r="A105" s="1972" t="s">
        <v>42</v>
      </c>
      <c r="B105" s="1973"/>
      <c r="C105" s="1973"/>
      <c r="D105" s="1974"/>
      <c r="E105" s="676">
        <v>63.2</v>
      </c>
    </row>
    <row r="106" spans="1:5" ht="15.75" thickBot="1" x14ac:dyDescent="0.3">
      <c r="A106" s="1972" t="s">
        <v>368</v>
      </c>
      <c r="B106" s="1973"/>
      <c r="C106" s="1973"/>
      <c r="D106" s="1974"/>
      <c r="E106" s="676">
        <v>44.53</v>
      </c>
    </row>
    <row r="107" spans="1:5" ht="15.75" thickBot="1" x14ac:dyDescent="0.3">
      <c r="A107" s="1972" t="s">
        <v>572</v>
      </c>
      <c r="B107" s="1973"/>
      <c r="C107" s="1973"/>
      <c r="D107" s="1974"/>
      <c r="E107" s="676">
        <v>31.75</v>
      </c>
    </row>
    <row r="108" spans="1:5" ht="15.75" thickBot="1" x14ac:dyDescent="0.3">
      <c r="A108" s="1972" t="s">
        <v>574</v>
      </c>
      <c r="B108" s="1973"/>
      <c r="C108" s="1973"/>
      <c r="D108" s="1974"/>
      <c r="E108" s="676">
        <v>86.75</v>
      </c>
    </row>
    <row r="109" spans="1:5" ht="15.75" thickBot="1" x14ac:dyDescent="0.3">
      <c r="A109" s="1972" t="s">
        <v>575</v>
      </c>
      <c r="B109" s="1973"/>
      <c r="C109" s="1973"/>
      <c r="D109" s="1974"/>
      <c r="E109" s="676">
        <v>136.75</v>
      </c>
    </row>
    <row r="110" spans="1:5" ht="15.75" thickBot="1" x14ac:dyDescent="0.3">
      <c r="A110" s="2004" t="s">
        <v>576</v>
      </c>
      <c r="B110" s="2005"/>
      <c r="C110" s="2005"/>
      <c r="D110" s="2006"/>
      <c r="E110" s="676">
        <v>159.5</v>
      </c>
    </row>
    <row r="111" spans="1:5" ht="15.75" x14ac:dyDescent="0.25">
      <c r="A111" s="666"/>
    </row>
    <row r="112" spans="1:5" ht="15.75" thickBot="1" x14ac:dyDescent="0.3">
      <c r="A112" s="1996" t="s">
        <v>577</v>
      </c>
      <c r="B112" s="1996"/>
    </row>
    <row r="113" spans="1:3" ht="15.75" thickBot="1" x14ac:dyDescent="0.3">
      <c r="A113" s="683" t="s">
        <v>578</v>
      </c>
      <c r="B113" s="684" t="s">
        <v>579</v>
      </c>
    </row>
    <row r="114" spans="1:3" ht="15.75" thickBot="1" x14ac:dyDescent="0.3">
      <c r="A114" s="678" t="s">
        <v>580</v>
      </c>
      <c r="B114" s="685" t="s">
        <v>581</v>
      </c>
    </row>
    <row r="115" spans="1:3" x14ac:dyDescent="0.25">
      <c r="A115" s="667"/>
    </row>
    <row r="116" spans="1:3" ht="15.75" thickBot="1" x14ac:dyDescent="0.3">
      <c r="A116" s="686" t="s">
        <v>582</v>
      </c>
    </row>
    <row r="117" spans="1:3" ht="15.75" thickBot="1" x14ac:dyDescent="0.3">
      <c r="A117" s="687" t="s">
        <v>583</v>
      </c>
      <c r="B117" s="688" t="s">
        <v>339</v>
      </c>
      <c r="C117" s="688" t="s">
        <v>32</v>
      </c>
    </row>
    <row r="118" spans="1:3" ht="15.75" thickBot="1" x14ac:dyDescent="0.3">
      <c r="A118" s="689" t="s">
        <v>424</v>
      </c>
      <c r="B118" s="690" t="s">
        <v>584</v>
      </c>
      <c r="C118" s="691">
        <v>29.75</v>
      </c>
    </row>
    <row r="119" spans="1:3" ht="15.75" thickBot="1" x14ac:dyDescent="0.3">
      <c r="A119" s="689" t="s">
        <v>364</v>
      </c>
      <c r="B119" s="690" t="s">
        <v>584</v>
      </c>
      <c r="C119" s="691">
        <v>22.43</v>
      </c>
    </row>
    <row r="120" spans="1:3" ht="15.75" thickBot="1" x14ac:dyDescent="0.3">
      <c r="A120" s="689" t="s">
        <v>18</v>
      </c>
      <c r="B120" s="690" t="s">
        <v>584</v>
      </c>
      <c r="C120" s="691">
        <v>12.31</v>
      </c>
    </row>
    <row r="121" spans="1:3" x14ac:dyDescent="0.25">
      <c r="A121" s="667"/>
    </row>
    <row r="122" spans="1:3" x14ac:dyDescent="0.25">
      <c r="A122" s="1990" t="s">
        <v>585</v>
      </c>
      <c r="B122" s="1990"/>
    </row>
    <row r="123" spans="1:3" ht="15.75" thickBot="1" x14ac:dyDescent="0.3">
      <c r="A123" s="1991" t="s">
        <v>586</v>
      </c>
      <c r="B123" s="1991"/>
    </row>
    <row r="124" spans="1:3" x14ac:dyDescent="0.25">
      <c r="A124" s="1992" t="s">
        <v>587</v>
      </c>
      <c r="B124" s="1994" t="s">
        <v>588</v>
      </c>
    </row>
    <row r="125" spans="1:3" ht="15.75" thickBot="1" x14ac:dyDescent="0.3">
      <c r="A125" s="1993"/>
      <c r="B125" s="1995"/>
    </row>
    <row r="126" spans="1:3" ht="15.75" thickBot="1" x14ac:dyDescent="0.3">
      <c r="A126" s="675" t="s">
        <v>589</v>
      </c>
      <c r="B126" s="676">
        <v>34.58</v>
      </c>
    </row>
    <row r="127" spans="1:3" ht="15.75" thickBot="1" x14ac:dyDescent="0.3">
      <c r="A127" s="675" t="s">
        <v>590</v>
      </c>
      <c r="B127" s="676">
        <v>52.33</v>
      </c>
    </row>
    <row r="128" spans="1:3" ht="15.75" thickBot="1" x14ac:dyDescent="0.3">
      <c r="A128" s="675" t="s">
        <v>591</v>
      </c>
      <c r="B128" s="676">
        <v>27.55</v>
      </c>
    </row>
    <row r="129" spans="1:3" ht="15.75" thickBot="1" x14ac:dyDescent="0.3">
      <c r="A129" s="675" t="s">
        <v>592</v>
      </c>
      <c r="B129" s="676">
        <v>33.35</v>
      </c>
    </row>
    <row r="130" spans="1:3" ht="15.75" thickBot="1" x14ac:dyDescent="0.3">
      <c r="A130" s="675" t="s">
        <v>593</v>
      </c>
      <c r="B130" s="676">
        <v>36.380000000000003</v>
      </c>
    </row>
    <row r="131" spans="1:3" ht="15.75" x14ac:dyDescent="0.25">
      <c r="A131" s="666"/>
    </row>
    <row r="132" spans="1:3" ht="15.75" thickBot="1" x14ac:dyDescent="0.3">
      <c r="A132" s="2003" t="s">
        <v>594</v>
      </c>
      <c r="B132" s="2003"/>
      <c r="C132" s="692"/>
    </row>
    <row r="133" spans="1:3" ht="15.75" thickBot="1" x14ac:dyDescent="0.3">
      <c r="A133" s="693" t="s">
        <v>595</v>
      </c>
      <c r="B133" s="682" t="s">
        <v>339</v>
      </c>
      <c r="C133" s="682" t="s">
        <v>32</v>
      </c>
    </row>
    <row r="134" spans="1:3" ht="15.75" thickBot="1" x14ac:dyDescent="0.3">
      <c r="A134" s="675" t="s">
        <v>596</v>
      </c>
      <c r="B134" s="677" t="s">
        <v>597</v>
      </c>
      <c r="C134" s="676">
        <v>10000</v>
      </c>
    </row>
    <row r="135" spans="1:3" x14ac:dyDescent="0.25">
      <c r="A135" s="694" t="s">
        <v>598</v>
      </c>
      <c r="B135" s="1997" t="s">
        <v>597</v>
      </c>
      <c r="C135" s="1999">
        <v>2337</v>
      </c>
    </row>
    <row r="136" spans="1:3" ht="15.75" thickBot="1" x14ac:dyDescent="0.3">
      <c r="A136" s="678" t="s">
        <v>567</v>
      </c>
      <c r="B136" s="1998"/>
      <c r="C136" s="2000"/>
    </row>
    <row r="137" spans="1:3" x14ac:dyDescent="0.25">
      <c r="A137" s="694" t="s">
        <v>598</v>
      </c>
      <c r="B137" s="1997" t="s">
        <v>597</v>
      </c>
      <c r="C137" s="1999">
        <v>4675</v>
      </c>
    </row>
    <row r="138" spans="1:3" ht="15.75" thickBot="1" x14ac:dyDescent="0.3">
      <c r="A138" s="678" t="s">
        <v>565</v>
      </c>
      <c r="B138" s="1998"/>
      <c r="C138" s="2000"/>
    </row>
    <row r="139" spans="1:3" x14ac:dyDescent="0.25">
      <c r="A139" s="694" t="s">
        <v>599</v>
      </c>
      <c r="B139" s="1997" t="s">
        <v>597</v>
      </c>
      <c r="C139" s="1999">
        <v>1806</v>
      </c>
    </row>
    <row r="140" spans="1:3" ht="15.75" thickBot="1" x14ac:dyDescent="0.3">
      <c r="A140" s="678" t="s">
        <v>567</v>
      </c>
      <c r="B140" s="1998"/>
      <c r="C140" s="2000"/>
    </row>
    <row r="141" spans="1:3" x14ac:dyDescent="0.25">
      <c r="A141" s="694" t="s">
        <v>600</v>
      </c>
      <c r="B141" s="1997" t="s">
        <v>597</v>
      </c>
      <c r="C141" s="1999">
        <v>3611</v>
      </c>
    </row>
    <row r="142" spans="1:3" ht="15.75" thickBot="1" x14ac:dyDescent="0.3">
      <c r="A142" s="678" t="s">
        <v>565</v>
      </c>
      <c r="B142" s="1998"/>
      <c r="C142" s="2000"/>
    </row>
    <row r="143" spans="1:3" x14ac:dyDescent="0.25">
      <c r="A143" s="694" t="s">
        <v>601</v>
      </c>
      <c r="B143" s="1997" t="s">
        <v>602</v>
      </c>
      <c r="C143" s="2001">
        <v>15.17</v>
      </c>
    </row>
    <row r="144" spans="1:3" ht="15.75" thickBot="1" x14ac:dyDescent="0.3">
      <c r="A144" s="678" t="s">
        <v>565</v>
      </c>
      <c r="B144" s="1998"/>
      <c r="C144" s="2002"/>
    </row>
  </sheetData>
  <mergeCells count="57">
    <mergeCell ref="B141:B142"/>
    <mergeCell ref="C141:C142"/>
    <mergeCell ref="B143:B144"/>
    <mergeCell ref="C143:C144"/>
    <mergeCell ref="E3:G3"/>
    <mergeCell ref="B3:C3"/>
    <mergeCell ref="A132:B132"/>
    <mergeCell ref="B135:B136"/>
    <mergeCell ref="C135:C136"/>
    <mergeCell ref="B137:B138"/>
    <mergeCell ref="C137:C138"/>
    <mergeCell ref="B139:B140"/>
    <mergeCell ref="C139:C140"/>
    <mergeCell ref="A109:D109"/>
    <mergeCell ref="A110:D110"/>
    <mergeCell ref="A112:B112"/>
    <mergeCell ref="A122:B122"/>
    <mergeCell ref="A123:B123"/>
    <mergeCell ref="A124:A125"/>
    <mergeCell ref="B124:B125"/>
    <mergeCell ref="A33:B33"/>
    <mergeCell ref="A108:D108"/>
    <mergeCell ref="A97:D97"/>
    <mergeCell ref="A98:D98"/>
    <mergeCell ref="A99:D99"/>
    <mergeCell ref="A100:D100"/>
    <mergeCell ref="A101:D101"/>
    <mergeCell ref="A102:D102"/>
    <mergeCell ref="A103:D103"/>
    <mergeCell ref="A104:D104"/>
    <mergeCell ref="A105:D105"/>
    <mergeCell ref="A106:D106"/>
    <mergeCell ref="A107:D107"/>
    <mergeCell ref="A7:B7"/>
    <mergeCell ref="C7:E7"/>
    <mergeCell ref="A83:E83"/>
    <mergeCell ref="A8:B11"/>
    <mergeCell ref="C8:E8"/>
    <mergeCell ref="C9:E9"/>
    <mergeCell ref="C10:E10"/>
    <mergeCell ref="C11:E11"/>
    <mergeCell ref="A12:B14"/>
    <mergeCell ref="C12:E12"/>
    <mergeCell ref="C13:E13"/>
    <mergeCell ref="C14:E14"/>
    <mergeCell ref="A17:C17"/>
    <mergeCell ref="A19:A22"/>
    <mergeCell ref="A25:C25"/>
    <mergeCell ref="A27:A31"/>
    <mergeCell ref="B1:C1"/>
    <mergeCell ref="E1:G1"/>
    <mergeCell ref="A4:F4"/>
    <mergeCell ref="A5:F5"/>
    <mergeCell ref="A6:F6"/>
    <mergeCell ref="G4:G6"/>
    <mergeCell ref="E2:G2"/>
    <mergeCell ref="B2:C2"/>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3CDD2-B530-481C-A5A6-A0B9BD53EEB4}">
  <sheetPr>
    <tabColor theme="7" tint="0.59999389629810485"/>
    <pageSetUpPr fitToPage="1"/>
  </sheetPr>
  <dimension ref="C1:V80"/>
  <sheetViews>
    <sheetView topLeftCell="E1" zoomScale="130" zoomScaleNormal="130" workbookViewId="0">
      <selection activeCell="P18" sqref="P18"/>
    </sheetView>
  </sheetViews>
  <sheetFormatPr defaultRowHeight="15" x14ac:dyDescent="0.25"/>
  <cols>
    <col min="2" max="2" width="8.42578125" customWidth="1"/>
    <col min="3" max="3" width="22.5703125" customWidth="1"/>
    <col min="4" max="4" width="6.140625" customWidth="1"/>
    <col min="5" max="5" width="14" bestFit="1" customWidth="1"/>
    <col min="6" max="6" width="15.28515625" bestFit="1" customWidth="1"/>
    <col min="7" max="7" width="8.42578125" customWidth="1"/>
    <col min="8" max="8" width="22.5703125" customWidth="1"/>
    <col min="9" max="9" width="5.42578125" customWidth="1"/>
    <col min="10" max="10" width="13.5703125" bestFit="1" customWidth="1"/>
    <col min="11" max="11" width="16.5703125" customWidth="1"/>
    <col min="12" max="12" width="12.7109375" customWidth="1"/>
    <col min="13" max="14" width="1.42578125" customWidth="1"/>
    <col min="15" max="15" width="32" style="97" bestFit="1" customWidth="1"/>
    <col min="16" max="16" width="12.5703125" style="97" customWidth="1"/>
    <col min="17" max="17" width="34.7109375" style="98" customWidth="1"/>
    <col min="21" max="21" width="11.5703125" bestFit="1" customWidth="1"/>
  </cols>
  <sheetData>
    <row r="1" spans="3:17" ht="15.75" thickBot="1" x14ac:dyDescent="0.3">
      <c r="C1" s="96"/>
      <c r="H1" s="96"/>
    </row>
    <row r="2" spans="3:17" x14ac:dyDescent="0.25">
      <c r="C2" s="99"/>
      <c r="D2" s="100"/>
      <c r="E2" s="100"/>
      <c r="F2" s="101"/>
      <c r="H2" s="99"/>
      <c r="I2" s="100"/>
      <c r="J2" s="100"/>
      <c r="K2" s="101"/>
      <c r="L2" s="4"/>
      <c r="O2" s="2010" t="s">
        <v>248</v>
      </c>
      <c r="P2" s="2011"/>
      <c r="Q2" s="2012"/>
    </row>
    <row r="3" spans="3:17" ht="15.75" thickBot="1" x14ac:dyDescent="0.3">
      <c r="C3" s="2007" t="s">
        <v>374</v>
      </c>
      <c r="D3" s="2008"/>
      <c r="E3" s="2008"/>
      <c r="F3" s="2009"/>
      <c r="H3" s="2007" t="s">
        <v>375</v>
      </c>
      <c r="I3" s="2008"/>
      <c r="J3" s="2008"/>
      <c r="K3" s="2009"/>
      <c r="L3" s="3"/>
      <c r="O3" s="10"/>
      <c r="P3" s="360"/>
      <c r="Q3" s="361"/>
    </row>
    <row r="4" spans="3:17" x14ac:dyDescent="0.25">
      <c r="C4" s="8" t="s">
        <v>235</v>
      </c>
      <c r="D4" s="102">
        <v>12</v>
      </c>
      <c r="E4" s="103" t="s">
        <v>236</v>
      </c>
      <c r="F4" s="9">
        <f>12*365</f>
        <v>4380</v>
      </c>
      <c r="H4" s="8" t="s">
        <v>235</v>
      </c>
      <c r="I4" s="102">
        <v>18</v>
      </c>
      <c r="J4" s="103" t="s">
        <v>236</v>
      </c>
      <c r="K4" s="9">
        <f>18*365</f>
        <v>6570</v>
      </c>
      <c r="L4" s="1"/>
      <c r="O4" s="724" t="s">
        <v>251</v>
      </c>
      <c r="P4" s="384">
        <v>12</v>
      </c>
      <c r="Q4" s="384">
        <v>18</v>
      </c>
    </row>
    <row r="5" spans="3:17" ht="15.75" thickBot="1" x14ac:dyDescent="0.3">
      <c r="C5" s="8" t="s">
        <v>237</v>
      </c>
      <c r="D5" s="102">
        <v>12</v>
      </c>
      <c r="E5" s="103"/>
      <c r="F5" s="105" t="s">
        <v>7</v>
      </c>
      <c r="H5" s="8" t="s">
        <v>237</v>
      </c>
      <c r="I5" s="102">
        <v>18</v>
      </c>
      <c r="J5" s="103"/>
      <c r="K5" s="105" t="s">
        <v>7</v>
      </c>
      <c r="L5" s="1"/>
      <c r="O5" s="724" t="s">
        <v>422</v>
      </c>
      <c r="P5" s="725">
        <v>0.5</v>
      </c>
      <c r="Q5" s="740">
        <v>0.75</v>
      </c>
    </row>
    <row r="6" spans="3:17" x14ac:dyDescent="0.25">
      <c r="C6" s="716" t="s">
        <v>618</v>
      </c>
      <c r="D6" s="13"/>
      <c r="E6" s="106"/>
      <c r="F6" s="107">
        <v>73072.69</v>
      </c>
      <c r="H6" s="716" t="s">
        <v>618</v>
      </c>
      <c r="I6" s="13"/>
      <c r="J6" s="106"/>
      <c r="K6" s="107">
        <v>109609</v>
      </c>
      <c r="L6" s="1"/>
      <c r="O6" s="724" t="s">
        <v>619</v>
      </c>
      <c r="P6" s="725">
        <v>0.5</v>
      </c>
      <c r="Q6" s="740">
        <v>0.75</v>
      </c>
    </row>
    <row r="7" spans="3:17" x14ac:dyDescent="0.25">
      <c r="C7" s="10" t="s">
        <v>616</v>
      </c>
      <c r="D7" s="1"/>
      <c r="E7" s="108" t="s">
        <v>241</v>
      </c>
      <c r="F7" s="11">
        <v>291950.27</v>
      </c>
      <c r="H7" s="10" t="str">
        <f>C7</f>
        <v>Direct Service and Support Staff</v>
      </c>
      <c r="I7" s="1"/>
      <c r="J7" s="108" t="s">
        <v>241</v>
      </c>
      <c r="K7" s="11">
        <v>437924</v>
      </c>
      <c r="L7" s="1"/>
      <c r="O7" s="724" t="s">
        <v>254</v>
      </c>
      <c r="P7" s="725">
        <v>2.4</v>
      </c>
      <c r="Q7" s="740">
        <v>3.6</v>
      </c>
    </row>
    <row r="8" spans="3:17" x14ac:dyDescent="0.25">
      <c r="C8" s="10" t="s">
        <v>23</v>
      </c>
      <c r="D8" s="1"/>
      <c r="E8" s="715">
        <f>P15</f>
        <v>0.25390000000000001</v>
      </c>
      <c r="F8" s="11">
        <f>SUM(F6+F7)*E8</f>
        <v>92679.329544000007</v>
      </c>
      <c r="H8" s="10" t="s">
        <v>23</v>
      </c>
      <c r="I8" s="1"/>
      <c r="J8" s="715">
        <f>P15</f>
        <v>0.25390000000000001</v>
      </c>
      <c r="K8" s="11">
        <f>SUM(K6+K7)*J8</f>
        <v>139018.6287</v>
      </c>
      <c r="L8" s="1"/>
      <c r="O8" s="724" t="s">
        <v>243</v>
      </c>
      <c r="P8" s="725">
        <v>1</v>
      </c>
      <c r="Q8" s="741">
        <v>1.5</v>
      </c>
    </row>
    <row r="9" spans="3:17" x14ac:dyDescent="0.25">
      <c r="C9" s="10" t="s">
        <v>617</v>
      </c>
      <c r="D9" s="1"/>
      <c r="E9" s="715">
        <f>P25</f>
        <v>2.7811565914169036E-2</v>
      </c>
      <c r="F9" s="11">
        <f>SUM(F6+F7+F8)*E9</f>
        <v>12729.417394719039</v>
      </c>
      <c r="H9" s="10" t="s">
        <v>617</v>
      </c>
      <c r="I9" s="1"/>
      <c r="J9" s="715">
        <f>P25</f>
        <v>2.7811565914169036E-2</v>
      </c>
      <c r="K9" s="11">
        <f>SUM(K6+K7+K8)*J9</f>
        <v>19094.075875070157</v>
      </c>
      <c r="L9" s="1"/>
      <c r="O9" s="724" t="s">
        <v>245</v>
      </c>
      <c r="P9" s="725">
        <v>1</v>
      </c>
      <c r="Q9" s="741">
        <v>1.5</v>
      </c>
    </row>
    <row r="10" spans="3:17" x14ac:dyDescent="0.25">
      <c r="C10" s="14" t="s">
        <v>24</v>
      </c>
      <c r="D10" s="15"/>
      <c r="E10" s="717">
        <v>6.65</v>
      </c>
      <c r="F10" s="16">
        <f>SUM(F6:F9)</f>
        <v>470431.70693871909</v>
      </c>
      <c r="H10" s="14" t="s">
        <v>24</v>
      </c>
      <c r="I10" s="15"/>
      <c r="J10" s="17">
        <v>9.9749999999999996</v>
      </c>
      <c r="K10" s="16">
        <f>SUM(K6:K9)</f>
        <v>705645.70457507018</v>
      </c>
      <c r="L10" s="1"/>
      <c r="O10" s="724" t="s">
        <v>244</v>
      </c>
      <c r="P10" s="725">
        <v>0.5</v>
      </c>
      <c r="Q10" s="740">
        <v>0.75</v>
      </c>
    </row>
    <row r="11" spans="3:17" x14ac:dyDescent="0.25">
      <c r="C11" s="112" t="s">
        <v>252</v>
      </c>
      <c r="D11" s="109"/>
      <c r="E11" s="113">
        <f>P17</f>
        <v>180.83</v>
      </c>
      <c r="F11" s="18">
        <f>E11*4*52</f>
        <v>37612.639999999999</v>
      </c>
      <c r="H11" s="112" t="s">
        <v>252</v>
      </c>
      <c r="I11" s="109"/>
      <c r="J11" s="113">
        <f>E11</f>
        <v>180.83</v>
      </c>
      <c r="K11" s="18">
        <f>J11*6*52</f>
        <v>56418.96</v>
      </c>
      <c r="L11" s="1"/>
      <c r="O11" s="724" t="s">
        <v>246</v>
      </c>
      <c r="P11" s="725">
        <v>0.5</v>
      </c>
      <c r="Q11" s="740">
        <v>0.75</v>
      </c>
    </row>
    <row r="12" spans="3:17" x14ac:dyDescent="0.25">
      <c r="C12" s="112" t="s">
        <v>253</v>
      </c>
      <c r="D12" s="109"/>
      <c r="E12" s="113">
        <f>P18</f>
        <v>58.551747775770423</v>
      </c>
      <c r="F12" s="18">
        <f>E12*20*52</f>
        <v>60893.817686801238</v>
      </c>
      <c r="H12" s="112" t="s">
        <v>253</v>
      </c>
      <c r="I12" s="109"/>
      <c r="J12" s="113">
        <f>E12</f>
        <v>58.551747775770423</v>
      </c>
      <c r="K12" s="18">
        <f>J12*30*52</f>
        <v>91340.726530201864</v>
      </c>
      <c r="L12" s="1"/>
      <c r="O12" s="724" t="s">
        <v>247</v>
      </c>
      <c r="P12" s="725">
        <v>0.25</v>
      </c>
      <c r="Q12" s="740">
        <v>0.375</v>
      </c>
    </row>
    <row r="13" spans="3:17" x14ac:dyDescent="0.25">
      <c r="C13" s="10" t="s">
        <v>26</v>
      </c>
      <c r="D13" s="111"/>
      <c r="E13" s="111">
        <f>P19</f>
        <v>25.67</v>
      </c>
      <c r="F13" s="18">
        <f>E13*E10*150</f>
        <v>25605.825000000004</v>
      </c>
      <c r="H13" s="10" t="s">
        <v>26</v>
      </c>
      <c r="I13" s="111"/>
      <c r="J13" s="113">
        <f>E13</f>
        <v>25.67</v>
      </c>
      <c r="K13" s="18">
        <f>J13*J10*150</f>
        <v>38408.737499999996</v>
      </c>
      <c r="L13" s="1"/>
      <c r="O13" s="724"/>
      <c r="P13" s="383"/>
      <c r="Q13" s="735"/>
    </row>
    <row r="14" spans="3:17" x14ac:dyDescent="0.25">
      <c r="C14" s="10" t="s">
        <v>27</v>
      </c>
      <c r="D14" s="1"/>
      <c r="E14" s="114">
        <f>$P$20</f>
        <v>1873</v>
      </c>
      <c r="F14" s="18">
        <f>E14*D4</f>
        <v>22476</v>
      </c>
      <c r="H14" s="10" t="s">
        <v>27</v>
      </c>
      <c r="I14" s="1"/>
      <c r="J14" s="114">
        <f>$P$20</f>
        <v>1873</v>
      </c>
      <c r="K14" s="18">
        <f>J14*I4</f>
        <v>33714</v>
      </c>
      <c r="L14" s="110"/>
      <c r="O14" s="2013" t="s">
        <v>623</v>
      </c>
      <c r="P14" s="2014"/>
      <c r="Q14" s="2015"/>
    </row>
    <row r="15" spans="3:17" x14ac:dyDescent="0.25">
      <c r="C15" s="10" t="s">
        <v>255</v>
      </c>
      <c r="D15" s="1"/>
      <c r="E15" s="114">
        <f>$P$21</f>
        <v>412</v>
      </c>
      <c r="F15" s="18">
        <f>E15*E10</f>
        <v>2739.8</v>
      </c>
      <c r="H15" s="10" t="s">
        <v>255</v>
      </c>
      <c r="I15" s="1"/>
      <c r="J15" s="114">
        <f>$P$21</f>
        <v>412</v>
      </c>
      <c r="K15" s="18">
        <f>J15*J10</f>
        <v>4109.7</v>
      </c>
      <c r="L15" s="110"/>
      <c r="O15" s="724" t="s">
        <v>23</v>
      </c>
      <c r="P15" s="726">
        <f>'M2021 BLS  SALARY CHART 53_PCT'!D38</f>
        <v>0.25390000000000001</v>
      </c>
      <c r="Q15" s="736" t="s">
        <v>234</v>
      </c>
    </row>
    <row r="16" spans="3:17" x14ac:dyDescent="0.25">
      <c r="C16" s="14" t="s">
        <v>29</v>
      </c>
      <c r="D16" s="15"/>
      <c r="E16" s="15"/>
      <c r="F16" s="16">
        <f>SUM(F10:F15)</f>
        <v>619759.78962552035</v>
      </c>
      <c r="H16" s="14" t="s">
        <v>29</v>
      </c>
      <c r="I16" s="15"/>
      <c r="J16" s="15"/>
      <c r="K16" s="16">
        <f>SUM(K10:K15)</f>
        <v>929637.82860527199</v>
      </c>
      <c r="L16" s="110"/>
      <c r="O16" s="724"/>
      <c r="P16" s="727"/>
      <c r="Q16" s="735"/>
    </row>
    <row r="17" spans="3:17" x14ac:dyDescent="0.25">
      <c r="C17" s="10" t="s">
        <v>617</v>
      </c>
      <c r="D17" s="1"/>
      <c r="E17" s="709">
        <f>P25</f>
        <v>2.7811565914169036E-2</v>
      </c>
      <c r="F17" s="708">
        <f>SUM(F11:F15)*E17</f>
        <v>4153.0478144804565</v>
      </c>
      <c r="H17" s="10" t="str">
        <f>C17</f>
        <v xml:space="preserve">Cost Adjustment Factor </v>
      </c>
      <c r="I17" s="103"/>
      <c r="J17" s="709">
        <f>P25</f>
        <v>2.7811565914169036E-2</v>
      </c>
      <c r="K17" s="708">
        <f>SUM(K11:K15)*J17</f>
        <v>6229.5717217206857</v>
      </c>
      <c r="L17" s="110"/>
      <c r="O17" s="724" t="s">
        <v>252</v>
      </c>
      <c r="P17" s="728">
        <v>180.83</v>
      </c>
      <c r="Q17" s="735" t="s">
        <v>256</v>
      </c>
    </row>
    <row r="18" spans="3:17" x14ac:dyDescent="0.25">
      <c r="C18" s="10" t="s">
        <v>30</v>
      </c>
      <c r="D18" s="1"/>
      <c r="E18" s="109">
        <f>P24</f>
        <v>0.12</v>
      </c>
      <c r="F18" s="11">
        <f>(F16-F9)*E18</f>
        <v>72843.64466769615</v>
      </c>
      <c r="H18" s="10" t="s">
        <v>30</v>
      </c>
      <c r="I18" s="1"/>
      <c r="J18" s="109">
        <f>P24</f>
        <v>0.12</v>
      </c>
      <c r="K18" s="11">
        <f>(K16-K9)*J18</f>
        <v>109265.25032762422</v>
      </c>
      <c r="L18" s="1"/>
      <c r="O18" s="724" t="s">
        <v>253</v>
      </c>
      <c r="P18" s="728">
        <f>('FY26 Add on Rates'!E23*60%)+('FY26 Add on Rates'!F23*40%)</f>
        <v>58.551747775770423</v>
      </c>
      <c r="Q18" s="735" t="s">
        <v>620</v>
      </c>
    </row>
    <row r="19" spans="3:17" ht="27" thickBot="1" x14ac:dyDescent="0.3">
      <c r="C19" s="19" t="s">
        <v>31</v>
      </c>
      <c r="D19" s="20"/>
      <c r="E19" s="20"/>
      <c r="F19" s="21">
        <f>SUM(F16:F18)</f>
        <v>696756.48210769705</v>
      </c>
      <c r="H19" s="19" t="s">
        <v>31</v>
      </c>
      <c r="I19" s="20"/>
      <c r="J19" s="20"/>
      <c r="K19" s="21">
        <f>SUM(K16:K18)</f>
        <v>1045132.650654617</v>
      </c>
      <c r="L19" s="1"/>
      <c r="O19" s="724" t="s">
        <v>26</v>
      </c>
      <c r="P19" s="729">
        <v>25.67</v>
      </c>
      <c r="Q19" s="737" t="s">
        <v>258</v>
      </c>
    </row>
    <row r="20" spans="3:17" ht="27.75" thickTop="1" thickBot="1" x14ac:dyDescent="0.3">
      <c r="C20" s="374" t="s">
        <v>257</v>
      </c>
      <c r="D20" s="7"/>
      <c r="E20" s="116"/>
      <c r="F20" s="375">
        <f>F19/F4</f>
        <v>159.0768223990176</v>
      </c>
      <c r="H20" s="374" t="s">
        <v>257</v>
      </c>
      <c r="I20" s="7"/>
      <c r="J20" s="116"/>
      <c r="K20" s="375">
        <f>K19/K4</f>
        <v>159.07650694895236</v>
      </c>
      <c r="L20" s="110"/>
      <c r="O20" s="724" t="s">
        <v>27</v>
      </c>
      <c r="P20" s="730">
        <v>1873</v>
      </c>
      <c r="Q20" s="735" t="s">
        <v>259</v>
      </c>
    </row>
    <row r="21" spans="3:17" ht="27" thickBot="1" x14ac:dyDescent="0.3">
      <c r="C21" s="6" t="s">
        <v>257</v>
      </c>
      <c r="D21" s="376"/>
      <c r="E21" s="718">
        <v>0.9</v>
      </c>
      <c r="F21" s="22">
        <f>F20/E21</f>
        <v>176.75202488779732</v>
      </c>
      <c r="G21" s="373"/>
      <c r="H21" s="6" t="s">
        <v>257</v>
      </c>
      <c r="I21" s="376"/>
      <c r="J21" s="718">
        <v>0.9</v>
      </c>
      <c r="K21" s="22">
        <f>K20/J21</f>
        <v>176.75167438772485</v>
      </c>
      <c r="L21" s="110"/>
      <c r="O21" s="724" t="s">
        <v>255</v>
      </c>
      <c r="P21" s="730">
        <v>412</v>
      </c>
      <c r="Q21" s="735" t="s">
        <v>260</v>
      </c>
    </row>
    <row r="22" spans="3:17" x14ac:dyDescent="0.25">
      <c r="C22" s="75"/>
      <c r="D22" s="75"/>
      <c r="E22" s="117"/>
      <c r="F22" s="117"/>
      <c r="H22" s="75"/>
      <c r="I22" s="75"/>
      <c r="J22" s="117"/>
      <c r="K22" s="117"/>
      <c r="L22" s="1"/>
      <c r="O22" s="731" t="s">
        <v>29</v>
      </c>
      <c r="P22" s="732">
        <f>SUM(P19:P21)</f>
        <v>2310.67</v>
      </c>
      <c r="Q22" s="735"/>
    </row>
    <row r="23" spans="3:17" ht="15.75" thickBot="1" x14ac:dyDescent="0.3">
      <c r="F23" s="75"/>
      <c r="K23" s="75"/>
      <c r="L23" s="1"/>
      <c r="O23" s="724"/>
      <c r="P23" s="383"/>
      <c r="Q23" s="735"/>
    </row>
    <row r="24" spans="3:17" ht="15.75" thickBot="1" x14ac:dyDescent="0.3">
      <c r="F24" s="22">
        <v>148.399029740364</v>
      </c>
      <c r="G24" s="514">
        <f>(F21-F24)/F24</f>
        <v>0.19105916795439401</v>
      </c>
      <c r="K24" s="22">
        <v>148.3986805625938</v>
      </c>
      <c r="L24" s="515">
        <f>(K21-K24)/K24</f>
        <v>0.19105960860057583</v>
      </c>
      <c r="O24" s="724" t="s">
        <v>30</v>
      </c>
      <c r="P24" s="727">
        <v>0.12</v>
      </c>
      <c r="Q24" s="738" t="s">
        <v>234</v>
      </c>
    </row>
    <row r="25" spans="3:17" ht="15.75" thickBot="1" x14ac:dyDescent="0.3">
      <c r="L25" s="115"/>
      <c r="O25" s="733" t="s">
        <v>36</v>
      </c>
      <c r="P25" s="734">
        <f>'CAF FALL 2022'!CI24</f>
        <v>2.7811565914169036E-2</v>
      </c>
      <c r="Q25" s="739" t="s">
        <v>603</v>
      </c>
    </row>
    <row r="26" spans="3:17" x14ac:dyDescent="0.25">
      <c r="F26" s="518"/>
      <c r="L26" s="118"/>
      <c r="O26"/>
      <c r="P26"/>
    </row>
    <row r="27" spans="3:17" x14ac:dyDescent="0.25">
      <c r="F27" s="516"/>
      <c r="L27" s="118"/>
      <c r="O27"/>
      <c r="P27"/>
    </row>
    <row r="28" spans="3:17" ht="15.75" thickBot="1" x14ac:dyDescent="0.3">
      <c r="F28" s="516"/>
      <c r="L28" s="75"/>
      <c r="O28"/>
      <c r="P28"/>
    </row>
    <row r="29" spans="3:17" ht="15.75" thickBot="1" x14ac:dyDescent="0.3">
      <c r="L29" s="120"/>
      <c r="O29" s="699" t="s">
        <v>604</v>
      </c>
      <c r="P29" s="520"/>
      <c r="Q29" s="520"/>
    </row>
    <row r="30" spans="3:17" x14ac:dyDescent="0.25">
      <c r="O30" s="700"/>
      <c r="P30" s="701"/>
      <c r="Q30" s="702"/>
    </row>
    <row r="31" spans="3:17" x14ac:dyDescent="0.25">
      <c r="O31" s="703" t="s">
        <v>612</v>
      </c>
      <c r="P31" s="520"/>
      <c r="Q31" s="704"/>
    </row>
    <row r="32" spans="3:17" x14ac:dyDescent="0.25">
      <c r="L32" s="121"/>
      <c r="O32" s="703" t="s">
        <v>605</v>
      </c>
      <c r="P32" s="520"/>
      <c r="Q32" s="704"/>
    </row>
    <row r="33" spans="12:22" x14ac:dyDescent="0.25">
      <c r="O33" s="703"/>
      <c r="P33" s="520"/>
      <c r="Q33" s="704"/>
    </row>
    <row r="34" spans="12:22" x14ac:dyDescent="0.25">
      <c r="O34" s="703"/>
      <c r="P34" s="520"/>
      <c r="Q34" s="704"/>
    </row>
    <row r="35" spans="12:22" x14ac:dyDescent="0.25">
      <c r="L35" s="122"/>
      <c r="O35" s="703"/>
      <c r="P35" s="520"/>
      <c r="Q35" s="704"/>
    </row>
    <row r="36" spans="12:22" x14ac:dyDescent="0.25">
      <c r="O36" s="703"/>
      <c r="P36" s="520"/>
      <c r="Q36" s="704"/>
      <c r="R36" s="25"/>
    </row>
    <row r="37" spans="12:22" ht="15.75" thickBot="1" x14ac:dyDescent="0.3">
      <c r="O37" s="705"/>
      <c r="P37" s="706"/>
      <c r="Q37" s="707"/>
    </row>
    <row r="38" spans="12:22" x14ac:dyDescent="0.25">
      <c r="O38"/>
      <c r="P38"/>
      <c r="U38" s="714">
        <f>'M2021 BLS  SALARY CHART 53_PCT'!D34</f>
        <v>128978.304</v>
      </c>
      <c r="V38" t="s">
        <v>614</v>
      </c>
    </row>
    <row r="39" spans="12:22" x14ac:dyDescent="0.25">
      <c r="O39"/>
      <c r="P39"/>
      <c r="U39" s="714">
        <f>'M2021 BLS  SALARY CHART 53_PCT'!D44</f>
        <v>247150</v>
      </c>
      <c r="V39" t="s">
        <v>615</v>
      </c>
    </row>
    <row r="40" spans="12:22" x14ac:dyDescent="0.25">
      <c r="M40" s="75"/>
      <c r="O40"/>
      <c r="P40"/>
      <c r="U40" s="714">
        <f>SUM(U38:U39)/2080</f>
        <v>180.83091538461539</v>
      </c>
    </row>
    <row r="41" spans="12:22" x14ac:dyDescent="0.25">
      <c r="M41" s="119"/>
      <c r="O41"/>
      <c r="P41"/>
    </row>
    <row r="42" spans="12:22" x14ac:dyDescent="0.25">
      <c r="O42"/>
      <c r="P42"/>
    </row>
    <row r="43" spans="12:22" x14ac:dyDescent="0.25">
      <c r="O43"/>
      <c r="P43"/>
    </row>
    <row r="44" spans="12:22" x14ac:dyDescent="0.25">
      <c r="O44"/>
      <c r="P44"/>
    </row>
    <row r="45" spans="12:22" x14ac:dyDescent="0.25">
      <c r="O45"/>
      <c r="P45"/>
    </row>
    <row r="46" spans="12:22" x14ac:dyDescent="0.25">
      <c r="O46"/>
      <c r="P46"/>
    </row>
    <row r="47" spans="12:22" x14ac:dyDescent="0.25">
      <c r="O47"/>
      <c r="P47"/>
    </row>
    <row r="48" spans="12:22" x14ac:dyDescent="0.25">
      <c r="O48"/>
      <c r="P48"/>
    </row>
    <row r="49" spans="15:21" x14ac:dyDescent="0.25">
      <c r="O49"/>
      <c r="P49"/>
    </row>
    <row r="50" spans="15:21" x14ac:dyDescent="0.25">
      <c r="O50"/>
      <c r="P50"/>
      <c r="R50" s="520"/>
      <c r="S50" s="520"/>
      <c r="T50" s="520"/>
      <c r="U50" s="520"/>
    </row>
    <row r="51" spans="15:21" x14ac:dyDescent="0.25">
      <c r="O51"/>
      <c r="P51"/>
      <c r="R51" s="520"/>
      <c r="S51" s="520"/>
      <c r="T51" s="520"/>
      <c r="U51" s="520"/>
    </row>
    <row r="52" spans="15:21" x14ac:dyDescent="0.25">
      <c r="O52"/>
      <c r="P52"/>
      <c r="R52" s="520"/>
      <c r="S52" s="520"/>
      <c r="T52" s="520"/>
      <c r="U52" s="520"/>
    </row>
    <row r="53" spans="15:21" x14ac:dyDescent="0.25">
      <c r="O53"/>
      <c r="P53"/>
      <c r="R53" s="520"/>
      <c r="S53" s="520"/>
      <c r="T53" s="520"/>
      <c r="U53" s="520"/>
    </row>
    <row r="54" spans="15:21" x14ac:dyDescent="0.25">
      <c r="O54"/>
      <c r="P54"/>
      <c r="R54" s="520"/>
      <c r="S54" s="520"/>
      <c r="T54" s="520"/>
      <c r="U54" s="520"/>
    </row>
    <row r="55" spans="15:21" x14ac:dyDescent="0.25">
      <c r="O55"/>
      <c r="P55"/>
      <c r="R55" s="520"/>
      <c r="S55" s="520"/>
      <c r="T55" s="520"/>
      <c r="U55" s="520"/>
    </row>
    <row r="56" spans="15:21" x14ac:dyDescent="0.25">
      <c r="O56"/>
      <c r="P56"/>
      <c r="R56" s="520"/>
      <c r="S56" s="520"/>
      <c r="T56" s="520"/>
      <c r="U56" s="520"/>
    </row>
    <row r="57" spans="15:21" x14ac:dyDescent="0.25">
      <c r="O57"/>
      <c r="P57"/>
      <c r="R57" s="520"/>
      <c r="S57" s="520"/>
      <c r="T57" s="520"/>
      <c r="U57" s="520"/>
    </row>
    <row r="58" spans="15:21" x14ac:dyDescent="0.25">
      <c r="O58"/>
      <c r="P58"/>
      <c r="R58" s="520"/>
      <c r="S58" s="520"/>
      <c r="T58" s="520"/>
      <c r="U58" s="520"/>
    </row>
    <row r="59" spans="15:21" x14ac:dyDescent="0.25">
      <c r="O59"/>
      <c r="P59"/>
    </row>
    <row r="60" spans="15:21" x14ac:dyDescent="0.25">
      <c r="O60"/>
      <c r="P60"/>
    </row>
    <row r="61" spans="15:21" x14ac:dyDescent="0.25">
      <c r="O61"/>
      <c r="P61"/>
    </row>
    <row r="62" spans="15:21" x14ac:dyDescent="0.25">
      <c r="O62"/>
      <c r="P62"/>
    </row>
    <row r="63" spans="15:21" x14ac:dyDescent="0.25">
      <c r="O63"/>
      <c r="P63"/>
    </row>
    <row r="64" spans="15:21" x14ac:dyDescent="0.25">
      <c r="O64"/>
      <c r="P64"/>
    </row>
    <row r="65" spans="15:16" x14ac:dyDescent="0.25">
      <c r="O65"/>
      <c r="P65"/>
    </row>
    <row r="66" spans="15:16" x14ac:dyDescent="0.25">
      <c r="O66"/>
      <c r="P66"/>
    </row>
    <row r="67" spans="15:16" x14ac:dyDescent="0.25">
      <c r="O67"/>
      <c r="P67"/>
    </row>
    <row r="68" spans="15:16" x14ac:dyDescent="0.25">
      <c r="O68"/>
      <c r="P68"/>
    </row>
    <row r="69" spans="15:16" x14ac:dyDescent="0.25">
      <c r="O69"/>
      <c r="P69"/>
    </row>
    <row r="70" spans="15:16" x14ac:dyDescent="0.25">
      <c r="O70"/>
      <c r="P70"/>
    </row>
    <row r="71" spans="15:16" x14ac:dyDescent="0.25">
      <c r="O71"/>
      <c r="P71"/>
    </row>
    <row r="72" spans="15:16" x14ac:dyDescent="0.25">
      <c r="O72"/>
      <c r="P72"/>
    </row>
    <row r="73" spans="15:16" x14ac:dyDescent="0.25">
      <c r="O73"/>
      <c r="P73"/>
    </row>
    <row r="74" spans="15:16" x14ac:dyDescent="0.25">
      <c r="O74"/>
      <c r="P74"/>
    </row>
    <row r="75" spans="15:16" x14ac:dyDescent="0.25">
      <c r="O75"/>
      <c r="P75"/>
    </row>
    <row r="76" spans="15:16" x14ac:dyDescent="0.25">
      <c r="O76"/>
      <c r="P76"/>
    </row>
    <row r="77" spans="15:16" x14ac:dyDescent="0.25">
      <c r="O77"/>
      <c r="P77"/>
    </row>
    <row r="78" spans="15:16" x14ac:dyDescent="0.25">
      <c r="O78"/>
      <c r="P78"/>
    </row>
    <row r="79" spans="15:16" x14ac:dyDescent="0.25">
      <c r="O79"/>
      <c r="P79"/>
    </row>
    <row r="80" spans="15:16" x14ac:dyDescent="0.25">
      <c r="O80"/>
      <c r="P80"/>
    </row>
  </sheetData>
  <mergeCells count="4">
    <mergeCell ref="C3:F3"/>
    <mergeCell ref="H3:K3"/>
    <mergeCell ref="O2:Q2"/>
    <mergeCell ref="O14:Q14"/>
  </mergeCells>
  <pageMargins left="0.25" right="0.25" top="0.25" bottom="0.25" header="0.05" footer="0.05"/>
  <pageSetup paperSize="5" scale="58" orientation="landscape"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026E9-08B8-4BC0-B57C-AACE1A516464}">
  <sheetPr>
    <pageSetUpPr fitToPage="1"/>
  </sheetPr>
  <dimension ref="A1:L79"/>
  <sheetViews>
    <sheetView zoomScaleNormal="100" workbookViewId="0">
      <selection activeCell="N8" sqref="N8"/>
    </sheetView>
  </sheetViews>
  <sheetFormatPr defaultColWidth="10" defaultRowHeight="12.75" x14ac:dyDescent="0.2"/>
  <cols>
    <col min="1" max="1" width="2.85546875" style="1490" customWidth="1"/>
    <col min="2" max="2" width="33" style="1490" bestFit="1" customWidth="1"/>
    <col min="3" max="3" width="10" style="1490"/>
    <col min="4" max="4" width="22" style="1490" customWidth="1"/>
    <col min="5" max="5" width="10.85546875" style="1490" customWidth="1"/>
    <col min="6" max="6" width="8.85546875" style="1490" customWidth="1"/>
    <col min="7" max="7" width="13.140625" style="1490" customWidth="1"/>
    <col min="8" max="8" width="29.28515625" style="1490" customWidth="1"/>
    <col min="9" max="10" width="12.85546875" style="1490" customWidth="1"/>
    <col min="11" max="11" width="20.140625" style="1490" customWidth="1"/>
    <col min="12" max="16384" width="10" style="1490"/>
  </cols>
  <sheetData>
    <row r="1" spans="2:11" ht="19.5" customHeight="1" thickBot="1" x14ac:dyDescent="0.25">
      <c r="H1" s="1491">
        <v>45701</v>
      </c>
    </row>
    <row r="2" spans="2:11" ht="19.5" customHeight="1" thickBot="1" x14ac:dyDescent="0.25">
      <c r="B2" s="2016" t="s">
        <v>2414</v>
      </c>
      <c r="C2" s="2017"/>
      <c r="D2" s="2017"/>
      <c r="E2" s="2017"/>
      <c r="F2" s="2018"/>
      <c r="H2" s="2016" t="s">
        <v>2415</v>
      </c>
      <c r="I2" s="2017"/>
      <c r="J2" s="2017"/>
      <c r="K2" s="2018"/>
    </row>
    <row r="3" spans="2:11" ht="17.25" customHeight="1" thickBot="1" x14ac:dyDescent="0.25">
      <c r="B3" s="1492" t="s">
        <v>294</v>
      </c>
      <c r="C3" s="1493"/>
      <c r="D3" s="1493" t="s">
        <v>45</v>
      </c>
      <c r="E3" s="1493"/>
      <c r="F3" s="1494"/>
      <c r="H3" s="1495" t="s">
        <v>2416</v>
      </c>
      <c r="I3" s="1496">
        <v>15</v>
      </c>
      <c r="J3" s="1497" t="s">
        <v>1</v>
      </c>
      <c r="K3" s="1498">
        <v>5475</v>
      </c>
    </row>
    <row r="4" spans="2:11" ht="21" customHeight="1" thickBot="1" x14ac:dyDescent="0.25">
      <c r="B4" s="1499" t="s">
        <v>305</v>
      </c>
      <c r="C4" s="1500">
        <f>'[27]YouthRes  (FY26)'!C4</f>
        <v>80829.631999999998</v>
      </c>
      <c r="D4" s="1501" t="str">
        <f>'[27]YouthRes  (FY26)'!D4</f>
        <v>BLS 2023 Median 53%</v>
      </c>
      <c r="E4" s="1502"/>
      <c r="F4" s="1503"/>
      <c r="H4" s="1504"/>
      <c r="I4" s="1505" t="s">
        <v>5</v>
      </c>
      <c r="J4" s="1506" t="s">
        <v>6</v>
      </c>
      <c r="K4" s="1507" t="s">
        <v>7</v>
      </c>
    </row>
    <row r="5" spans="2:11" x14ac:dyDescent="0.2">
      <c r="B5" s="1499" t="s">
        <v>424</v>
      </c>
      <c r="C5" s="1500">
        <f>'[27]YouthRes  (FY26)'!C6</f>
        <v>101806.432</v>
      </c>
      <c r="D5" s="1501" t="str">
        <f>'[27]YouthRes  (FY26)'!D6</f>
        <v>BLS 2023 Median 53%</v>
      </c>
      <c r="E5" s="1502"/>
      <c r="F5" s="1503"/>
      <c r="H5" s="1508" t="s">
        <v>305</v>
      </c>
      <c r="I5" s="1509">
        <f t="shared" ref="I5:I10" si="0">C4</f>
        <v>80829.631999999998</v>
      </c>
      <c r="J5" s="1510">
        <f t="shared" ref="J5:J10" si="1">C16</f>
        <v>1</v>
      </c>
      <c r="K5" s="1511">
        <f>J5*I5</f>
        <v>80829.631999999998</v>
      </c>
    </row>
    <row r="6" spans="2:11" x14ac:dyDescent="0.2">
      <c r="B6" s="1499" t="s">
        <v>2417</v>
      </c>
      <c r="C6" s="1500">
        <f>'[27]M2023 BLS Chart'!C14</f>
        <v>70211.44</v>
      </c>
      <c r="D6" s="1501" t="str">
        <f>'[27]YouthRes  (FY26)'!D7</f>
        <v>BLS 2023 Median 53%</v>
      </c>
      <c r="E6" s="1502"/>
      <c r="F6" s="1503"/>
      <c r="H6" s="1499" t="s">
        <v>424</v>
      </c>
      <c r="I6" s="1512">
        <f t="shared" si="0"/>
        <v>101806.432</v>
      </c>
      <c r="J6" s="1513">
        <f t="shared" si="1"/>
        <v>1</v>
      </c>
      <c r="K6" s="1514">
        <f t="shared" ref="K6:K16" si="2">J6*I6</f>
        <v>101806.432</v>
      </c>
    </row>
    <row r="7" spans="2:11" x14ac:dyDescent="0.2">
      <c r="B7" s="1515" t="s">
        <v>42</v>
      </c>
      <c r="C7" s="1500">
        <f>'[27]YouthRes  (FY26)'!C10</f>
        <v>103622.27200000001</v>
      </c>
      <c r="D7" s="1501" t="str">
        <f>'[27]YouthRes  (FY26)'!D8</f>
        <v>BLS 2023 Median 53%</v>
      </c>
      <c r="E7" s="1502"/>
      <c r="F7" s="1503"/>
      <c r="H7" s="1499" t="s">
        <v>2417</v>
      </c>
      <c r="I7" s="1512">
        <f t="shared" si="0"/>
        <v>70211.44</v>
      </c>
      <c r="J7" s="1513">
        <f t="shared" si="1"/>
        <v>2</v>
      </c>
      <c r="K7" s="1514">
        <f t="shared" si="2"/>
        <v>140422.88</v>
      </c>
    </row>
    <row r="8" spans="2:11" x14ac:dyDescent="0.2">
      <c r="B8" s="1499" t="s">
        <v>2418</v>
      </c>
      <c r="C8" s="1500">
        <f>'[27]M2023 BLS Chart'!C8</f>
        <v>56217.241600000001</v>
      </c>
      <c r="D8" s="1501" t="str">
        <f>'[27]YouthRes  (FY26)'!D9</f>
        <v>BLS 2023 Median 53%</v>
      </c>
      <c r="E8" s="1502"/>
      <c r="F8" s="1503"/>
      <c r="H8" s="1516" t="s">
        <v>42</v>
      </c>
      <c r="I8" s="1517">
        <f t="shared" si="0"/>
        <v>103622.27200000001</v>
      </c>
      <c r="J8" s="1518">
        <v>0</v>
      </c>
      <c r="K8" s="1519">
        <f t="shared" si="2"/>
        <v>0</v>
      </c>
    </row>
    <row r="9" spans="2:11" x14ac:dyDescent="0.2">
      <c r="B9" s="1499" t="s">
        <v>2419</v>
      </c>
      <c r="C9" s="1500">
        <f>'[27]M2023 BLS Chart'!C12</f>
        <v>64438.399999999994</v>
      </c>
      <c r="D9" s="1501" t="str">
        <f>'[27]YouthRes  (FY26)'!D10</f>
        <v>BLS 2023 Median 53%</v>
      </c>
      <c r="F9" s="1520"/>
      <c r="H9" s="1499" t="s">
        <v>2420</v>
      </c>
      <c r="I9" s="1512">
        <f t="shared" si="0"/>
        <v>56217.241600000001</v>
      </c>
      <c r="J9" s="1513">
        <f t="shared" si="1"/>
        <v>0.5</v>
      </c>
      <c r="K9" s="1514">
        <f t="shared" si="2"/>
        <v>28108.620800000001</v>
      </c>
    </row>
    <row r="10" spans="2:11" x14ac:dyDescent="0.2">
      <c r="B10" s="1499" t="s">
        <v>2421</v>
      </c>
      <c r="C10" s="1500">
        <f>'[27]M2023 BLS Chart'!C8</f>
        <v>56217.241600000001</v>
      </c>
      <c r="D10" s="1501" t="str">
        <f>D4</f>
        <v>BLS 2023 Median 53%</v>
      </c>
      <c r="F10" s="1520"/>
      <c r="H10" s="1499" t="s">
        <v>2419</v>
      </c>
      <c r="I10" s="1512">
        <f t="shared" si="0"/>
        <v>64438.399999999994</v>
      </c>
      <c r="J10" s="1513">
        <f t="shared" si="1"/>
        <v>1</v>
      </c>
      <c r="K10" s="1514">
        <f t="shared" si="2"/>
        <v>64438.399999999994</v>
      </c>
    </row>
    <row r="11" spans="2:11" x14ac:dyDescent="0.2">
      <c r="B11" s="1499" t="s">
        <v>2422</v>
      </c>
      <c r="C11" s="1500">
        <f>'[27]YouthRes  (FY26)'!C14</f>
        <v>43247.567999999999</v>
      </c>
      <c r="D11" s="1501" t="str">
        <f>'[27]YouthRes  (FY26)'!D12</f>
        <v>BLS 2023 Median 53%</v>
      </c>
      <c r="F11" s="1520"/>
      <c r="H11" s="1499" t="str">
        <f>'[27]YouthRes  (FY26)'!L15</f>
        <v>Medication Specialist</v>
      </c>
      <c r="I11" s="1512">
        <f>'[27]YouthRes  (FY26)'!M15</f>
        <v>56217.241600000001</v>
      </c>
      <c r="J11" s="1513">
        <f>2.45+0.35</f>
        <v>2.8000000000000003</v>
      </c>
      <c r="K11" s="1514">
        <f t="shared" si="2"/>
        <v>157408.27648000003</v>
      </c>
    </row>
    <row r="12" spans="2:11" ht="15" customHeight="1" x14ac:dyDescent="0.2">
      <c r="B12" s="1499" t="s">
        <v>2423</v>
      </c>
      <c r="C12" s="1500">
        <f>'[27]M2023 BLS Chart'!C6</f>
        <v>43247.567999999999</v>
      </c>
      <c r="D12" s="1501" t="str">
        <f>'[27]YouthRes  (FY26)'!D13</f>
        <v>BLS 2023 Median 53%</v>
      </c>
      <c r="F12" s="1520"/>
      <c r="H12" s="1499" t="s">
        <v>2421</v>
      </c>
      <c r="I12" s="1512">
        <f>C10</f>
        <v>56217.241600000001</v>
      </c>
      <c r="J12" s="1513">
        <f>C22</f>
        <v>1.8</v>
      </c>
      <c r="K12" s="1514">
        <f t="shared" si="2"/>
        <v>101191.03488000001</v>
      </c>
    </row>
    <row r="13" spans="2:11" ht="15" customHeight="1" x14ac:dyDescent="0.2">
      <c r="B13" s="1499" t="s">
        <v>2392</v>
      </c>
      <c r="C13" s="1500">
        <f>'[27]M2023 BLS Chart'!C36</f>
        <v>43247.567999999999</v>
      </c>
      <c r="D13" s="1501" t="str">
        <f>'[27]YouthRes  (FY26)'!D14</f>
        <v>BLS 2023 Median 53%</v>
      </c>
      <c r="F13" s="1520"/>
      <c r="H13" s="1499" t="s">
        <v>2422</v>
      </c>
      <c r="I13" s="1512">
        <f>C11</f>
        <v>43247.567999999999</v>
      </c>
      <c r="J13" s="1513">
        <f>C23-2.45</f>
        <v>8.75</v>
      </c>
      <c r="K13" s="1514">
        <f t="shared" si="2"/>
        <v>378416.22</v>
      </c>
    </row>
    <row r="14" spans="2:11" ht="13.5" thickBot="1" x14ac:dyDescent="0.25">
      <c r="B14" s="1499" t="s">
        <v>2424</v>
      </c>
      <c r="C14" s="1500">
        <f>C13</f>
        <v>43247.567999999999</v>
      </c>
      <c r="D14" s="1521" t="str">
        <f>'[27]YouthRes  (FY26)'!D14</f>
        <v>BLS 2023 Median 53%</v>
      </c>
      <c r="F14" s="1520"/>
      <c r="H14" s="1499" t="s">
        <v>2423</v>
      </c>
      <c r="I14" s="1512">
        <f>C12</f>
        <v>43247.567999999999</v>
      </c>
      <c r="J14" s="1513">
        <f>C24</f>
        <v>1</v>
      </c>
      <c r="K14" s="1514">
        <f t="shared" si="2"/>
        <v>43247.567999999999</v>
      </c>
    </row>
    <row r="15" spans="2:11" ht="13.5" thickBot="1" x14ac:dyDescent="0.25">
      <c r="B15" s="2019" t="s">
        <v>248</v>
      </c>
      <c r="C15" s="2020"/>
      <c r="D15" s="2020"/>
      <c r="E15" s="2020"/>
      <c r="F15" s="2021"/>
      <c r="H15" s="1499" t="s">
        <v>2392</v>
      </c>
      <c r="I15" s="1512">
        <f>C13</f>
        <v>43247.567999999999</v>
      </c>
      <c r="J15" s="1513">
        <f>C25</f>
        <v>1.5</v>
      </c>
      <c r="K15" s="1514">
        <f t="shared" si="2"/>
        <v>64871.351999999999</v>
      </c>
    </row>
    <row r="16" spans="2:11" ht="13.5" thickBot="1" x14ac:dyDescent="0.25">
      <c r="B16" s="1499" t="s">
        <v>305</v>
      </c>
      <c r="C16" s="1522">
        <v>1</v>
      </c>
      <c r="D16" s="1521" t="s">
        <v>2395</v>
      </c>
      <c r="F16" s="1520"/>
      <c r="H16" s="1523" t="s">
        <v>2424</v>
      </c>
      <c r="I16" s="1524">
        <f>C14</f>
        <v>43247.567999999999</v>
      </c>
      <c r="J16" s="1525">
        <f>C26</f>
        <v>1.7696000000000001</v>
      </c>
      <c r="K16" s="1526">
        <f t="shared" si="2"/>
        <v>76530.896332799995</v>
      </c>
    </row>
    <row r="17" spans="2:12" x14ac:dyDescent="0.2">
      <c r="B17" s="1499" t="s">
        <v>424</v>
      </c>
      <c r="C17" s="1522">
        <v>1</v>
      </c>
      <c r="D17" s="1521" t="s">
        <v>2395</v>
      </c>
      <c r="F17" s="1520"/>
      <c r="H17" s="1527"/>
      <c r="I17" s="1528"/>
      <c r="J17" s="1529">
        <f>SUM(J5:J16)</f>
        <v>23.119600000000002</v>
      </c>
      <c r="K17" s="1530">
        <f>SUM(K5:K16)</f>
        <v>1237271.3124927999</v>
      </c>
    </row>
    <row r="18" spans="2:12" x14ac:dyDescent="0.2">
      <c r="B18" s="1499" t="s">
        <v>2417</v>
      </c>
      <c r="C18" s="1531">
        <v>2</v>
      </c>
      <c r="D18" s="1521" t="s">
        <v>2395</v>
      </c>
      <c r="F18" s="1520"/>
      <c r="H18" s="1532"/>
      <c r="I18" s="1533"/>
      <c r="J18" s="1534"/>
      <c r="K18" s="1535"/>
    </row>
    <row r="19" spans="2:12" x14ac:dyDescent="0.2">
      <c r="B19" s="1499" t="s">
        <v>42</v>
      </c>
      <c r="C19" s="1536">
        <v>0.35</v>
      </c>
      <c r="D19" s="1521" t="s">
        <v>2395</v>
      </c>
      <c r="F19" s="1520"/>
      <c r="H19" s="1537" t="str">
        <f>B28</f>
        <v>Tax &amp; Fringe</v>
      </c>
      <c r="I19" s="1538">
        <f>C28</f>
        <v>0.24970000000000001</v>
      </c>
      <c r="J19" s="1539"/>
      <c r="K19" s="1535">
        <f>K17*I19</f>
        <v>308946.64672945213</v>
      </c>
    </row>
    <row r="20" spans="2:12" s="1540" customFormat="1" ht="13.5" thickBot="1" x14ac:dyDescent="0.25">
      <c r="B20" s="1499" t="s">
        <v>2420</v>
      </c>
      <c r="C20" s="1531">
        <v>0.5</v>
      </c>
      <c r="D20" s="1521" t="s">
        <v>2395</v>
      </c>
      <c r="E20" s="1490"/>
      <c r="F20" s="1520"/>
      <c r="H20" s="1541" t="s">
        <v>24</v>
      </c>
      <c r="I20" s="1542"/>
      <c r="J20" s="1543"/>
      <c r="K20" s="1544">
        <f>K17+K19+K18</f>
        <v>1546217.959222252</v>
      </c>
    </row>
    <row r="21" spans="2:12" ht="13.5" thickTop="1" x14ac:dyDescent="0.2">
      <c r="B21" s="1499" t="s">
        <v>2419</v>
      </c>
      <c r="C21" s="1531">
        <v>1</v>
      </c>
      <c r="D21" s="1521" t="s">
        <v>2395</v>
      </c>
      <c r="F21" s="1520"/>
      <c r="H21" s="1545" t="str">
        <f>B29</f>
        <v>Program Expenses (per bed day)</v>
      </c>
      <c r="I21" s="1512"/>
      <c r="J21" s="1546">
        <f>C29</f>
        <v>54.921163647478359</v>
      </c>
      <c r="K21" s="1535">
        <f>J21*K3</f>
        <v>300693.37096994399</v>
      </c>
    </row>
    <row r="22" spans="2:12" ht="15" customHeight="1" x14ac:dyDescent="0.2">
      <c r="B22" s="1499" t="s">
        <v>2421</v>
      </c>
      <c r="C22" s="1531">
        <v>1.8</v>
      </c>
      <c r="D22" s="1521" t="s">
        <v>2395</v>
      </c>
      <c r="F22" s="1520"/>
      <c r="H22" s="1547" t="str">
        <f>B30</f>
        <v>Admin Allocation</v>
      </c>
      <c r="I22" s="1548"/>
      <c r="J22" s="1549">
        <f>C30</f>
        <v>0.12</v>
      </c>
      <c r="K22" s="1535">
        <f>SUM(K20+K21)*J22</f>
        <v>221629.3596230635</v>
      </c>
    </row>
    <row r="23" spans="2:12" ht="12" customHeight="1" x14ac:dyDescent="0.2">
      <c r="B23" s="1499" t="s">
        <v>2422</v>
      </c>
      <c r="C23" s="1531">
        <v>11.2</v>
      </c>
      <c r="D23" s="1521" t="s">
        <v>2395</v>
      </c>
      <c r="F23" s="1520"/>
      <c r="H23" s="1550" t="s">
        <v>2425</v>
      </c>
      <c r="I23" s="1551"/>
      <c r="J23" s="1552"/>
      <c r="K23" s="1553">
        <f>K22+K21+K20</f>
        <v>2068540.6898152595</v>
      </c>
    </row>
    <row r="24" spans="2:12" ht="13.5" thickBot="1" x14ac:dyDescent="0.25">
      <c r="B24" s="1499" t="s">
        <v>2423</v>
      </c>
      <c r="C24" s="1531">
        <v>1</v>
      </c>
      <c r="D24" s="1521" t="s">
        <v>2395</v>
      </c>
      <c r="F24" s="1520"/>
      <c r="H24" s="1554" t="str">
        <f>B31</f>
        <v>CAF</v>
      </c>
      <c r="I24" s="1555"/>
      <c r="J24" s="1556">
        <f>C31</f>
        <v>3.2549514448865162E-2</v>
      </c>
      <c r="K24" s="1557">
        <f>(K20+K21)*J24</f>
        <v>60116.067027863661</v>
      </c>
    </row>
    <row r="25" spans="2:12" ht="14.25" thickTop="1" thickBot="1" x14ac:dyDescent="0.25">
      <c r="B25" s="1499" t="s">
        <v>2392</v>
      </c>
      <c r="C25" s="1531">
        <v>1.5</v>
      </c>
      <c r="D25" s="1521" t="s">
        <v>2395</v>
      </c>
      <c r="F25" s="1520"/>
      <c r="H25" s="1558" t="s">
        <v>31</v>
      </c>
      <c r="I25" s="1559"/>
      <c r="J25" s="1560"/>
      <c r="K25" s="1561">
        <f>K23+K24</f>
        <v>2128656.7568431231</v>
      </c>
    </row>
    <row r="26" spans="2:12" ht="13.5" thickBot="1" x14ac:dyDescent="0.25">
      <c r="B26" s="1499" t="s">
        <v>2424</v>
      </c>
      <c r="C26" s="1531">
        <v>1.7696000000000001</v>
      </c>
      <c r="D26" s="1521" t="s">
        <v>2395</v>
      </c>
      <c r="F26" s="1520"/>
      <c r="H26" s="1562" t="s">
        <v>2426</v>
      </c>
      <c r="I26" s="1563"/>
      <c r="J26" s="1564"/>
      <c r="K26" s="1565">
        <f>K25/K3</f>
        <v>388.79575467454305</v>
      </c>
    </row>
    <row r="27" spans="2:12" ht="13.5" thickBot="1" x14ac:dyDescent="0.25">
      <c r="B27" s="2019" t="s">
        <v>28</v>
      </c>
      <c r="C27" s="2020"/>
      <c r="D27" s="2020"/>
      <c r="E27" s="2020"/>
      <c r="F27" s="2021"/>
      <c r="H27" s="1566" t="s">
        <v>2427</v>
      </c>
      <c r="I27" s="1567">
        <v>0.95</v>
      </c>
      <c r="J27" s="1568"/>
      <c r="K27" s="1569">
        <f>K26/I27</f>
        <v>409.25868913109798</v>
      </c>
    </row>
    <row r="28" spans="2:12" ht="13.5" thickBot="1" x14ac:dyDescent="0.25">
      <c r="B28" s="1570" t="s">
        <v>46</v>
      </c>
      <c r="C28" s="1571">
        <f>'[27]YouthRes  (FY26)'!C36</f>
        <v>0.24970000000000001</v>
      </c>
      <c r="D28" s="1572" t="s">
        <v>2428</v>
      </c>
      <c r="E28" s="1572"/>
      <c r="F28" s="1573"/>
      <c r="H28" s="1566" t="s">
        <v>2429</v>
      </c>
      <c r="I28" s="1567">
        <v>0.9</v>
      </c>
      <c r="J28" s="1568"/>
      <c r="K28" s="1574">
        <f>K26/I28</f>
        <v>431.99528297171446</v>
      </c>
    </row>
    <row r="29" spans="2:12" ht="13.5" thickBot="1" x14ac:dyDescent="0.25">
      <c r="B29" s="1545" t="s">
        <v>2430</v>
      </c>
      <c r="C29" s="1575">
        <f>('[27]TAYYA expenses FY21'!D17+'[27]TAYYA expenses FY21'!E17+'[27]TAYYA expenses FY21'!C34)*(1+2.78%)</f>
        <v>54.921163647478359</v>
      </c>
      <c r="D29" s="1501" t="s">
        <v>2409</v>
      </c>
      <c r="F29" s="1520"/>
      <c r="G29" s="1576"/>
      <c r="H29" s="1566" t="s">
        <v>2431</v>
      </c>
      <c r="I29" s="1567">
        <v>0.85</v>
      </c>
      <c r="J29" s="1568"/>
      <c r="K29" s="1569">
        <f>K26/I29</f>
        <v>457.4067702053448</v>
      </c>
    </row>
    <row r="30" spans="2:12" ht="13.5" thickBot="1" x14ac:dyDescent="0.25">
      <c r="B30" s="1545" t="s">
        <v>233</v>
      </c>
      <c r="C30" s="1533">
        <f>'[27]YouthRes  (FY26)'!C42</f>
        <v>0.12</v>
      </c>
      <c r="D30" s="1490" t="s">
        <v>2428</v>
      </c>
      <c r="F30" s="1520"/>
      <c r="G30" s="1577"/>
      <c r="H30" s="1566" t="s">
        <v>2432</v>
      </c>
      <c r="I30" s="1567">
        <v>0.8</v>
      </c>
      <c r="J30" s="1568"/>
      <c r="K30" s="1569">
        <f>K26/I30</f>
        <v>485.99469334317877</v>
      </c>
    </row>
    <row r="31" spans="2:12" ht="13.5" customHeight="1" thickBot="1" x14ac:dyDescent="0.25">
      <c r="B31" s="1578" t="s">
        <v>36</v>
      </c>
      <c r="C31" s="1568">
        <f>'[27]YouthRes  (FY26)'!C43</f>
        <v>3.2549514448865162E-2</v>
      </c>
      <c r="D31" s="1579" t="str">
        <f>'[27]YouthRes  (FY26)'!D43</f>
        <v xml:space="preserve"> Prospective FY26 &amp; FY27</v>
      </c>
      <c r="E31" s="1579"/>
      <c r="F31" s="1580"/>
      <c r="K31" s="1490">
        <v>397.89</v>
      </c>
      <c r="L31" s="1427">
        <f>(K28-K31)/K31</f>
        <v>8.5715355931826567E-2</v>
      </c>
    </row>
    <row r="35" spans="1:7" x14ac:dyDescent="0.2">
      <c r="B35" s="520"/>
      <c r="C35" s="520"/>
      <c r="D35" s="520"/>
      <c r="E35" s="520"/>
      <c r="F35" s="520"/>
    </row>
    <row r="36" spans="1:7" x14ac:dyDescent="0.2">
      <c r="B36" s="520"/>
      <c r="C36" s="520"/>
      <c r="D36" s="520"/>
      <c r="E36" s="520"/>
      <c r="F36" s="520"/>
    </row>
    <row r="37" spans="1:7" x14ac:dyDescent="0.2">
      <c r="B37" s="520"/>
      <c r="C37" s="520"/>
      <c r="D37" s="520"/>
      <c r="E37" s="520"/>
      <c r="F37" s="520"/>
    </row>
    <row r="38" spans="1:7" ht="15" customHeight="1" x14ac:dyDescent="0.2">
      <c r="A38" s="1583"/>
      <c r="B38" s="520"/>
      <c r="C38" s="520"/>
      <c r="D38" s="520"/>
      <c r="E38" s="520"/>
      <c r="F38" s="520"/>
      <c r="G38" s="1581"/>
    </row>
    <row r="39" spans="1:7" ht="20.25" customHeight="1" x14ac:dyDescent="0.2">
      <c r="B39" s="520"/>
      <c r="C39" s="520"/>
      <c r="D39" s="520"/>
      <c r="E39" s="520"/>
      <c r="F39" s="520"/>
      <c r="G39" s="1502"/>
    </row>
    <row r="40" spans="1:7" ht="20.25" customHeight="1" x14ac:dyDescent="0.2">
      <c r="C40" s="520"/>
      <c r="D40" s="520"/>
      <c r="E40" s="520"/>
      <c r="F40" s="520"/>
      <c r="G40" s="1502"/>
    </row>
    <row r="41" spans="1:7" ht="20.25" customHeight="1" x14ac:dyDescent="0.2">
      <c r="B41" s="520"/>
      <c r="C41" s="520"/>
      <c r="D41" s="520"/>
      <c r="E41" s="520"/>
      <c r="F41" s="520"/>
      <c r="G41" s="1502"/>
    </row>
    <row r="42" spans="1:7" ht="20.25" customHeight="1" x14ac:dyDescent="0.2">
      <c r="B42" s="520"/>
      <c r="C42" s="520"/>
      <c r="D42" s="520"/>
      <c r="E42" s="520"/>
      <c r="F42" s="520"/>
      <c r="G42" s="1502"/>
    </row>
    <row r="43" spans="1:7" ht="20.25" customHeight="1" x14ac:dyDescent="0.2">
      <c r="B43" s="520"/>
      <c r="C43" s="520"/>
      <c r="D43" s="520"/>
      <c r="E43" s="520"/>
      <c r="F43" s="520"/>
      <c r="G43" s="1502"/>
    </row>
    <row r="44" spans="1:7" ht="20.25" customHeight="1" x14ac:dyDescent="0.2">
      <c r="G44" s="1502"/>
    </row>
    <row r="51" spans="8:9" ht="15" customHeight="1" x14ac:dyDescent="0.2"/>
    <row r="52" spans="8:9" ht="18" customHeight="1" x14ac:dyDescent="0.2"/>
    <row r="53" spans="8:9" ht="18" customHeight="1" x14ac:dyDescent="0.2"/>
    <row r="54" spans="8:9" ht="18" customHeight="1" x14ac:dyDescent="0.2"/>
    <row r="55" spans="8:9" ht="18" customHeight="1" x14ac:dyDescent="0.2"/>
    <row r="56" spans="8:9" ht="18" customHeight="1" x14ac:dyDescent="0.2"/>
    <row r="57" spans="8:9" ht="15" customHeight="1" x14ac:dyDescent="0.2"/>
    <row r="63" spans="8:9" ht="15" customHeight="1" x14ac:dyDescent="0.2">
      <c r="H63" s="1484"/>
      <c r="I63" s="1489"/>
    </row>
    <row r="65" spans="7:9" x14ac:dyDescent="0.2">
      <c r="H65" s="1488"/>
      <c r="I65" s="1488"/>
    </row>
    <row r="66" spans="7:9" x14ac:dyDescent="0.2">
      <c r="H66" s="1488"/>
      <c r="I66" s="1582"/>
    </row>
    <row r="67" spans="7:9" x14ac:dyDescent="0.2">
      <c r="H67" s="1488"/>
      <c r="I67" s="1488"/>
    </row>
    <row r="71" spans="7:9" x14ac:dyDescent="0.2">
      <c r="G71" s="520"/>
    </row>
    <row r="72" spans="7:9" x14ac:dyDescent="0.2">
      <c r="G72" s="520"/>
    </row>
    <row r="73" spans="7:9" x14ac:dyDescent="0.2">
      <c r="G73" s="520"/>
    </row>
    <row r="74" spans="7:9" x14ac:dyDescent="0.2">
      <c r="G74" s="520"/>
    </row>
    <row r="75" spans="7:9" x14ac:dyDescent="0.2">
      <c r="G75" s="520"/>
    </row>
    <row r="76" spans="7:9" x14ac:dyDescent="0.2">
      <c r="G76" s="520"/>
    </row>
    <row r="77" spans="7:9" x14ac:dyDescent="0.2">
      <c r="G77" s="520"/>
    </row>
    <row r="78" spans="7:9" x14ac:dyDescent="0.2">
      <c r="G78" s="520"/>
    </row>
    <row r="79" spans="7:9" x14ac:dyDescent="0.2">
      <c r="G79" s="520"/>
    </row>
  </sheetData>
  <mergeCells count="4">
    <mergeCell ref="B2:F2"/>
    <mergeCell ref="H2:K2"/>
    <mergeCell ref="B15:F15"/>
    <mergeCell ref="B27:F27"/>
  </mergeCells>
  <pageMargins left="1" right="1" top="1" bottom="1" header="0.5" footer="0.5"/>
  <pageSetup orientation="portrait" r:id="rId1"/>
  <headerFooter alignWithMargins="0">
    <oddFooter>&amp;R&amp;F
&amp;A</oddFooter>
  </headerFooter>
  <rowBreaks count="1" manualBreakCount="1">
    <brk id="35" max="16383" man="1"/>
  </rowBreaks>
  <colBreaks count="1" manualBreakCount="1">
    <brk id="1" max="35" man="1"/>
  </col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01EE3-7A22-4394-8CBD-34A504EADB5E}">
  <sheetPr>
    <pageSetUpPr fitToPage="1"/>
  </sheetPr>
  <dimension ref="B1:R86"/>
  <sheetViews>
    <sheetView topLeftCell="A5" zoomScale="115" zoomScaleNormal="115" zoomScalePageLayoutView="85" workbookViewId="0">
      <selection activeCell="S32" sqref="S32"/>
    </sheetView>
  </sheetViews>
  <sheetFormatPr defaultColWidth="9.140625" defaultRowHeight="12.75" x14ac:dyDescent="0.2"/>
  <cols>
    <col min="1" max="1" width="9.140625" style="520"/>
    <col min="2" max="2" width="28.42578125" style="520" customWidth="1"/>
    <col min="3" max="3" width="11.7109375" style="520" customWidth="1"/>
    <col min="4" max="4" width="11.140625" style="520" customWidth="1"/>
    <col min="5" max="5" width="16.42578125" style="520" customWidth="1"/>
    <col min="6" max="6" width="0" style="520" hidden="1" customWidth="1"/>
    <col min="7" max="7" width="11.28515625" style="520" hidden="1" customWidth="1"/>
    <col min="8" max="8" width="11.28515625" style="520" customWidth="1"/>
    <col min="9" max="9" width="11" style="520" hidden="1" customWidth="1"/>
    <col min="10" max="10" width="11.42578125" style="520" hidden="1" customWidth="1"/>
    <col min="11" max="11" width="8.5703125" style="520" hidden="1" customWidth="1"/>
    <col min="12" max="12" width="32.140625" style="520" customWidth="1"/>
    <col min="13" max="13" width="15.140625" style="520" customWidth="1"/>
    <col min="14" max="14" width="11.140625" style="520" bestFit="1" customWidth="1"/>
    <col min="15" max="15" width="24.140625" style="520" customWidth="1"/>
    <col min="16" max="17" width="9.140625" style="520"/>
    <col min="18" max="18" width="9.85546875" style="520" bestFit="1" customWidth="1"/>
    <col min="19" max="16384" width="9.140625" style="520"/>
  </cols>
  <sheetData>
    <row r="1" spans="2:18" ht="21.75" customHeight="1" thickBot="1" x14ac:dyDescent="0.25"/>
    <row r="2" spans="2:18" ht="15.75" customHeight="1" thickBot="1" x14ac:dyDescent="0.25">
      <c r="B2" s="2022" t="s">
        <v>292</v>
      </c>
      <c r="C2" s="2023"/>
      <c r="D2" s="2023"/>
      <c r="E2" s="2023"/>
      <c r="F2" s="2023"/>
      <c r="G2" s="2024"/>
      <c r="L2" s="1491">
        <v>45701</v>
      </c>
    </row>
    <row r="3" spans="2:18" ht="20.25" customHeight="1" thickBot="1" x14ac:dyDescent="0.25">
      <c r="B3" s="1584" t="s">
        <v>2378</v>
      </c>
      <c r="C3" s="1585"/>
      <c r="D3" s="1584" t="s">
        <v>45</v>
      </c>
      <c r="E3" s="1585"/>
      <c r="F3" s="1586"/>
      <c r="G3" s="1585"/>
      <c r="L3" s="2025" t="s">
        <v>2379</v>
      </c>
      <c r="M3" s="2026"/>
      <c r="N3" s="2026"/>
      <c r="O3" s="2027"/>
    </row>
    <row r="4" spans="2:18" ht="12.75" customHeight="1" thickBot="1" x14ac:dyDescent="0.25">
      <c r="B4" s="724" t="s">
        <v>305</v>
      </c>
      <c r="C4" s="1587">
        <f>'[27]M2023 BLS Chart'!C22</f>
        <v>80829.631999999998</v>
      </c>
      <c r="D4" s="1521" t="s">
        <v>2380</v>
      </c>
      <c r="E4" s="1588"/>
      <c r="F4" s="1501"/>
      <c r="G4" s="1589"/>
      <c r="L4" s="2028"/>
      <c r="M4" s="2029"/>
      <c r="N4" s="2029"/>
      <c r="O4" s="2030"/>
    </row>
    <row r="5" spans="2:18" ht="12.75" customHeight="1" x14ac:dyDescent="0.2">
      <c r="B5" s="724" t="s">
        <v>2381</v>
      </c>
      <c r="C5" s="1590">
        <f>'[27]M2023 BLS Chart'!C14</f>
        <v>70211.44</v>
      </c>
      <c r="D5" s="1521" t="s">
        <v>2380</v>
      </c>
      <c r="E5" s="1588"/>
      <c r="F5" s="1501"/>
      <c r="G5" s="1589"/>
      <c r="L5" s="1591" t="s">
        <v>0</v>
      </c>
      <c r="M5" s="1592">
        <v>15</v>
      </c>
      <c r="N5" s="1593" t="s">
        <v>1</v>
      </c>
      <c r="O5" s="1594">
        <f>M5*365</f>
        <v>5475</v>
      </c>
    </row>
    <row r="6" spans="2:18" x14ac:dyDescent="0.2">
      <c r="B6" s="724" t="s">
        <v>424</v>
      </c>
      <c r="C6" s="1590">
        <f>'[27]M2023 BLS Chart'!C28</f>
        <v>101806.432</v>
      </c>
      <c r="D6" s="1521" t="s">
        <v>2380</v>
      </c>
      <c r="E6" s="1588"/>
      <c r="F6" s="1501"/>
      <c r="G6" s="1589"/>
      <c r="I6" s="520">
        <f>H6*Q6</f>
        <v>0</v>
      </c>
      <c r="L6" s="1595"/>
      <c r="M6" s="1596" t="s">
        <v>5</v>
      </c>
      <c r="N6" s="1596" t="s">
        <v>6</v>
      </c>
      <c r="O6" s="1597" t="s">
        <v>7</v>
      </c>
    </row>
    <row r="7" spans="2:18" ht="15.75" customHeight="1" thickBot="1" x14ac:dyDescent="0.25">
      <c r="B7" s="724" t="s">
        <v>634</v>
      </c>
      <c r="C7" s="1590">
        <f>'[27]M2023 BLS Chart'!C44</f>
        <v>247470</v>
      </c>
      <c r="D7" s="1521" t="s">
        <v>2380</v>
      </c>
      <c r="E7" s="1588"/>
      <c r="F7" s="1501"/>
      <c r="G7" s="1589"/>
      <c r="H7" s="1478"/>
      <c r="I7" s="1479">
        <f>H7*Q7</f>
        <v>0</v>
      </c>
      <c r="L7" s="1598" t="str">
        <f t="shared" ref="L7:M14" si="0">B4</f>
        <v>Program Director</v>
      </c>
      <c r="M7" s="1599">
        <f t="shared" si="0"/>
        <v>80829.631999999998</v>
      </c>
      <c r="N7" s="1600">
        <f t="shared" ref="N7:N14" si="1">C20</f>
        <v>1</v>
      </c>
      <c r="O7" s="1601">
        <f>N7*M7</f>
        <v>80829.631999999998</v>
      </c>
      <c r="R7" s="1480"/>
    </row>
    <row r="8" spans="2:18" ht="13.5" customHeight="1" thickTop="1" x14ac:dyDescent="0.2">
      <c r="B8" s="724" t="s">
        <v>2382</v>
      </c>
      <c r="C8" s="1590">
        <f>'[27]M2023 BLS Chart'!C14</f>
        <v>70211.44</v>
      </c>
      <c r="D8" s="1521" t="s">
        <v>2380</v>
      </c>
      <c r="E8" s="1588"/>
      <c r="F8" s="1501"/>
      <c r="G8" s="1589"/>
      <c r="H8" s="1478"/>
      <c r="I8" s="520">
        <f>SUM(I6:I7)</f>
        <v>0</v>
      </c>
      <c r="J8" s="1480" t="e">
        <f>(I8-#REF!)/I8</f>
        <v>#REF!</v>
      </c>
      <c r="L8" s="1521" t="str">
        <f t="shared" si="0"/>
        <v>Asst. Program Director</v>
      </c>
      <c r="M8" s="1602">
        <f t="shared" si="0"/>
        <v>70211.44</v>
      </c>
      <c r="N8" s="1603">
        <f t="shared" si="1"/>
        <v>1</v>
      </c>
      <c r="O8" s="1604">
        <f>N8*M8</f>
        <v>70211.44</v>
      </c>
      <c r="R8" s="1480"/>
    </row>
    <row r="9" spans="2:18" ht="13.5" customHeight="1" x14ac:dyDescent="0.2">
      <c r="B9" s="724" t="s">
        <v>2383</v>
      </c>
      <c r="C9" s="1590">
        <f>'[27]M2023 BLS Chart'!C8</f>
        <v>56217.241600000001</v>
      </c>
      <c r="D9" s="1521" t="s">
        <v>2380</v>
      </c>
      <c r="E9" s="1588"/>
      <c r="F9" s="1501"/>
      <c r="G9" s="1589"/>
      <c r="L9" s="1521" t="str">
        <f t="shared" si="0"/>
        <v>Clinical Director</v>
      </c>
      <c r="M9" s="1602">
        <f t="shared" si="0"/>
        <v>101806.432</v>
      </c>
      <c r="N9" s="1603">
        <f t="shared" si="1"/>
        <v>1</v>
      </c>
      <c r="O9" s="1604">
        <f t="shared" ref="O9:O21" si="2">N9*M9</f>
        <v>101806.432</v>
      </c>
      <c r="R9" s="1480"/>
    </row>
    <row r="10" spans="2:18" ht="13.5" customHeight="1" x14ac:dyDescent="0.2">
      <c r="B10" s="724" t="s">
        <v>2384</v>
      </c>
      <c r="C10" s="1590">
        <f>'[27]M2023 BLS Chart'!C32</f>
        <v>103622.27200000001</v>
      </c>
      <c r="D10" s="1521" t="s">
        <v>2380</v>
      </c>
      <c r="E10" s="1588"/>
      <c r="F10" s="1501"/>
      <c r="G10" s="1589"/>
      <c r="L10" s="1521" t="str">
        <f t="shared" si="0"/>
        <v>Psychiatry</v>
      </c>
      <c r="M10" s="1602">
        <f t="shared" si="0"/>
        <v>247470</v>
      </c>
      <c r="N10" s="1603">
        <f t="shared" si="1"/>
        <v>0.2</v>
      </c>
      <c r="O10" s="1604">
        <f t="shared" si="2"/>
        <v>49494</v>
      </c>
      <c r="R10" s="1480"/>
    </row>
    <row r="11" spans="2:18" ht="13.5" customHeight="1" x14ac:dyDescent="0.2">
      <c r="B11" s="724" t="s">
        <v>2385</v>
      </c>
      <c r="C11" s="1590">
        <f>50000*(1+2.78%)</f>
        <v>51390</v>
      </c>
      <c r="D11" s="1521" t="s">
        <v>2386</v>
      </c>
      <c r="E11" s="1588"/>
      <c r="F11" s="1501"/>
      <c r="G11" s="1589"/>
      <c r="L11" s="1521" t="str">
        <f t="shared" si="0"/>
        <v>Mental Health Professional (LMSW)</v>
      </c>
      <c r="M11" s="1602">
        <f t="shared" si="0"/>
        <v>70211.44</v>
      </c>
      <c r="N11" s="1603">
        <f t="shared" si="1"/>
        <v>2.5</v>
      </c>
      <c r="O11" s="1604">
        <f t="shared" si="2"/>
        <v>175528.6</v>
      </c>
      <c r="R11" s="1480"/>
    </row>
    <row r="12" spans="2:18" x14ac:dyDescent="0.2">
      <c r="B12" s="724" t="s">
        <v>2387</v>
      </c>
      <c r="C12" s="1590">
        <f>'[27]M2023 BLS Chart'!C6</f>
        <v>43247.567999999999</v>
      </c>
      <c r="D12" s="1521" t="s">
        <v>2380</v>
      </c>
      <c r="E12" s="1588"/>
      <c r="F12" s="1501"/>
      <c r="G12" s="1589"/>
      <c r="L12" s="1521" t="str">
        <f t="shared" si="0"/>
        <v>Recreational Therapist</v>
      </c>
      <c r="M12" s="1602">
        <f t="shared" si="0"/>
        <v>56217.241600000001</v>
      </c>
      <c r="N12" s="1603">
        <f t="shared" si="1"/>
        <v>1.4</v>
      </c>
      <c r="O12" s="1604">
        <f t="shared" si="2"/>
        <v>78704.13824</v>
      </c>
      <c r="R12" s="1480"/>
    </row>
    <row r="13" spans="2:18" x14ac:dyDescent="0.2">
      <c r="B13" s="724" t="s">
        <v>2388</v>
      </c>
      <c r="C13" s="1590">
        <f>'[27]M2023 BLS Chart'!C8</f>
        <v>56217.241600000001</v>
      </c>
      <c r="D13" s="1521" t="s">
        <v>2380</v>
      </c>
      <c r="E13" s="1588"/>
      <c r="F13" s="1501"/>
      <c r="G13" s="1589"/>
      <c r="L13" s="1521" t="str">
        <f t="shared" si="0"/>
        <v xml:space="preserve">Registered Nurse </v>
      </c>
      <c r="M13" s="1602">
        <f t="shared" si="0"/>
        <v>103622.27200000001</v>
      </c>
      <c r="N13" s="1603">
        <f t="shared" si="1"/>
        <v>0.7</v>
      </c>
      <c r="O13" s="1604">
        <f t="shared" si="2"/>
        <v>72535.590400000001</v>
      </c>
      <c r="R13" s="1480"/>
    </row>
    <row r="14" spans="2:18" ht="13.9" customHeight="1" x14ac:dyDescent="0.2">
      <c r="B14" s="724" t="s">
        <v>2389</v>
      </c>
      <c r="C14" s="1590">
        <f>'[27]M2023 BLS Chart'!C6</f>
        <v>43247.567999999999</v>
      </c>
      <c r="D14" s="1521" t="s">
        <v>2380</v>
      </c>
      <c r="E14" s="1588"/>
      <c r="F14" s="1501"/>
      <c r="G14" s="1589"/>
      <c r="L14" s="1521" t="str">
        <f t="shared" si="0"/>
        <v>Tutor</v>
      </c>
      <c r="M14" s="1602">
        <f t="shared" si="0"/>
        <v>51390</v>
      </c>
      <c r="N14" s="1603">
        <f t="shared" si="1"/>
        <v>0.75</v>
      </c>
      <c r="O14" s="1604">
        <f t="shared" si="2"/>
        <v>38542.5</v>
      </c>
      <c r="R14" s="1480"/>
    </row>
    <row r="15" spans="2:18" ht="13.9" customHeight="1" x14ac:dyDescent="0.2">
      <c r="B15" s="724" t="s">
        <v>2390</v>
      </c>
      <c r="C15" s="1590">
        <f>'[27]M2023 BLS Chart'!C6</f>
        <v>43247.567999999999</v>
      </c>
      <c r="D15" s="1521" t="s">
        <v>2380</v>
      </c>
      <c r="E15" s="1588"/>
      <c r="F15" s="1501"/>
      <c r="G15" s="1589"/>
      <c r="L15" s="1605" t="s">
        <v>2391</v>
      </c>
      <c r="M15" s="1606">
        <f>'[27]M2023 BLS Chart'!C8</f>
        <v>56217.241600000001</v>
      </c>
      <c r="N15" s="1607"/>
      <c r="O15" s="1608">
        <f t="shared" si="2"/>
        <v>0</v>
      </c>
      <c r="R15" s="1480"/>
    </row>
    <row r="16" spans="2:18" x14ac:dyDescent="0.2">
      <c r="B16" s="724" t="s">
        <v>2392</v>
      </c>
      <c r="C16" s="1590">
        <f>'[27]M2023 BLS Chart'!C6</f>
        <v>43247.567999999999</v>
      </c>
      <c r="D16" s="1521" t="s">
        <v>2380</v>
      </c>
      <c r="E16" s="1588"/>
      <c r="F16" s="1501"/>
      <c r="G16" s="1589"/>
      <c r="L16" s="1521" t="str">
        <f t="shared" ref="L16:M21" si="3">B12</f>
        <v>Educational Coordinator</v>
      </c>
      <c r="M16" s="1602">
        <f t="shared" si="3"/>
        <v>43247.567999999999</v>
      </c>
      <c r="N16" s="1603">
        <f t="shared" ref="N16:N21" si="4">C28</f>
        <v>0.5</v>
      </c>
      <c r="O16" s="1604">
        <f t="shared" si="2"/>
        <v>21623.784</v>
      </c>
      <c r="R16" s="1480"/>
    </row>
    <row r="17" spans="2:18" ht="15" customHeight="1" x14ac:dyDescent="0.2">
      <c r="B17" s="724" t="s">
        <v>2393</v>
      </c>
      <c r="C17" s="1590">
        <f>'[27]M2023 BLS Chart'!C6</f>
        <v>43247.567999999999</v>
      </c>
      <c r="D17" s="1521" t="s">
        <v>2380</v>
      </c>
      <c r="E17" s="1588"/>
      <c r="F17" s="1501"/>
      <c r="G17" s="1589"/>
      <c r="L17" s="1521" t="str">
        <f t="shared" si="3"/>
        <v>Residential Supervisor</v>
      </c>
      <c r="M17" s="1602">
        <f t="shared" si="3"/>
        <v>56217.241600000001</v>
      </c>
      <c r="N17" s="1603">
        <f t="shared" si="4"/>
        <v>1.8</v>
      </c>
      <c r="O17" s="1604">
        <f t="shared" si="2"/>
        <v>101191.03488000001</v>
      </c>
      <c r="R17" s="1480"/>
    </row>
    <row r="18" spans="2:18" ht="13.5" thickBot="1" x14ac:dyDescent="0.25">
      <c r="B18" s="724" t="s">
        <v>2394</v>
      </c>
      <c r="C18" s="1609">
        <f>C10</f>
        <v>103622.27200000001</v>
      </c>
      <c r="D18" s="1521" t="s">
        <v>2380</v>
      </c>
      <c r="E18" s="1588"/>
      <c r="F18" s="1501"/>
      <c r="G18" s="1589"/>
      <c r="L18" s="1521" t="str">
        <f t="shared" si="3"/>
        <v>Residential Staff</v>
      </c>
      <c r="M18" s="1602">
        <f t="shared" si="3"/>
        <v>43247.567999999999</v>
      </c>
      <c r="N18" s="1603">
        <f t="shared" si="4"/>
        <v>15.4</v>
      </c>
      <c r="O18" s="1604">
        <f t="shared" si="2"/>
        <v>666012.54720000003</v>
      </c>
      <c r="R18" s="1480"/>
    </row>
    <row r="19" spans="2:18" ht="13.5" thickBot="1" x14ac:dyDescent="0.25">
      <c r="B19" s="2031" t="s">
        <v>248</v>
      </c>
      <c r="C19" s="2032"/>
      <c r="D19" s="1610"/>
      <c r="E19" s="1611"/>
      <c r="F19" s="1610"/>
      <c r="G19" s="1612"/>
      <c r="L19" s="1521" t="str">
        <f t="shared" si="3"/>
        <v>Administrative Assistant</v>
      </c>
      <c r="M19" s="1602">
        <f t="shared" si="3"/>
        <v>43247.567999999999</v>
      </c>
      <c r="N19" s="1603">
        <f t="shared" si="4"/>
        <v>1</v>
      </c>
      <c r="O19" s="1604">
        <f t="shared" si="2"/>
        <v>43247.567999999999</v>
      </c>
      <c r="R19" s="1480"/>
    </row>
    <row r="20" spans="2:18" x14ac:dyDescent="0.2">
      <c r="B20" s="724" t="s">
        <v>305</v>
      </c>
      <c r="C20" s="1613">
        <v>1</v>
      </c>
      <c r="D20" s="1614" t="s">
        <v>2395</v>
      </c>
      <c r="E20" s="1588"/>
      <c r="F20" s="1501"/>
      <c r="G20" s="1589"/>
      <c r="L20" s="1521" t="str">
        <f t="shared" si="3"/>
        <v>Support Staff</v>
      </c>
      <c r="M20" s="1602">
        <f t="shared" si="3"/>
        <v>43247.567999999999</v>
      </c>
      <c r="N20" s="1603">
        <f t="shared" si="4"/>
        <v>1.5</v>
      </c>
      <c r="O20" s="1604">
        <f t="shared" si="2"/>
        <v>64871.351999999999</v>
      </c>
      <c r="R20" s="1480"/>
    </row>
    <row r="21" spans="2:18" x14ac:dyDescent="0.2">
      <c r="B21" s="724" t="s">
        <v>2381</v>
      </c>
      <c r="C21" s="1615">
        <v>1</v>
      </c>
      <c r="D21" s="1521" t="s">
        <v>2395</v>
      </c>
      <c r="E21" s="1588"/>
      <c r="F21" s="1501"/>
      <c r="G21" s="1589"/>
      <c r="L21" s="1616" t="str">
        <f t="shared" si="3"/>
        <v>Residential Staff relief</v>
      </c>
      <c r="M21" s="1617">
        <f t="shared" si="3"/>
        <v>43247.567999999999</v>
      </c>
      <c r="N21" s="1618">
        <f t="shared" si="4"/>
        <v>2.4300000000000002</v>
      </c>
      <c r="O21" s="1619">
        <f t="shared" si="2"/>
        <v>105091.59024</v>
      </c>
      <c r="R21" s="1480"/>
    </row>
    <row r="22" spans="2:18" x14ac:dyDescent="0.2">
      <c r="B22" s="724" t="s">
        <v>424</v>
      </c>
      <c r="C22" s="1615">
        <v>1</v>
      </c>
      <c r="D22" s="1521" t="s">
        <v>2395</v>
      </c>
      <c r="E22" s="1588"/>
      <c r="F22" s="1501"/>
      <c r="G22" s="1589"/>
      <c r="L22" s="1620" t="s">
        <v>20</v>
      </c>
      <c r="M22" s="1621"/>
      <c r="N22" s="1622">
        <f>SUM(N7:N21)</f>
        <v>31.18</v>
      </c>
      <c r="O22" s="1623">
        <f>SUM(O7:O21)</f>
        <v>1669690.20896</v>
      </c>
      <c r="R22" s="1480"/>
    </row>
    <row r="23" spans="2:18" x14ac:dyDescent="0.2">
      <c r="B23" s="724" t="s">
        <v>634</v>
      </c>
      <c r="C23" s="1615">
        <v>0.2</v>
      </c>
      <c r="D23" s="1521" t="s">
        <v>2395</v>
      </c>
      <c r="E23" s="1588"/>
      <c r="F23" s="1501"/>
      <c r="G23" s="1589"/>
      <c r="L23" s="1624"/>
      <c r="M23" s="1533"/>
      <c r="N23" s="1625"/>
      <c r="O23" s="1626"/>
    </row>
    <row r="24" spans="2:18" x14ac:dyDescent="0.2">
      <c r="B24" s="724" t="s">
        <v>2396</v>
      </c>
      <c r="C24" s="1615">
        <v>2.5</v>
      </c>
      <c r="D24" s="1521" t="s">
        <v>2395</v>
      </c>
      <c r="E24" s="1588"/>
      <c r="F24" s="1501"/>
      <c r="G24" s="1589"/>
      <c r="L24" s="1624" t="s">
        <v>23</v>
      </c>
      <c r="M24" s="1627">
        <f>C36</f>
        <v>0.24970000000000001</v>
      </c>
      <c r="N24" s="1501"/>
      <c r="O24" s="1626">
        <f>O22*M24</f>
        <v>416921.64517731202</v>
      </c>
    </row>
    <row r="25" spans="2:18" x14ac:dyDescent="0.2">
      <c r="B25" s="724" t="s">
        <v>2383</v>
      </c>
      <c r="C25" s="1615">
        <v>1.4</v>
      </c>
      <c r="D25" s="1521" t="s">
        <v>2395</v>
      </c>
      <c r="E25" s="1588"/>
      <c r="F25" s="1501"/>
      <c r="G25" s="1589"/>
      <c r="L25" s="1628" t="s">
        <v>24</v>
      </c>
      <c r="M25" s="1629"/>
      <c r="N25" s="1630"/>
      <c r="O25" s="1631">
        <f>O22+O24+O23</f>
        <v>2086611.8541373119</v>
      </c>
    </row>
    <row r="26" spans="2:18" x14ac:dyDescent="0.2">
      <c r="B26" s="724" t="s">
        <v>2352</v>
      </c>
      <c r="C26" s="1615">
        <v>0.7</v>
      </c>
      <c r="D26" s="1521" t="s">
        <v>2395</v>
      </c>
      <c r="E26" s="1588"/>
      <c r="F26" s="1501"/>
      <c r="G26" s="1589"/>
      <c r="L26" s="1624" t="str">
        <f>B37</f>
        <v>Staff Training (per FTE)</v>
      </c>
      <c r="M26" s="1501"/>
      <c r="N26" s="1602">
        <f>C37</f>
        <v>44.86347</v>
      </c>
      <c r="O26" s="1626">
        <f>N26*N22</f>
        <v>1398.8429945999999</v>
      </c>
      <c r="Q26" s="1480"/>
    </row>
    <row r="27" spans="2:18" x14ac:dyDescent="0.2">
      <c r="B27" s="724" t="s">
        <v>2385</v>
      </c>
      <c r="C27" s="1615">
        <v>0.75</v>
      </c>
      <c r="D27" s="1521" t="s">
        <v>2395</v>
      </c>
      <c r="E27" s="1588"/>
      <c r="F27" s="1501"/>
      <c r="G27" s="1589"/>
      <c r="L27" s="1624" t="str">
        <f>B38</f>
        <v>Transportation (per bed day)</v>
      </c>
      <c r="M27" s="1501"/>
      <c r="N27" s="1602">
        <f>C38</f>
        <v>3.371184</v>
      </c>
      <c r="O27" s="1626">
        <f>N27*O5</f>
        <v>18457.232400000001</v>
      </c>
      <c r="Q27" s="1480"/>
    </row>
    <row r="28" spans="2:18" x14ac:dyDescent="0.2">
      <c r="B28" s="724" t="s">
        <v>2387</v>
      </c>
      <c r="C28" s="1615">
        <v>0.5</v>
      </c>
      <c r="D28" s="1521" t="s">
        <v>2395</v>
      </c>
      <c r="E28" s="1588"/>
      <c r="F28" s="1501"/>
      <c r="G28" s="1589"/>
      <c r="L28" s="1624" t="str">
        <f>B39</f>
        <v>Inc Med/Med/Pharmacy (per bed day)</v>
      </c>
      <c r="M28" s="1501"/>
      <c r="N28" s="1602">
        <f>C39</f>
        <v>1.6033680000000001</v>
      </c>
      <c r="O28" s="1626">
        <f>N28*$O$5</f>
        <v>8778.4398000000001</v>
      </c>
      <c r="Q28" s="1480"/>
    </row>
    <row r="29" spans="2:18" x14ac:dyDescent="0.2">
      <c r="B29" s="724" t="s">
        <v>2388</v>
      </c>
      <c r="C29" s="1615">
        <v>1.8</v>
      </c>
      <c r="D29" s="1521" t="s">
        <v>2395</v>
      </c>
      <c r="E29" s="1588"/>
      <c r="F29" s="1501"/>
      <c r="G29" s="1589"/>
      <c r="L29" s="1624" t="str">
        <f>B40</f>
        <v>Program Supplies/Materials (per bed day)</v>
      </c>
      <c r="M29" s="1501"/>
      <c r="N29" s="1602">
        <f>C40</f>
        <v>3.3609060000000004</v>
      </c>
      <c r="O29" s="1626">
        <f>N29*$O$5</f>
        <v>18400.960350000001</v>
      </c>
      <c r="Q29" s="1480"/>
    </row>
    <row r="30" spans="2:18" x14ac:dyDescent="0.2">
      <c r="B30" s="724" t="s">
        <v>2397</v>
      </c>
      <c r="C30" s="1615">
        <v>15.4</v>
      </c>
      <c r="D30" s="1521" t="s">
        <v>2395</v>
      </c>
      <c r="E30" s="1588"/>
      <c r="F30" s="1501"/>
      <c r="G30" s="1589"/>
      <c r="L30" s="1624" t="str">
        <f>B41</f>
        <v>Other Program Expenses (per bed day)</v>
      </c>
      <c r="M30" s="1501"/>
      <c r="N30" s="1602">
        <f>C41</f>
        <v>45.315702000000009</v>
      </c>
      <c r="O30" s="1626">
        <f>N30*O5</f>
        <v>248103.46845000004</v>
      </c>
      <c r="Q30" s="1480"/>
    </row>
    <row r="31" spans="2:18" x14ac:dyDescent="0.2">
      <c r="B31" s="724" t="s">
        <v>2390</v>
      </c>
      <c r="C31" s="1615">
        <v>1</v>
      </c>
      <c r="D31" s="1521" t="s">
        <v>2395</v>
      </c>
      <c r="E31" s="1588"/>
      <c r="F31" s="1501"/>
      <c r="G31" s="1589"/>
      <c r="L31" s="1628" t="s">
        <v>29</v>
      </c>
      <c r="M31" s="1629"/>
      <c r="N31" s="1629"/>
      <c r="O31" s="1631">
        <f>SUM(O25)+SUM(O26:O30)</f>
        <v>2381750.798131912</v>
      </c>
      <c r="Q31" s="1480"/>
    </row>
    <row r="32" spans="2:18" x14ac:dyDescent="0.2">
      <c r="B32" s="724" t="s">
        <v>2392</v>
      </c>
      <c r="C32" s="1615">
        <v>1.5</v>
      </c>
      <c r="D32" s="1521" t="s">
        <v>2395</v>
      </c>
      <c r="E32" s="1588"/>
      <c r="F32" s="1501"/>
      <c r="G32" s="1589"/>
      <c r="L32" s="1624" t="s">
        <v>30</v>
      </c>
      <c r="M32" s="1627">
        <f>YouthRes!C42</f>
        <v>0.12</v>
      </c>
      <c r="N32" s="1501"/>
      <c r="O32" s="1626">
        <f>O31*M32</f>
        <v>285810.09577582945</v>
      </c>
    </row>
    <row r="33" spans="2:17" ht="13.5" thickBot="1" x14ac:dyDescent="0.25">
      <c r="B33" s="724" t="s">
        <v>2393</v>
      </c>
      <c r="C33" s="1615">
        <v>2.4300000000000002</v>
      </c>
      <c r="D33" s="1521" t="s">
        <v>2395</v>
      </c>
      <c r="E33" s="1588"/>
      <c r="F33" s="1501"/>
      <c r="G33" s="1589"/>
      <c r="L33" s="1632" t="s">
        <v>31</v>
      </c>
      <c r="M33" s="1633"/>
      <c r="N33" s="1633"/>
      <c r="O33" s="1634">
        <f>O31+O32</f>
        <v>2667560.8939077416</v>
      </c>
    </row>
    <row r="34" spans="2:17" ht="14.25" thickTop="1" thickBot="1" x14ac:dyDescent="0.25">
      <c r="B34" s="724" t="s">
        <v>2394</v>
      </c>
      <c r="C34" s="1635">
        <v>0.3</v>
      </c>
      <c r="D34" s="1636" t="s">
        <v>2395</v>
      </c>
      <c r="E34" s="1588"/>
      <c r="F34" s="1501"/>
      <c r="G34" s="1589"/>
      <c r="L34" s="1624" t="s">
        <v>179</v>
      </c>
      <c r="M34" s="1627">
        <f>C43</f>
        <v>3.2549514448865162E-2</v>
      </c>
      <c r="N34" s="1501"/>
      <c r="O34" s="1637">
        <f>(O33)*(M34)</f>
        <v>86827.811859477704</v>
      </c>
      <c r="Q34" s="1481"/>
    </row>
    <row r="35" spans="2:17" ht="13.5" thickBot="1" x14ac:dyDescent="0.25">
      <c r="B35" s="2033" t="s">
        <v>28</v>
      </c>
      <c r="C35" s="2034"/>
      <c r="D35" s="1638"/>
      <c r="E35" s="1639"/>
      <c r="F35" s="1638"/>
      <c r="G35" s="1640"/>
      <c r="L35" s="1632" t="s">
        <v>31</v>
      </c>
      <c r="M35" s="1633"/>
      <c r="N35" s="1633"/>
      <c r="O35" s="1634">
        <f>O33+O34</f>
        <v>2754388.7057672194</v>
      </c>
    </row>
    <row r="36" spans="2:17" ht="14.25" thickTop="1" thickBot="1" x14ac:dyDescent="0.25">
      <c r="B36" s="1641" t="s">
        <v>23</v>
      </c>
      <c r="C36" s="1642">
        <f>'[27]M2023 BLS Chart'!C38</f>
        <v>0.24970000000000001</v>
      </c>
      <c r="D36" s="1643" t="s">
        <v>234</v>
      </c>
      <c r="E36" s="1644"/>
      <c r="F36" s="1643"/>
      <c r="G36" s="1645"/>
      <c r="I36" s="520" t="s">
        <v>2398</v>
      </c>
      <c r="J36" s="520" t="s">
        <v>2398</v>
      </c>
      <c r="K36" s="520" t="s">
        <v>2398</v>
      </c>
      <c r="L36" s="1624" t="s">
        <v>2399</v>
      </c>
      <c r="M36" s="1646"/>
      <c r="N36" s="1647"/>
      <c r="O36" s="1648">
        <f>O35/O5</f>
        <v>503.08469511730033</v>
      </c>
    </row>
    <row r="37" spans="2:17" ht="13.5" thickBot="1" x14ac:dyDescent="0.25">
      <c r="B37" s="724" t="s">
        <v>2400</v>
      </c>
      <c r="C37" s="1649">
        <f>43.65*(1+2.78%)</f>
        <v>44.86347</v>
      </c>
      <c r="D37" s="1501" t="s">
        <v>2401</v>
      </c>
      <c r="E37" s="1588"/>
      <c r="F37" s="1501"/>
      <c r="G37" s="1589"/>
      <c r="L37" s="1650" t="s">
        <v>2402</v>
      </c>
      <c r="M37" s="1651">
        <v>0.9</v>
      </c>
      <c r="N37" s="1652"/>
      <c r="O37" s="1653">
        <f>$O$36/M37</f>
        <v>558.9829945747781</v>
      </c>
    </row>
    <row r="38" spans="2:17" ht="13.5" thickBot="1" x14ac:dyDescent="0.25">
      <c r="B38" s="724" t="s">
        <v>2403</v>
      </c>
      <c r="C38" s="1649">
        <f>3.28*(1+2.78%)</f>
        <v>3.371184</v>
      </c>
      <c r="D38" s="1501" t="s">
        <v>2401</v>
      </c>
      <c r="E38" s="1588"/>
      <c r="F38" s="1501"/>
      <c r="G38" s="1589"/>
      <c r="L38" s="1650" t="s">
        <v>2402</v>
      </c>
      <c r="M38" s="1651">
        <v>0.85</v>
      </c>
      <c r="O38" s="1654">
        <f>O36/M38</f>
        <v>591.86434719682393</v>
      </c>
      <c r="Q38" s="1482"/>
    </row>
    <row r="39" spans="2:17" ht="13.5" thickBot="1" x14ac:dyDescent="0.25">
      <c r="B39" s="724" t="s">
        <v>2404</v>
      </c>
      <c r="C39" s="1649">
        <f>1.56*(1+2.78%)</f>
        <v>1.6033680000000001</v>
      </c>
      <c r="D39" s="1501" t="s">
        <v>2401</v>
      </c>
      <c r="E39" s="1588"/>
      <c r="F39" s="1501"/>
      <c r="G39" s="1589"/>
      <c r="L39" s="1650" t="s">
        <v>2402</v>
      </c>
      <c r="M39" s="1651">
        <v>0.8</v>
      </c>
      <c r="N39" s="1655"/>
      <c r="O39" s="1656">
        <f>$O$36/M39</f>
        <v>628.85586889662534</v>
      </c>
    </row>
    <row r="40" spans="2:17" ht="15.75" customHeight="1" x14ac:dyDescent="0.2">
      <c r="B40" s="724" t="s">
        <v>2405</v>
      </c>
      <c r="C40" s="1649">
        <f>3.27*(1+2.78%)</f>
        <v>3.3609060000000004</v>
      </c>
      <c r="D40" s="1501" t="s">
        <v>2406</v>
      </c>
      <c r="E40" s="1588"/>
      <c r="F40" s="1501"/>
      <c r="G40" s="1589"/>
      <c r="N40" s="520" t="s">
        <v>2407</v>
      </c>
      <c r="O40" s="1483">
        <v>523.57000000000005</v>
      </c>
      <c r="P40" s="1478">
        <f>(O37-O40)/O40</f>
        <v>6.7637554815551032E-2</v>
      </c>
    </row>
    <row r="41" spans="2:17" ht="15.75" customHeight="1" x14ac:dyDescent="0.2">
      <c r="B41" s="724" t="s">
        <v>2408</v>
      </c>
      <c r="C41" s="1649">
        <f>44.09*(1+2.78%)</f>
        <v>45.315702000000009</v>
      </c>
      <c r="D41" s="1501" t="s">
        <v>2409</v>
      </c>
      <c r="E41" s="1588"/>
      <c r="F41" s="1501"/>
      <c r="G41" s="1589"/>
      <c r="P41" s="1480">
        <f>(O38-O40)/O40</f>
        <v>0.13043976392234824</v>
      </c>
    </row>
    <row r="42" spans="2:17" ht="17.25" customHeight="1" x14ac:dyDescent="0.2">
      <c r="B42" s="1624" t="s">
        <v>30</v>
      </c>
      <c r="C42" s="1657">
        <f>'[27]M2023 BLS Chart'!C41</f>
        <v>0.12</v>
      </c>
      <c r="D42" s="1501" t="s">
        <v>234</v>
      </c>
      <c r="E42" s="1588"/>
      <c r="F42" s="1501"/>
      <c r="G42" s="1589"/>
    </row>
    <row r="43" spans="2:17" ht="13.5" thickBot="1" x14ac:dyDescent="0.25">
      <c r="B43" s="1658" t="s">
        <v>36</v>
      </c>
      <c r="C43" s="1659">
        <f>'[27]CAF Fall 2024'!CQ28</f>
        <v>3.2549514448865162E-2</v>
      </c>
      <c r="D43" s="1579" t="s">
        <v>2410</v>
      </c>
      <c r="E43" s="1660"/>
      <c r="F43" s="1661"/>
      <c r="G43" s="1662"/>
    </row>
    <row r="59" ht="12.75" customHeight="1" x14ac:dyDescent="0.2"/>
    <row r="75" spans="8:14" ht="12.75" customHeight="1" x14ac:dyDescent="0.2">
      <c r="M75" s="1484"/>
      <c r="N75" s="1484"/>
    </row>
    <row r="76" spans="8:14" ht="15" customHeight="1" x14ac:dyDescent="0.2">
      <c r="H76" s="2035" t="s">
        <v>2411</v>
      </c>
      <c r="I76" s="2036"/>
      <c r="J76" s="2036"/>
      <c r="K76" s="2036"/>
      <c r="L76" s="2036"/>
      <c r="M76" s="1485"/>
      <c r="N76" s="1663"/>
    </row>
    <row r="77" spans="8:14" ht="13.15" customHeight="1" x14ac:dyDescent="0.2">
      <c r="H77" s="1482">
        <f>'[27]Youth Resi expenses FY23'!C33</f>
        <v>22.183023305537738</v>
      </c>
      <c r="J77" s="1484" t="s">
        <v>2412</v>
      </c>
      <c r="K77" s="1484" t="s">
        <v>2413</v>
      </c>
      <c r="L77" s="1486" t="s">
        <v>429</v>
      </c>
      <c r="M77" s="1487"/>
      <c r="N77" s="1663"/>
    </row>
    <row r="78" spans="8:14" ht="15" customHeight="1" x14ac:dyDescent="0.2">
      <c r="H78" s="1488">
        <f>'[27]Youth Resi expenses FY23'!F17</f>
        <v>2.3894045662100458</v>
      </c>
      <c r="I78" s="1486">
        <f>'[28]3470 Youth RESI Tayya Expenses'!B60</f>
        <v>108360.14285714286</v>
      </c>
      <c r="J78" s="1485">
        <f>O5</f>
        <v>5475</v>
      </c>
      <c r="K78" s="1664">
        <f>I78/J78</f>
        <v>19.79180691454664</v>
      </c>
      <c r="L78" s="1486" t="s">
        <v>429</v>
      </c>
      <c r="M78" s="1485"/>
      <c r="N78" s="1663"/>
    </row>
    <row r="79" spans="8:14" x14ac:dyDescent="0.2">
      <c r="H79" s="1488">
        <v>0</v>
      </c>
      <c r="I79" s="1486">
        <f>'[28]3470 Youth RESI Tayya Expenses'!B29</f>
        <v>2429.6666666666665</v>
      </c>
      <c r="J79" s="1487">
        <f>N22</f>
        <v>31.18</v>
      </c>
      <c r="K79" s="1664">
        <f t="shared" ref="K79:K83" si="5">I79/J79</f>
        <v>77.92388283087449</v>
      </c>
      <c r="L79" s="1486" t="s">
        <v>429</v>
      </c>
      <c r="M79" s="1485"/>
      <c r="N79" s="1663"/>
    </row>
    <row r="80" spans="8:14" x14ac:dyDescent="0.2">
      <c r="H80" s="1488">
        <v>4.3899999999999997</v>
      </c>
      <c r="I80" s="1486">
        <f>'[28]3470 Youth RESI Tayya Expenses'!F13</f>
        <v>16501.428571428572</v>
      </c>
      <c r="J80" s="1485">
        <f>O5</f>
        <v>5475</v>
      </c>
      <c r="K80" s="1664">
        <f t="shared" si="5"/>
        <v>3.0139595564253101</v>
      </c>
      <c r="L80" s="1486" t="s">
        <v>429</v>
      </c>
      <c r="M80" s="1485"/>
      <c r="N80" s="1663"/>
    </row>
    <row r="81" spans="2:14" x14ac:dyDescent="0.2">
      <c r="H81" s="1488">
        <v>23.77</v>
      </c>
      <c r="I81" s="1486">
        <f>'[28]3470 Youth RESI Tayya Expenses'!B44</f>
        <v>41809.4</v>
      </c>
      <c r="J81" s="1485">
        <f>O5</f>
        <v>5475</v>
      </c>
      <c r="K81" s="1664">
        <f t="shared" si="5"/>
        <v>7.6364200913242009</v>
      </c>
      <c r="L81" s="1486" t="s">
        <v>429</v>
      </c>
      <c r="M81" s="1485"/>
      <c r="N81" s="1663"/>
    </row>
    <row r="82" spans="2:14" x14ac:dyDescent="0.2">
      <c r="H82" s="1488"/>
      <c r="I82" s="1486">
        <f>'[28]3470 Youth RESI Tayya Expenses'!B77</f>
        <v>2839</v>
      </c>
      <c r="J82" s="1485">
        <f>O5</f>
        <v>5475</v>
      </c>
      <c r="K82" s="1664">
        <f t="shared" si="5"/>
        <v>0.51853881278538816</v>
      </c>
      <c r="L82" s="1482"/>
      <c r="M82" s="1487"/>
      <c r="N82" s="1663"/>
    </row>
    <row r="83" spans="2:14" x14ac:dyDescent="0.2">
      <c r="H83" s="1488"/>
      <c r="I83" s="1486">
        <f>'[28]3470 Youth RESI Tayya Expenses'!B93</f>
        <v>14617.857142857143</v>
      </c>
      <c r="J83" s="1485">
        <f>O5</f>
        <v>5475</v>
      </c>
      <c r="K83" s="1664">
        <f t="shared" si="5"/>
        <v>2.6699282452707109</v>
      </c>
    </row>
    <row r="84" spans="2:14" x14ac:dyDescent="0.2">
      <c r="I84" s="1482">
        <f>'[28]3470 Youth RESI Tayya Expenses'!B111</f>
        <v>4458.75</v>
      </c>
      <c r="J84" s="1485">
        <f>O5</f>
        <v>5475</v>
      </c>
      <c r="K84" s="1664">
        <f>I84/J84</f>
        <v>0.81438356164383563</v>
      </c>
      <c r="L84" s="1663"/>
    </row>
    <row r="85" spans="2:14" x14ac:dyDescent="0.2">
      <c r="B85" s="1490"/>
    </row>
    <row r="86" spans="2:14" ht="13.5" customHeight="1" x14ac:dyDescent="0.2"/>
  </sheetData>
  <mergeCells count="5">
    <mergeCell ref="B2:G2"/>
    <mergeCell ref="L3:O4"/>
    <mergeCell ref="B19:C19"/>
    <mergeCell ref="B35:C35"/>
    <mergeCell ref="H76:L76"/>
  </mergeCells>
  <pageMargins left="0.25" right="0.25" top="0.75" bottom="0.75" header="0.3" footer="0.3"/>
  <pageSetup scale="79" orientation="portrait" r:id="rId1"/>
  <headerFooter>
    <oddFooter>&amp;R&amp;F
&amp;A</oddFooter>
  </headerFooter>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44FC2-C656-40BE-B4C9-42C16480ABAE}">
  <sheetPr>
    <pageSetUpPr fitToPage="1"/>
  </sheetPr>
  <dimension ref="B1:AA112"/>
  <sheetViews>
    <sheetView zoomScaleNormal="100" zoomScaleSheetLayoutView="110" workbookViewId="0">
      <selection activeCell="K39" sqref="K39"/>
    </sheetView>
  </sheetViews>
  <sheetFormatPr defaultColWidth="9.140625" defaultRowHeight="12.75" x14ac:dyDescent="0.2"/>
  <cols>
    <col min="1" max="1" width="9.140625" style="383"/>
    <col min="2" max="2" width="31.85546875" style="383" customWidth="1"/>
    <col min="3" max="3" width="6.5703125" style="384" customWidth="1"/>
    <col min="4" max="4" width="19.28515625" style="383" customWidth="1"/>
    <col min="5" max="5" width="10.85546875" style="383" customWidth="1"/>
    <col min="6" max="6" width="16.42578125" style="383" customWidth="1"/>
    <col min="7" max="7" width="15.140625" style="1470" customWidth="1"/>
    <col min="8" max="8" width="15.140625" style="1470" hidden="1" customWidth="1"/>
    <col min="9" max="10" width="15.140625" style="1435" hidden="1" customWidth="1"/>
    <col min="11" max="11" width="20.42578125" style="1470" customWidth="1"/>
    <col min="12" max="12" width="10.140625" style="1427" bestFit="1" customWidth="1"/>
    <col min="13" max="16384" width="9.140625" style="383"/>
  </cols>
  <sheetData>
    <row r="1" spans="2:11" s="1427" customFormat="1" x14ac:dyDescent="0.2">
      <c r="B1" s="2037" t="s">
        <v>2334</v>
      </c>
      <c r="C1" s="2038"/>
      <c r="D1" s="2038"/>
      <c r="E1" s="2038"/>
      <c r="F1" s="2038"/>
      <c r="G1" s="2041" t="s">
        <v>2335</v>
      </c>
      <c r="H1" s="1426" t="s">
        <v>2336</v>
      </c>
      <c r="I1" s="1426" t="s">
        <v>2337</v>
      </c>
      <c r="J1" s="1426"/>
      <c r="K1" s="1426"/>
    </row>
    <row r="2" spans="2:11" s="1427" customFormat="1" ht="27" customHeight="1" thickBot="1" x14ac:dyDescent="0.25">
      <c r="B2" s="2039"/>
      <c r="C2" s="2040"/>
      <c r="D2" s="2040"/>
      <c r="E2" s="2040"/>
      <c r="F2" s="2040"/>
      <c r="G2" s="2042"/>
      <c r="H2" s="1428"/>
      <c r="I2" s="1428"/>
      <c r="J2" s="1428"/>
      <c r="K2" s="1428"/>
    </row>
    <row r="3" spans="2:11" s="1427" customFormat="1" x14ac:dyDescent="0.2">
      <c r="B3" s="1187" t="s">
        <v>0</v>
      </c>
      <c r="C3" s="1180">
        <v>12</v>
      </c>
      <c r="D3" s="1183"/>
      <c r="E3" s="1183" t="s">
        <v>1</v>
      </c>
      <c r="F3" s="1429">
        <f>C3*365</f>
        <v>4380</v>
      </c>
      <c r="G3" s="1430" t="s">
        <v>2338</v>
      </c>
      <c r="H3" s="1431"/>
      <c r="I3" s="1431"/>
      <c r="J3" s="1431"/>
      <c r="K3" s="1431"/>
    </row>
    <row r="4" spans="2:11" s="1427" customFormat="1" x14ac:dyDescent="0.2">
      <c r="B4" s="1432"/>
      <c r="C4" s="1433"/>
      <c r="D4" s="1433" t="s">
        <v>2339</v>
      </c>
      <c r="E4" s="1433" t="s">
        <v>6</v>
      </c>
      <c r="F4" s="1433" t="s">
        <v>7</v>
      </c>
      <c r="G4" s="1434"/>
      <c r="H4" s="1435"/>
      <c r="I4" s="1435"/>
      <c r="J4" s="1435"/>
      <c r="K4" s="1435"/>
    </row>
    <row r="5" spans="2:11" s="1427" customFormat="1" x14ac:dyDescent="0.2">
      <c r="B5" s="731" t="s">
        <v>9</v>
      </c>
      <c r="C5" s="1190"/>
      <c r="D5" s="1184">
        <f>'[29]Master Data'!D13</f>
        <v>80829.631999999998</v>
      </c>
      <c r="E5" s="1190">
        <f>'[29]Master Data'!E36</f>
        <v>2</v>
      </c>
      <c r="F5" s="1436">
        <f>D5*E5</f>
        <v>161659.264</v>
      </c>
      <c r="G5" s="1434"/>
      <c r="H5" s="1435"/>
      <c r="I5" s="1435"/>
      <c r="J5" s="1435"/>
      <c r="K5" s="1435"/>
    </row>
    <row r="6" spans="2:11" s="1427" customFormat="1" x14ac:dyDescent="0.2">
      <c r="B6" s="731" t="s">
        <v>13</v>
      </c>
      <c r="C6" s="1190"/>
      <c r="D6" s="383"/>
      <c r="E6" s="1190"/>
      <c r="F6" s="1436"/>
      <c r="G6" s="1434"/>
      <c r="H6" s="1435"/>
      <c r="I6" s="1435"/>
      <c r="J6" s="1435"/>
      <c r="K6" s="1435"/>
    </row>
    <row r="7" spans="2:11" s="1427" customFormat="1" x14ac:dyDescent="0.2">
      <c r="B7" s="724" t="s">
        <v>2340</v>
      </c>
      <c r="C7" s="1190"/>
      <c r="D7" s="1184">
        <f>'[29]Master Data'!D15</f>
        <v>247470</v>
      </c>
      <c r="E7" s="1190">
        <f>'[29]Master Data'!E38</f>
        <v>0.5</v>
      </c>
      <c r="F7" s="1436">
        <f t="shared" ref="F7:F21" si="0">D7*E7</f>
        <v>123735</v>
      </c>
      <c r="G7" s="1434"/>
      <c r="H7" s="1435"/>
      <c r="I7" s="1435"/>
      <c r="J7" s="1435"/>
      <c r="K7" s="1435"/>
    </row>
    <row r="8" spans="2:11" s="1427" customFormat="1" x14ac:dyDescent="0.2">
      <c r="B8" s="1437"/>
      <c r="C8" s="1190"/>
      <c r="D8" s="1184"/>
      <c r="E8" s="1190"/>
      <c r="F8" s="1436"/>
      <c r="G8" s="1434"/>
      <c r="H8" s="1435"/>
      <c r="I8" s="1435"/>
      <c r="J8" s="1435"/>
      <c r="K8" s="1435"/>
    </row>
    <row r="9" spans="2:11" s="1427" customFormat="1" x14ac:dyDescent="0.2">
      <c r="B9" s="383" t="s">
        <v>2341</v>
      </c>
      <c r="C9" s="1190"/>
      <c r="D9" s="1184">
        <f>'[29]Master Data'!D17</f>
        <v>118508.74880000002</v>
      </c>
      <c r="E9" s="1190">
        <f>'[29]Master Data'!E40</f>
        <v>2.75</v>
      </c>
      <c r="F9" s="1436">
        <f t="shared" si="0"/>
        <v>325899.05920000002</v>
      </c>
      <c r="G9" s="1434"/>
      <c r="H9" s="1435"/>
      <c r="I9" s="1435"/>
      <c r="J9" s="1435"/>
      <c r="K9" s="1435"/>
    </row>
    <row r="10" spans="2:11" s="1427" customFormat="1" x14ac:dyDescent="0.2">
      <c r="B10" s="724" t="s">
        <v>19</v>
      </c>
      <c r="C10" s="1190"/>
      <c r="D10" s="1184">
        <f>'[29]Master Data'!D18</f>
        <v>82681.040000000008</v>
      </c>
      <c r="E10" s="1190">
        <f>'[29]Master Data'!E41</f>
        <v>1.5</v>
      </c>
      <c r="F10" s="1436">
        <f t="shared" si="0"/>
        <v>124021.56000000001</v>
      </c>
      <c r="G10" s="1434"/>
      <c r="H10" s="1435"/>
      <c r="I10" s="1435"/>
      <c r="J10" s="1435"/>
      <c r="K10" s="1435"/>
    </row>
    <row r="11" spans="2:11" s="1427" customFormat="1" x14ac:dyDescent="0.2">
      <c r="B11" s="724" t="s">
        <v>2342</v>
      </c>
      <c r="C11" s="1190"/>
      <c r="D11" s="1184">
        <f>'[29]Master Data'!D19</f>
        <v>83639.712</v>
      </c>
      <c r="E11" s="1190">
        <f>'[29]Master Data'!E42</f>
        <v>3</v>
      </c>
      <c r="F11" s="1436">
        <f t="shared" si="0"/>
        <v>250919.136</v>
      </c>
      <c r="G11" s="1434"/>
      <c r="H11" s="1435"/>
      <c r="I11" s="1435"/>
      <c r="J11" s="1435"/>
      <c r="K11" s="1435"/>
    </row>
    <row r="12" spans="2:11" s="1427" customFormat="1" x14ac:dyDescent="0.2">
      <c r="B12" s="724" t="s">
        <v>2343</v>
      </c>
      <c r="C12" s="1190"/>
      <c r="D12" s="1184">
        <f>'[29]Master Data'!D20</f>
        <v>70211.44</v>
      </c>
      <c r="E12" s="1190">
        <f>'[29]Master Data'!E43</f>
        <v>2</v>
      </c>
      <c r="F12" s="1436">
        <f t="shared" si="0"/>
        <v>140422.88</v>
      </c>
      <c r="G12" s="1434"/>
      <c r="H12" s="1435"/>
      <c r="I12" s="1435"/>
      <c r="J12" s="1435"/>
      <c r="K12" s="1435"/>
    </row>
    <row r="13" spans="2:11" s="1427" customFormat="1" x14ac:dyDescent="0.2">
      <c r="B13" s="731" t="s">
        <v>18</v>
      </c>
      <c r="C13" s="1190"/>
      <c r="D13" s="383"/>
      <c r="E13" s="1190"/>
      <c r="F13" s="1436"/>
      <c r="G13" s="1434"/>
      <c r="H13" s="1435"/>
      <c r="I13" s="1435"/>
      <c r="J13" s="1435"/>
      <c r="K13" s="1435"/>
    </row>
    <row r="14" spans="2:11" s="1427" customFormat="1" x14ac:dyDescent="0.2">
      <c r="B14" s="724" t="s">
        <v>2344</v>
      </c>
      <c r="C14" s="1190"/>
      <c r="D14" s="1184">
        <f>'[29]Master Data'!D22</f>
        <v>70211.44</v>
      </c>
      <c r="E14" s="1190">
        <f>'[29]Master Data'!E45</f>
        <v>0.18</v>
      </c>
      <c r="F14" s="1436">
        <f t="shared" si="0"/>
        <v>12638.0592</v>
      </c>
      <c r="G14" s="1434"/>
      <c r="H14" s="1435"/>
      <c r="I14" s="1435"/>
      <c r="J14" s="1435"/>
      <c r="K14" s="1435"/>
    </row>
    <row r="15" spans="2:11" s="1427" customFormat="1" x14ac:dyDescent="0.2">
      <c r="B15" s="724" t="s">
        <v>2345</v>
      </c>
      <c r="C15" s="1190"/>
      <c r="D15" s="1184">
        <f>'[29]Master Data'!D23</f>
        <v>43247.567999999999</v>
      </c>
      <c r="E15" s="1190">
        <f>'[29]Master Data'!E46</f>
        <v>1</v>
      </c>
      <c r="F15" s="1436">
        <f t="shared" si="0"/>
        <v>43247.567999999999</v>
      </c>
      <c r="G15" s="1434"/>
      <c r="H15" s="1435"/>
      <c r="I15" s="1435"/>
      <c r="J15" s="1435"/>
      <c r="K15" s="1435"/>
    </row>
    <row r="16" spans="2:11" s="1427" customFormat="1" x14ac:dyDescent="0.2">
      <c r="B16" s="724" t="s">
        <v>2346</v>
      </c>
      <c r="C16" s="1190"/>
      <c r="D16" s="1184">
        <f>'[29]Master Data'!D24</f>
        <v>64438.399999999994</v>
      </c>
      <c r="E16" s="1190">
        <f>'[29]Master Data'!E47</f>
        <v>1</v>
      </c>
      <c r="F16" s="1436">
        <f t="shared" si="0"/>
        <v>64438.399999999994</v>
      </c>
      <c r="G16" s="1434"/>
      <c r="H16" s="1435"/>
      <c r="I16" s="1435"/>
      <c r="J16" s="1435"/>
      <c r="K16" s="1435"/>
    </row>
    <row r="17" spans="2:24" x14ac:dyDescent="0.2">
      <c r="B17" s="724" t="s">
        <v>2347</v>
      </c>
      <c r="C17" s="1190"/>
      <c r="D17" s="1184">
        <f>'[29]Master Data'!D25</f>
        <v>56217.241600000001</v>
      </c>
      <c r="E17" s="1190">
        <f>'[29]Master Data'!E48</f>
        <v>24</v>
      </c>
      <c r="F17" s="1436">
        <f t="shared" si="0"/>
        <v>1349213.7984</v>
      </c>
      <c r="G17" s="1434"/>
      <c r="H17" s="1435"/>
      <c r="K17" s="1435"/>
    </row>
    <row r="18" spans="2:24" x14ac:dyDescent="0.2">
      <c r="B18" s="1438" t="s">
        <v>2348</v>
      </c>
      <c r="C18" s="1190"/>
      <c r="D18" s="1184">
        <f>'[29]Master Data'!D26</f>
        <v>56217.241600000001</v>
      </c>
      <c r="E18" s="1190">
        <f>'[29]Master Data'!E49</f>
        <v>4.774923076923077</v>
      </c>
      <c r="F18" s="1436">
        <f t="shared" si="0"/>
        <v>268433.00423680001</v>
      </c>
      <c r="G18" s="1434"/>
      <c r="H18" s="1435"/>
      <c r="K18" s="1435"/>
    </row>
    <row r="19" spans="2:24" x14ac:dyDescent="0.2">
      <c r="B19" s="724" t="s">
        <v>2349</v>
      </c>
      <c r="C19" s="1190"/>
      <c r="D19" s="1184">
        <f>'[29]Master Data'!D28</f>
        <v>43247.567999999999</v>
      </c>
      <c r="E19" s="1190">
        <f>'[29]Master Data'!E50</f>
        <v>1.5</v>
      </c>
      <c r="F19" s="1436">
        <f t="shared" si="0"/>
        <v>64871.351999999999</v>
      </c>
      <c r="G19" s="1434"/>
      <c r="H19" s="1435"/>
      <c r="K19" s="1435"/>
    </row>
    <row r="20" spans="2:24" x14ac:dyDescent="0.2">
      <c r="B20" s="724" t="s">
        <v>2350</v>
      </c>
      <c r="C20" s="1190"/>
      <c r="D20" s="1184">
        <f>[29]IRTP!C20</f>
        <v>50780.922400000003</v>
      </c>
      <c r="E20" s="1190">
        <f>'[29]Master Data'!E51</f>
        <v>2</v>
      </c>
      <c r="F20" s="1436">
        <f t="shared" si="0"/>
        <v>101561.84480000001</v>
      </c>
      <c r="G20" s="1434"/>
      <c r="H20" s="1435"/>
      <c r="K20" s="1435"/>
    </row>
    <row r="21" spans="2:24" x14ac:dyDescent="0.2">
      <c r="B21" s="383" t="s">
        <v>2351</v>
      </c>
      <c r="C21" s="1190"/>
      <c r="D21" s="1184">
        <f>'[29]Master Data'!D29</f>
        <v>50780.922400000003</v>
      </c>
      <c r="E21" s="1190">
        <f>'[29]Master Data'!E52</f>
        <v>2.78</v>
      </c>
      <c r="F21" s="1436">
        <f t="shared" si="0"/>
        <v>141170.96427200001</v>
      </c>
      <c r="G21" s="1434"/>
      <c r="H21" s="1435"/>
      <c r="K21" s="1435"/>
    </row>
    <row r="22" spans="2:24" x14ac:dyDescent="0.2">
      <c r="B22" s="1195" t="s">
        <v>20</v>
      </c>
      <c r="C22" s="1439"/>
      <c r="D22" s="1196"/>
      <c r="E22" s="1440">
        <f>SUM(E5:E21)</f>
        <v>48.984923076923081</v>
      </c>
      <c r="F22" s="1441">
        <f>SUM(F5:F21)</f>
        <v>3172231.8901088</v>
      </c>
      <c r="G22" s="1434"/>
      <c r="H22" s="1435"/>
      <c r="K22" s="1435"/>
    </row>
    <row r="23" spans="2:24" ht="21.6" customHeight="1" x14ac:dyDescent="0.2">
      <c r="B23" s="724"/>
      <c r="G23" s="1434"/>
      <c r="H23" s="1435"/>
      <c r="K23" s="1435"/>
    </row>
    <row r="24" spans="2:24" ht="15" customHeight="1" x14ac:dyDescent="0.2">
      <c r="B24" s="731" t="s">
        <v>21</v>
      </c>
      <c r="E24" s="1183" t="s">
        <v>22</v>
      </c>
      <c r="G24" s="1434"/>
      <c r="H24" s="1435"/>
      <c r="K24" s="1435"/>
    </row>
    <row r="25" spans="2:24" x14ac:dyDescent="0.2">
      <c r="B25" s="724" t="s">
        <v>23</v>
      </c>
      <c r="D25" s="1442">
        <f>'[29]Master Data'!D54</f>
        <v>0.24970000000000001</v>
      </c>
      <c r="F25" s="1184">
        <f>D25*F22</f>
        <v>792106.30296016741</v>
      </c>
      <c r="G25" s="1434"/>
      <c r="H25" s="1435"/>
      <c r="K25" s="1435"/>
      <c r="O25" s="1443" t="s">
        <v>2352</v>
      </c>
    </row>
    <row r="26" spans="2:24" x14ac:dyDescent="0.2">
      <c r="B26" s="1195" t="s">
        <v>24</v>
      </c>
      <c r="C26" s="1439"/>
      <c r="D26" s="1196"/>
      <c r="E26" s="1197"/>
      <c r="F26" s="1444">
        <f>F25+F22</f>
        <v>3964338.1930689672</v>
      </c>
      <c r="G26" s="1434"/>
      <c r="H26" s="1435"/>
      <c r="K26" s="1435"/>
      <c r="O26" s="1443"/>
    </row>
    <row r="27" spans="2:24" x14ac:dyDescent="0.2">
      <c r="B27" s="724" t="s">
        <v>26</v>
      </c>
      <c r="E27" s="1200">
        <f>'[29]Master Data'!E58</f>
        <v>42.797592000000002</v>
      </c>
      <c r="F27" s="1201">
        <f>E27*F3</f>
        <v>187453.45296</v>
      </c>
      <c r="G27" s="1434"/>
      <c r="H27" s="1435"/>
      <c r="K27" s="724"/>
      <c r="P27" s="1180" t="s">
        <v>2353</v>
      </c>
      <c r="Q27" s="1180" t="s">
        <v>2354</v>
      </c>
      <c r="R27" s="1180" t="s">
        <v>2355</v>
      </c>
      <c r="S27" s="1180" t="s">
        <v>2356</v>
      </c>
      <c r="T27" s="1180" t="s">
        <v>2357</v>
      </c>
      <c r="U27" s="1180" t="s">
        <v>2358</v>
      </c>
      <c r="V27" s="1180" t="s">
        <v>2359</v>
      </c>
    </row>
    <row r="28" spans="2:24" x14ac:dyDescent="0.2">
      <c r="B28" s="1445" t="s">
        <v>2360</v>
      </c>
      <c r="E28" s="1200">
        <f>'[29]Master Data'!E60</f>
        <v>5.7813750000000006</v>
      </c>
      <c r="F28" s="1201">
        <f>F3*E28</f>
        <v>25322.422500000004</v>
      </c>
      <c r="G28" s="1434"/>
      <c r="H28" s="1435"/>
      <c r="K28" s="1437"/>
      <c r="O28" s="383" t="s">
        <v>33</v>
      </c>
      <c r="P28" s="1446">
        <v>16</v>
      </c>
      <c r="Q28" s="1446">
        <v>16</v>
      </c>
      <c r="R28" s="1446">
        <v>16</v>
      </c>
      <c r="S28" s="1446">
        <v>16</v>
      </c>
      <c r="T28" s="1446">
        <v>16</v>
      </c>
      <c r="U28" s="1446">
        <v>16</v>
      </c>
      <c r="V28" s="1446">
        <v>16</v>
      </c>
      <c r="W28" s="383" t="s">
        <v>2361</v>
      </c>
    </row>
    <row r="29" spans="2:24" x14ac:dyDescent="0.2">
      <c r="B29" s="1445" t="s">
        <v>2362</v>
      </c>
      <c r="E29" s="1200">
        <f>'[29]Master Data'!E61</f>
        <v>35.078814000000001</v>
      </c>
      <c r="F29" s="1201">
        <f>E29*F3</f>
        <v>153645.20532000001</v>
      </c>
      <c r="G29" s="1434"/>
      <c r="H29" s="1435"/>
      <c r="K29" s="1437"/>
      <c r="O29" s="383" t="s">
        <v>34</v>
      </c>
      <c r="P29" s="1446">
        <v>16</v>
      </c>
      <c r="Q29" s="1446">
        <v>16</v>
      </c>
      <c r="R29" s="1446">
        <v>16</v>
      </c>
      <c r="S29" s="1446">
        <v>16</v>
      </c>
      <c r="T29" s="1446">
        <v>16</v>
      </c>
      <c r="U29" s="1446">
        <v>16</v>
      </c>
      <c r="V29" s="1446">
        <v>16</v>
      </c>
    </row>
    <row r="30" spans="2:24" x14ac:dyDescent="0.2">
      <c r="B30" s="724" t="s">
        <v>27</v>
      </c>
      <c r="E30" s="1200">
        <f>'[29]Master Data'!E59</f>
        <v>23.639400000000002</v>
      </c>
      <c r="F30" s="1201">
        <f>E30*F3</f>
        <v>103540.57200000001</v>
      </c>
      <c r="G30" s="1434"/>
      <c r="H30" s="1435">
        <v>2784594</v>
      </c>
      <c r="I30" s="1447">
        <f>3453166</f>
        <v>3453166</v>
      </c>
      <c r="J30" s="1435" t="s">
        <v>2363</v>
      </c>
      <c r="K30" s="1435"/>
      <c r="O30" s="383" t="s">
        <v>35</v>
      </c>
      <c r="P30" s="1446">
        <v>8</v>
      </c>
      <c r="Q30" s="1446">
        <v>8</v>
      </c>
      <c r="R30" s="1446">
        <v>8</v>
      </c>
      <c r="S30" s="1446">
        <v>8</v>
      </c>
      <c r="T30" s="1446">
        <v>8</v>
      </c>
      <c r="U30" s="1446">
        <v>8</v>
      </c>
      <c r="V30" s="1446">
        <v>8</v>
      </c>
      <c r="W30" s="383" t="s">
        <v>2364</v>
      </c>
    </row>
    <row r="31" spans="2:24" x14ac:dyDescent="0.2">
      <c r="B31" s="1195" t="s">
        <v>29</v>
      </c>
      <c r="C31" s="1439"/>
      <c r="D31" s="1196"/>
      <c r="E31" s="1196"/>
      <c r="F31" s="1444">
        <f>SUM(F26:F30)</f>
        <v>4434299.8458489664</v>
      </c>
      <c r="G31" s="1434"/>
      <c r="H31" s="1435"/>
      <c r="I31" s="1435">
        <f>F26-I30</f>
        <v>511172.1930689672</v>
      </c>
      <c r="K31" s="1435"/>
      <c r="W31" s="383">
        <f>SUM(P28:V30)</f>
        <v>280</v>
      </c>
      <c r="X31" s="383" t="s">
        <v>2365</v>
      </c>
    </row>
    <row r="32" spans="2:24" x14ac:dyDescent="0.2">
      <c r="B32" s="724" t="s">
        <v>30</v>
      </c>
      <c r="D32" s="726">
        <f>'[29]M2023 BLS Chart'!C41</f>
        <v>0.12</v>
      </c>
      <c r="F32" s="1184">
        <f>D32*F31</f>
        <v>532115.98150187591</v>
      </c>
      <c r="G32" s="1434"/>
      <c r="H32" s="1435"/>
      <c r="K32" s="1435"/>
      <c r="W32" s="383">
        <f>W31/40</f>
        <v>7</v>
      </c>
      <c r="X32" s="383" t="s">
        <v>6</v>
      </c>
    </row>
    <row r="33" spans="2:24" x14ac:dyDescent="0.2">
      <c r="B33" s="724" t="s">
        <v>179</v>
      </c>
      <c r="D33" s="726">
        <f>'[29]Master Data'!D55</f>
        <v>3.2549514448865162E-2</v>
      </c>
      <c r="F33" s="1184">
        <f>F31*D33</f>
        <v>144334.30690306149</v>
      </c>
      <c r="G33" s="1434"/>
      <c r="H33" s="1435">
        <f>(F26-H30)/H30</f>
        <v>0.42366829529510125</v>
      </c>
      <c r="I33" s="1435">
        <f>(F26-I30)/I30</f>
        <v>0.1480300087134436</v>
      </c>
      <c r="J33" s="1447">
        <f>H33-I33</f>
        <v>0.27563828658165768</v>
      </c>
      <c r="K33" s="1435"/>
      <c r="W33" s="1448">
        <f>W32*'[29]Master Data'!D10</f>
        <v>1.1038461538461539</v>
      </c>
      <c r="X33" s="383" t="s">
        <v>2366</v>
      </c>
    </row>
    <row r="34" spans="2:24" ht="13.5" thickBot="1" x14ac:dyDescent="0.25">
      <c r="B34" s="1203" t="s">
        <v>31</v>
      </c>
      <c r="C34" s="385"/>
      <c r="D34" s="1204"/>
      <c r="E34" s="1204"/>
      <c r="F34" s="1449">
        <f>SUM(F31:F33)</f>
        <v>5110750.1342539033</v>
      </c>
      <c r="G34" s="1434"/>
      <c r="H34" s="1435"/>
      <c r="K34" s="1435"/>
      <c r="W34" s="1448">
        <f>SUM(W32:W33)</f>
        <v>8.1038461538461544</v>
      </c>
      <c r="X34" s="383" t="s">
        <v>2367</v>
      </c>
    </row>
    <row r="35" spans="2:24" ht="14.25" thickTop="1" thickBot="1" x14ac:dyDescent="0.25">
      <c r="B35" s="724"/>
      <c r="D35" s="726"/>
      <c r="F35" s="1450"/>
      <c r="G35" s="1434"/>
      <c r="H35" s="1435"/>
      <c r="K35" s="1451"/>
    </row>
    <row r="36" spans="2:24" ht="13.5" thickBot="1" x14ac:dyDescent="0.25">
      <c r="B36" s="1356" t="s">
        <v>2368</v>
      </c>
      <c r="C36" s="1452"/>
      <c r="D36" s="1192"/>
      <c r="E36" s="1453"/>
      <c r="F36" s="1454"/>
      <c r="G36" s="1455">
        <f>F34/12</f>
        <v>425895.84452115861</v>
      </c>
      <c r="H36" s="1435"/>
      <c r="K36" s="1435"/>
      <c r="O36" s="1443" t="s">
        <v>9</v>
      </c>
    </row>
    <row r="37" spans="2:24" ht="13.5" thickBot="1" x14ac:dyDescent="0.25">
      <c r="B37" s="1456"/>
      <c r="C37" s="1457"/>
      <c r="D37" s="1458"/>
      <c r="E37" s="1459"/>
      <c r="F37" s="1459"/>
      <c r="G37" s="1434"/>
      <c r="H37" s="1435"/>
      <c r="I37" s="1435">
        <v>57.97</v>
      </c>
      <c r="K37" s="1435"/>
      <c r="P37" s="1180" t="s">
        <v>2353</v>
      </c>
      <c r="Q37" s="1180" t="s">
        <v>2354</v>
      </c>
      <c r="R37" s="1180" t="s">
        <v>2355</v>
      </c>
      <c r="S37" s="1180" t="s">
        <v>2356</v>
      </c>
      <c r="T37" s="1180" t="s">
        <v>2357</v>
      </c>
      <c r="U37" s="1180" t="s">
        <v>2358</v>
      </c>
      <c r="V37" s="1180" t="s">
        <v>2359</v>
      </c>
    </row>
    <row r="38" spans="2:24" ht="13.5" thickBot="1" x14ac:dyDescent="0.25">
      <c r="B38" s="1456"/>
      <c r="C38" s="1457"/>
      <c r="D38" s="1458"/>
      <c r="E38" s="1459"/>
      <c r="F38" s="1460"/>
      <c r="G38" s="1461">
        <v>388523</v>
      </c>
      <c r="H38" s="1462"/>
      <c r="I38" s="1463">
        <v>46.81</v>
      </c>
      <c r="J38" s="1462"/>
      <c r="K38" s="1477">
        <f>(G36-G38)/G38</f>
        <v>9.6192103224670381E-2</v>
      </c>
      <c r="O38" s="383" t="s">
        <v>33</v>
      </c>
      <c r="P38" s="1446">
        <v>8</v>
      </c>
      <c r="Q38" s="1446">
        <v>8</v>
      </c>
      <c r="R38" s="1446">
        <v>8</v>
      </c>
      <c r="S38" s="1446">
        <v>8</v>
      </c>
      <c r="T38" s="1446">
        <v>8</v>
      </c>
      <c r="U38" s="1446">
        <v>8</v>
      </c>
      <c r="V38" s="1446">
        <v>8</v>
      </c>
    </row>
    <row r="39" spans="2:24" x14ac:dyDescent="0.2">
      <c r="C39" s="1457"/>
      <c r="E39" s="1459"/>
      <c r="F39" s="1459"/>
      <c r="G39" s="383"/>
      <c r="H39" s="1465"/>
      <c r="I39" s="1435">
        <f>I37-I38</f>
        <v>11.159999999999997</v>
      </c>
      <c r="J39" s="1465"/>
      <c r="K39" s="1465"/>
      <c r="O39" s="383" t="s">
        <v>34</v>
      </c>
      <c r="P39" s="1446">
        <v>8</v>
      </c>
      <c r="Q39" s="1446">
        <v>8</v>
      </c>
      <c r="R39" s="1446">
        <v>8</v>
      </c>
      <c r="S39" s="1446">
        <v>8</v>
      </c>
      <c r="T39" s="1446">
        <v>8</v>
      </c>
      <c r="U39" s="1446">
        <v>8</v>
      </c>
      <c r="V39" s="1446">
        <v>8</v>
      </c>
    </row>
    <row r="40" spans="2:24" x14ac:dyDescent="0.2">
      <c r="C40" s="1466"/>
      <c r="G40" s="1467"/>
      <c r="H40" s="1468"/>
      <c r="I40" s="1468"/>
      <c r="J40" s="1468"/>
      <c r="K40" s="1468"/>
      <c r="O40" s="383" t="s">
        <v>35</v>
      </c>
      <c r="P40" s="1446">
        <v>8</v>
      </c>
      <c r="Q40" s="1446">
        <v>8</v>
      </c>
      <c r="R40" s="1446">
        <v>8</v>
      </c>
      <c r="S40" s="1446">
        <v>8</v>
      </c>
      <c r="T40" s="1446">
        <v>8</v>
      </c>
      <c r="U40" s="1446">
        <v>8</v>
      </c>
      <c r="V40" s="1446">
        <v>8</v>
      </c>
    </row>
    <row r="41" spans="2:24" x14ac:dyDescent="0.2">
      <c r="C41" s="1466"/>
      <c r="F41" s="1469"/>
      <c r="G41" s="1435"/>
      <c r="H41" s="1435"/>
      <c r="K41" s="1464"/>
      <c r="W41" s="383">
        <f>SUM(P38:V40)</f>
        <v>168</v>
      </c>
      <c r="X41" s="383" t="s">
        <v>2365</v>
      </c>
    </row>
    <row r="42" spans="2:24" x14ac:dyDescent="0.2">
      <c r="C42" s="1466"/>
      <c r="G42" s="1465"/>
      <c r="H42" s="1465"/>
      <c r="I42" s="1465"/>
      <c r="J42" s="1465"/>
      <c r="K42" s="1464"/>
      <c r="W42" s="383">
        <f>W41/40</f>
        <v>4.2</v>
      </c>
      <c r="X42" s="383" t="s">
        <v>2369</v>
      </c>
    </row>
    <row r="43" spans="2:24" x14ac:dyDescent="0.2">
      <c r="C43" s="1466"/>
      <c r="E43" s="2043"/>
      <c r="F43" s="2043"/>
      <c r="G43" s="1435"/>
      <c r="H43" s="1435"/>
      <c r="K43" s="1435"/>
      <c r="W43" s="1448"/>
    </row>
    <row r="44" spans="2:24" x14ac:dyDescent="0.2">
      <c r="G44" s="1435"/>
      <c r="H44" s="1435"/>
      <c r="K44" s="1435"/>
      <c r="W44" s="1448"/>
    </row>
    <row r="45" spans="2:24" x14ac:dyDescent="0.2">
      <c r="G45" s="1465"/>
      <c r="H45" s="1435"/>
      <c r="K45" s="1464"/>
      <c r="O45" s="1443" t="s">
        <v>39</v>
      </c>
    </row>
    <row r="46" spans="2:24" x14ac:dyDescent="0.2">
      <c r="G46" s="1435"/>
      <c r="H46" s="1435"/>
      <c r="K46" s="1435"/>
      <c r="P46" s="1180" t="s">
        <v>2353</v>
      </c>
      <c r="Q46" s="1180" t="s">
        <v>2354</v>
      </c>
      <c r="R46" s="1180" t="s">
        <v>2355</v>
      </c>
      <c r="S46" s="1180" t="s">
        <v>2356</v>
      </c>
      <c r="T46" s="1180" t="s">
        <v>2357</v>
      </c>
      <c r="U46" s="1180" t="s">
        <v>2358</v>
      </c>
      <c r="V46" s="1180" t="s">
        <v>2359</v>
      </c>
    </row>
    <row r="47" spans="2:24" x14ac:dyDescent="0.2">
      <c r="G47" s="1465"/>
      <c r="H47" s="1435"/>
      <c r="K47" s="1435"/>
      <c r="O47" s="383" t="s">
        <v>33</v>
      </c>
      <c r="P47" s="1446">
        <v>40</v>
      </c>
      <c r="Q47" s="1446">
        <v>40</v>
      </c>
      <c r="R47" s="1446">
        <v>40</v>
      </c>
      <c r="S47" s="1446">
        <v>40</v>
      </c>
      <c r="T47" s="1446">
        <v>40</v>
      </c>
      <c r="U47" s="1446">
        <v>40</v>
      </c>
      <c r="V47" s="1446">
        <v>40</v>
      </c>
      <c r="W47" s="383" t="s">
        <v>2370</v>
      </c>
    </row>
    <row r="48" spans="2:24" x14ac:dyDescent="0.2">
      <c r="L48" s="1471"/>
      <c r="O48" s="383" t="s">
        <v>34</v>
      </c>
      <c r="P48" s="1446">
        <v>40</v>
      </c>
      <c r="Q48" s="1446">
        <v>40</v>
      </c>
      <c r="R48" s="1446">
        <v>40</v>
      </c>
      <c r="S48" s="1446">
        <v>40</v>
      </c>
      <c r="T48" s="1446">
        <v>40</v>
      </c>
      <c r="U48" s="1446">
        <v>40</v>
      </c>
      <c r="V48" s="1446">
        <v>40</v>
      </c>
    </row>
    <row r="49" spans="4:24" x14ac:dyDescent="0.2">
      <c r="L49" s="1472"/>
      <c r="O49" s="383" t="s">
        <v>35</v>
      </c>
      <c r="P49" s="1446">
        <v>40</v>
      </c>
      <c r="Q49" s="1446">
        <v>40</v>
      </c>
      <c r="R49" s="1446">
        <v>40</v>
      </c>
      <c r="S49" s="1446">
        <v>40</v>
      </c>
      <c r="T49" s="1446">
        <v>40</v>
      </c>
      <c r="U49" s="1446">
        <v>40</v>
      </c>
      <c r="V49" s="1446">
        <v>40</v>
      </c>
    </row>
    <row r="50" spans="4:24" x14ac:dyDescent="0.2">
      <c r="L50" s="1473"/>
      <c r="W50" s="383">
        <f>SUM(P47:V49)</f>
        <v>840</v>
      </c>
      <c r="X50" s="383" t="s">
        <v>2365</v>
      </c>
    </row>
    <row r="51" spans="4:24" x14ac:dyDescent="0.2">
      <c r="L51" s="1474"/>
      <c r="M51" s="1183"/>
      <c r="N51" s="1183"/>
      <c r="W51" s="1448">
        <f>W50/40</f>
        <v>21</v>
      </c>
      <c r="X51" s="383" t="s">
        <v>6</v>
      </c>
    </row>
    <row r="52" spans="4:24" x14ac:dyDescent="0.2">
      <c r="L52" s="1471"/>
      <c r="W52" s="1448">
        <f>W51*'[29]Master Data'!D10</f>
        <v>3.3115384615384613</v>
      </c>
      <c r="X52" s="383" t="s">
        <v>2366</v>
      </c>
    </row>
    <row r="53" spans="4:24" x14ac:dyDescent="0.2">
      <c r="F53" s="1201"/>
      <c r="L53" s="1471"/>
      <c r="W53" s="1448">
        <f>SUM(W51:W52)</f>
        <v>24.311538461538461</v>
      </c>
      <c r="X53" s="383" t="s">
        <v>2371</v>
      </c>
    </row>
    <row r="54" spans="4:24" x14ac:dyDescent="0.2">
      <c r="L54" s="1471"/>
    </row>
    <row r="55" spans="4:24" x14ac:dyDescent="0.2">
      <c r="D55" s="1200"/>
      <c r="L55" s="1471"/>
      <c r="O55" s="1443" t="s">
        <v>2372</v>
      </c>
    </row>
    <row r="56" spans="4:24" x14ac:dyDescent="0.2">
      <c r="D56" s="1475"/>
      <c r="L56" s="1471"/>
      <c r="P56" s="1180" t="s">
        <v>2353</v>
      </c>
      <c r="Q56" s="1180" t="s">
        <v>2354</v>
      </c>
      <c r="R56" s="1180" t="s">
        <v>2355</v>
      </c>
      <c r="S56" s="1180" t="s">
        <v>2356</v>
      </c>
      <c r="T56" s="1180" t="s">
        <v>2357</v>
      </c>
      <c r="U56" s="1180" t="s">
        <v>2358</v>
      </c>
      <c r="V56" s="1180" t="s">
        <v>2359</v>
      </c>
    </row>
    <row r="57" spans="4:24" x14ac:dyDescent="0.2">
      <c r="D57" s="1475"/>
      <c r="L57" s="1471"/>
      <c r="O57" s="383" t="s">
        <v>33</v>
      </c>
      <c r="P57" s="1446">
        <v>16</v>
      </c>
      <c r="Q57" s="1446">
        <v>16</v>
      </c>
      <c r="R57" s="1446">
        <v>16</v>
      </c>
      <c r="S57" s="1446">
        <v>16</v>
      </c>
      <c r="T57" s="1446">
        <v>16</v>
      </c>
      <c r="U57" s="1446">
        <v>16</v>
      </c>
      <c r="V57" s="1446">
        <v>16</v>
      </c>
    </row>
    <row r="58" spans="4:24" x14ac:dyDescent="0.2">
      <c r="D58" s="1475"/>
      <c r="L58" s="1471"/>
      <c r="O58" s="383" t="s">
        <v>34</v>
      </c>
      <c r="P58" s="1446">
        <v>8</v>
      </c>
      <c r="Q58" s="1446">
        <v>8</v>
      </c>
      <c r="R58" s="1446">
        <v>8</v>
      </c>
      <c r="S58" s="1446">
        <v>8</v>
      </c>
      <c r="T58" s="1446">
        <v>8</v>
      </c>
      <c r="U58" s="1446">
        <v>8</v>
      </c>
      <c r="V58" s="1446">
        <v>8</v>
      </c>
    </row>
    <row r="59" spans="4:24" x14ac:dyDescent="0.2">
      <c r="D59" s="1200"/>
      <c r="L59" s="1471"/>
      <c r="O59" s="383" t="s">
        <v>35</v>
      </c>
      <c r="P59" s="1446">
        <v>0</v>
      </c>
      <c r="Q59" s="1446">
        <v>0</v>
      </c>
      <c r="R59" s="1446">
        <v>0</v>
      </c>
      <c r="S59" s="1446">
        <v>0</v>
      </c>
      <c r="T59" s="1446">
        <v>0</v>
      </c>
      <c r="U59" s="1446">
        <v>0</v>
      </c>
      <c r="V59" s="1446">
        <v>0</v>
      </c>
    </row>
    <row r="60" spans="4:24" x14ac:dyDescent="0.2">
      <c r="L60" s="1471"/>
      <c r="W60" s="383">
        <f>SUM(P57:V59)</f>
        <v>168</v>
      </c>
      <c r="X60" s="383" t="s">
        <v>2365</v>
      </c>
    </row>
    <row r="61" spans="4:24" x14ac:dyDescent="0.2">
      <c r="L61" s="1471"/>
      <c r="W61" s="383">
        <f>W60/40</f>
        <v>4.2</v>
      </c>
      <c r="X61" s="383" t="s">
        <v>2373</v>
      </c>
    </row>
    <row r="62" spans="4:24" x14ac:dyDescent="0.2">
      <c r="L62" s="1471"/>
    </row>
    <row r="63" spans="4:24" x14ac:dyDescent="0.2">
      <c r="L63" s="1471"/>
    </row>
    <row r="64" spans="4:24" x14ac:dyDescent="0.2">
      <c r="L64" s="1471"/>
    </row>
    <row r="65" spans="2:12" x14ac:dyDescent="0.2">
      <c r="L65" s="1471"/>
    </row>
    <row r="66" spans="2:12" x14ac:dyDescent="0.2">
      <c r="L66" s="1471"/>
    </row>
    <row r="67" spans="2:12" x14ac:dyDescent="0.2">
      <c r="L67" s="1464"/>
    </row>
    <row r="68" spans="2:12" x14ac:dyDescent="0.2">
      <c r="L68" s="1464"/>
    </row>
    <row r="69" spans="2:12" x14ac:dyDescent="0.2">
      <c r="L69" s="1464"/>
    </row>
    <row r="70" spans="2:12" x14ac:dyDescent="0.2">
      <c r="L70" s="1471"/>
    </row>
    <row r="71" spans="2:12" x14ac:dyDescent="0.2">
      <c r="L71" s="1471"/>
    </row>
    <row r="72" spans="2:12" x14ac:dyDescent="0.2">
      <c r="L72" s="1471"/>
    </row>
    <row r="73" spans="2:12" x14ac:dyDescent="0.2">
      <c r="B73" s="384"/>
      <c r="L73" s="1471"/>
    </row>
    <row r="74" spans="2:12" x14ac:dyDescent="0.2">
      <c r="B74" s="384"/>
      <c r="L74" s="1471"/>
    </row>
    <row r="75" spans="2:12" x14ac:dyDescent="0.2">
      <c r="B75" s="384"/>
      <c r="L75" s="1471"/>
    </row>
    <row r="76" spans="2:12" x14ac:dyDescent="0.2">
      <c r="B76" s="384"/>
      <c r="F76" s="1448"/>
      <c r="G76" s="383"/>
      <c r="L76" s="1471"/>
    </row>
    <row r="77" spans="2:12" ht="13.35" customHeight="1" x14ac:dyDescent="0.2">
      <c r="G77" s="383"/>
      <c r="L77" s="1471"/>
    </row>
    <row r="78" spans="2:12" x14ac:dyDescent="0.2">
      <c r="L78" s="1471"/>
    </row>
    <row r="79" spans="2:12" x14ac:dyDescent="0.2">
      <c r="L79" s="1471"/>
    </row>
    <row r="80" spans="2:12" x14ac:dyDescent="0.2">
      <c r="B80" s="384"/>
      <c r="L80" s="1471"/>
    </row>
    <row r="81" spans="12:27" x14ac:dyDescent="0.2">
      <c r="L81" s="1471"/>
    </row>
    <row r="82" spans="12:27" x14ac:dyDescent="0.2">
      <c r="L82" s="1471"/>
    </row>
    <row r="83" spans="12:27" x14ac:dyDescent="0.2">
      <c r="L83" s="1471"/>
    </row>
    <row r="84" spans="12:27" x14ac:dyDescent="0.2">
      <c r="L84" s="1471"/>
    </row>
    <row r="85" spans="12:27" x14ac:dyDescent="0.2">
      <c r="O85" s="384"/>
      <c r="P85" s="384"/>
      <c r="Q85" s="384"/>
      <c r="R85" s="384"/>
      <c r="S85" s="384"/>
      <c r="T85" s="384"/>
      <c r="U85" s="384"/>
      <c r="V85" s="384"/>
      <c r="W85" s="384"/>
      <c r="X85" s="384"/>
      <c r="Y85" s="384"/>
      <c r="Z85" s="384"/>
      <c r="AA85" s="384"/>
    </row>
    <row r="86" spans="12:27" x14ac:dyDescent="0.2">
      <c r="O86" s="384"/>
      <c r="P86" s="384"/>
      <c r="Q86" s="384"/>
      <c r="R86" s="384"/>
      <c r="S86" s="384"/>
      <c r="T86" s="384"/>
      <c r="U86" s="384"/>
      <c r="V86" s="384"/>
      <c r="W86" s="384"/>
      <c r="X86" s="384"/>
      <c r="Y86" s="384"/>
      <c r="Z86" s="384"/>
      <c r="AA86" s="384"/>
    </row>
    <row r="87" spans="12:27" x14ac:dyDescent="0.2">
      <c r="O87" s="384"/>
      <c r="P87" s="384"/>
      <c r="Q87" s="384"/>
      <c r="R87" s="384"/>
      <c r="S87" s="384"/>
      <c r="T87" s="384"/>
      <c r="U87" s="384"/>
      <c r="V87" s="384"/>
      <c r="W87" s="384"/>
      <c r="X87" s="384"/>
      <c r="Y87" s="384"/>
      <c r="Z87" s="384"/>
      <c r="AA87" s="384"/>
    </row>
    <row r="88" spans="12:27" x14ac:dyDescent="0.2">
      <c r="O88" s="384"/>
      <c r="P88" s="384"/>
      <c r="Q88" s="384"/>
      <c r="R88" s="384"/>
      <c r="S88" s="384"/>
      <c r="T88" s="384"/>
      <c r="U88" s="384"/>
      <c r="V88" s="384"/>
      <c r="W88" s="384"/>
      <c r="X88" s="384"/>
      <c r="Y88" s="384"/>
      <c r="Z88" s="384"/>
      <c r="AA88" s="384"/>
    </row>
    <row r="92" spans="12:27" x14ac:dyDescent="0.2">
      <c r="O92" s="384"/>
      <c r="P92" s="384"/>
      <c r="Q92" s="384"/>
      <c r="R92" s="384"/>
      <c r="S92" s="384"/>
      <c r="T92" s="384"/>
      <c r="U92" s="384"/>
      <c r="V92" s="384"/>
      <c r="W92" s="384"/>
      <c r="X92" s="384"/>
      <c r="Y92" s="384"/>
      <c r="Z92" s="384"/>
      <c r="AA92" s="384"/>
    </row>
    <row r="105" spans="2:27" s="384" customFormat="1" x14ac:dyDescent="0.2">
      <c r="B105" s="383"/>
      <c r="D105" s="383"/>
      <c r="E105" s="383"/>
      <c r="F105" s="383"/>
      <c r="G105" s="1470"/>
      <c r="H105" s="1470"/>
      <c r="I105" s="1435"/>
      <c r="J105" s="1435"/>
      <c r="K105" s="1470"/>
      <c r="L105" s="1476"/>
      <c r="O105" s="383"/>
      <c r="P105" s="383"/>
      <c r="Q105" s="383"/>
      <c r="R105" s="383"/>
      <c r="S105" s="383"/>
      <c r="T105" s="383"/>
      <c r="U105" s="383"/>
      <c r="V105" s="383"/>
      <c r="W105" s="383"/>
      <c r="X105" s="383"/>
      <c r="Y105" s="383"/>
      <c r="Z105" s="383"/>
      <c r="AA105" s="383"/>
    </row>
    <row r="106" spans="2:27" s="384" customFormat="1" x14ac:dyDescent="0.2">
      <c r="B106" s="383"/>
      <c r="D106" s="383"/>
      <c r="E106" s="383"/>
      <c r="F106" s="383"/>
      <c r="G106" s="1470"/>
      <c r="H106" s="1470"/>
      <c r="I106" s="1435"/>
      <c r="J106" s="1435"/>
      <c r="K106" s="1470"/>
      <c r="L106" s="1476"/>
      <c r="O106" s="383"/>
      <c r="P106" s="383"/>
      <c r="Q106" s="383"/>
      <c r="R106" s="383"/>
      <c r="S106" s="383"/>
      <c r="T106" s="383"/>
      <c r="U106" s="383"/>
      <c r="V106" s="383"/>
      <c r="W106" s="383"/>
      <c r="X106" s="383"/>
      <c r="Y106" s="383"/>
      <c r="Z106" s="383"/>
      <c r="AA106" s="383"/>
    </row>
    <row r="107" spans="2:27" s="384" customFormat="1" x14ac:dyDescent="0.2">
      <c r="B107" s="383"/>
      <c r="D107" s="383"/>
      <c r="E107" s="383"/>
      <c r="F107" s="383"/>
      <c r="G107" s="1470"/>
      <c r="H107" s="1470"/>
      <c r="I107" s="1435"/>
      <c r="J107" s="1435"/>
      <c r="K107" s="1470"/>
      <c r="L107" s="1476"/>
      <c r="O107" s="383"/>
      <c r="P107" s="383"/>
      <c r="Q107" s="383"/>
      <c r="R107" s="383"/>
      <c r="S107" s="383"/>
      <c r="T107" s="383"/>
      <c r="U107" s="383"/>
      <c r="V107" s="383"/>
      <c r="W107" s="383"/>
      <c r="X107" s="383"/>
      <c r="Y107" s="383"/>
      <c r="Z107" s="383"/>
      <c r="AA107" s="383"/>
    </row>
    <row r="108" spans="2:27" s="384" customFormat="1" x14ac:dyDescent="0.2">
      <c r="B108" s="383"/>
      <c r="D108" s="383"/>
      <c r="E108" s="383"/>
      <c r="F108" s="383"/>
      <c r="G108" s="1470"/>
      <c r="H108" s="1470"/>
      <c r="I108" s="1435"/>
      <c r="J108" s="1435"/>
      <c r="K108" s="1470"/>
      <c r="L108" s="1476"/>
      <c r="O108" s="383"/>
      <c r="P108" s="383"/>
      <c r="Q108" s="383"/>
      <c r="R108" s="383"/>
      <c r="S108" s="383"/>
      <c r="T108" s="383"/>
      <c r="U108" s="383"/>
      <c r="V108" s="383"/>
      <c r="W108" s="383"/>
      <c r="X108" s="383"/>
      <c r="Y108" s="383"/>
      <c r="Z108" s="383"/>
      <c r="AA108" s="383"/>
    </row>
    <row r="112" spans="2:27" s="384" customFormat="1" x14ac:dyDescent="0.2">
      <c r="B112" s="383"/>
      <c r="D112" s="383"/>
      <c r="E112" s="383"/>
      <c r="F112" s="383"/>
      <c r="G112" s="1470"/>
      <c r="H112" s="1470"/>
      <c r="I112" s="1435"/>
      <c r="J112" s="1435"/>
      <c r="K112" s="1470"/>
      <c r="L112" s="1476"/>
      <c r="O112" s="383"/>
      <c r="P112" s="383"/>
      <c r="Q112" s="383"/>
      <c r="R112" s="383"/>
      <c r="S112" s="383"/>
      <c r="T112" s="383"/>
      <c r="U112" s="383"/>
      <c r="V112" s="383"/>
      <c r="W112" s="383"/>
      <c r="X112" s="383"/>
      <c r="Y112" s="383"/>
      <c r="Z112" s="383"/>
      <c r="AA112" s="383"/>
    </row>
  </sheetData>
  <mergeCells count="3">
    <mergeCell ref="B1:F2"/>
    <mergeCell ref="G1:G2"/>
    <mergeCell ref="E43:F43"/>
  </mergeCells>
  <pageMargins left="0.25" right="0.25" top="0.75" bottom="0.75" header="0.3" footer="0.3"/>
  <pageSetup fitToHeight="0" orientation="portrait" r:id="rId1"/>
  <headerFooter>
    <oddFooter>&amp;R&amp;F
&amp;A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A7938-6EF7-4B45-84E9-0849CD193DA3}">
  <sheetPr>
    <pageSetUpPr fitToPage="1"/>
  </sheetPr>
  <dimension ref="A1:W111"/>
  <sheetViews>
    <sheetView zoomScaleNormal="100" zoomScaleSheetLayoutView="110" workbookViewId="0">
      <selection activeCell="A27" sqref="A27:A28"/>
    </sheetView>
  </sheetViews>
  <sheetFormatPr defaultColWidth="9.140625" defaultRowHeight="12.75" x14ac:dyDescent="0.2"/>
  <cols>
    <col min="1" max="1" width="31.85546875" style="383" customWidth="1"/>
    <col min="2" max="2" width="6.5703125" style="384" customWidth="1"/>
    <col min="3" max="3" width="19.28515625" style="383" customWidth="1"/>
    <col min="4" max="4" width="10.85546875" style="383" customWidth="1"/>
    <col min="5" max="5" width="16.42578125" style="383" customWidth="1"/>
    <col min="6" max="6" width="15.140625" style="1470" customWidth="1"/>
    <col min="7" max="7" width="15.140625" style="1470" hidden="1" customWidth="1"/>
    <col min="8" max="9" width="15.140625" style="1435" hidden="1" customWidth="1"/>
    <col min="10" max="10" width="15.140625" style="1470" customWidth="1"/>
    <col min="11" max="11" width="10.140625" style="383" bestFit="1" customWidth="1"/>
    <col min="12" max="16384" width="9.140625" style="383"/>
  </cols>
  <sheetData>
    <row r="1" spans="1:10" x14ac:dyDescent="0.2">
      <c r="A1" s="2037" t="s">
        <v>2374</v>
      </c>
      <c r="B1" s="2038"/>
      <c r="C1" s="2038"/>
      <c r="D1" s="2038"/>
      <c r="E1" s="2038"/>
      <c r="F1" s="2041" t="s">
        <v>2335</v>
      </c>
      <c r="G1" s="1426" t="s">
        <v>2336</v>
      </c>
      <c r="H1" s="1426" t="s">
        <v>2337</v>
      </c>
      <c r="I1" s="1426"/>
      <c r="J1" s="1426"/>
    </row>
    <row r="2" spans="1:10" ht="27" customHeight="1" thickBot="1" x14ac:dyDescent="0.25">
      <c r="A2" s="2039"/>
      <c r="B2" s="2040"/>
      <c r="C2" s="2040"/>
      <c r="D2" s="2040"/>
      <c r="E2" s="2040"/>
      <c r="F2" s="2042"/>
      <c r="G2" s="1428"/>
      <c r="H2" s="1428"/>
      <c r="I2" s="1428"/>
      <c r="J2" s="1428"/>
    </row>
    <row r="3" spans="1:10" x14ac:dyDescent="0.2">
      <c r="A3" s="1187" t="s">
        <v>0</v>
      </c>
      <c r="B3" s="1180">
        <v>15</v>
      </c>
      <c r="C3" s="1183"/>
      <c r="D3" s="1183" t="s">
        <v>1</v>
      </c>
      <c r="E3" s="1429">
        <f>B3*365</f>
        <v>5475</v>
      </c>
      <c r="F3" s="1430" t="s">
        <v>2338</v>
      </c>
      <c r="G3" s="1431"/>
      <c r="H3" s="1431"/>
      <c r="I3" s="1431"/>
      <c r="J3" s="1431"/>
    </row>
    <row r="4" spans="1:10" x14ac:dyDescent="0.2">
      <c r="A4" s="1432"/>
      <c r="B4" s="1433"/>
      <c r="C4" s="1433" t="s">
        <v>2339</v>
      </c>
      <c r="D4" s="1433" t="s">
        <v>6</v>
      </c>
      <c r="E4" s="1433" t="s">
        <v>7</v>
      </c>
      <c r="F4" s="1434"/>
      <c r="G4" s="1435"/>
      <c r="J4" s="1435"/>
    </row>
    <row r="5" spans="1:10" x14ac:dyDescent="0.2">
      <c r="A5" s="731" t="s">
        <v>9</v>
      </c>
      <c r="B5" s="1190"/>
      <c r="C5" s="1184">
        <f>'[29]Master Data'!D13</f>
        <v>80829.631999999998</v>
      </c>
      <c r="D5" s="1190">
        <f>'[29]Master Data'!D36</f>
        <v>4.2</v>
      </c>
      <c r="E5" s="1436">
        <f>C5*D5</f>
        <v>339484.45439999999</v>
      </c>
      <c r="F5" s="1434"/>
      <c r="G5" s="1435"/>
      <c r="J5" s="1435"/>
    </row>
    <row r="6" spans="1:10" x14ac:dyDescent="0.2">
      <c r="A6" s="731" t="s">
        <v>13</v>
      </c>
      <c r="B6" s="1190"/>
      <c r="D6" s="1190"/>
      <c r="E6" s="1436"/>
      <c r="F6" s="1434"/>
      <c r="G6" s="1435"/>
      <c r="J6" s="1435"/>
    </row>
    <row r="7" spans="1:10" x14ac:dyDescent="0.2">
      <c r="A7" s="724" t="s">
        <v>2340</v>
      </c>
      <c r="B7" s="1190"/>
      <c r="C7" s="1184">
        <f>'[29]Master Data'!D15</f>
        <v>247470</v>
      </c>
      <c r="D7" s="1190">
        <f>'[29]Master Data'!D38</f>
        <v>1</v>
      </c>
      <c r="E7" s="1436">
        <f t="shared" ref="E7:E20" si="0">C7*D7</f>
        <v>247470</v>
      </c>
      <c r="F7" s="1434"/>
      <c r="G7" s="1435"/>
      <c r="J7" s="1435"/>
    </row>
    <row r="8" spans="1:10" x14ac:dyDescent="0.2">
      <c r="A8" s="1437" t="s">
        <v>2375</v>
      </c>
      <c r="B8" s="1190"/>
      <c r="C8" s="1184">
        <f>'[29]Master Data'!D16</f>
        <v>101806.432</v>
      </c>
      <c r="D8" s="1190">
        <f>'[29]Master Data'!D39</f>
        <v>1</v>
      </c>
      <c r="E8" s="1436">
        <f t="shared" si="0"/>
        <v>101806.432</v>
      </c>
      <c r="F8" s="1434"/>
      <c r="G8" s="1435"/>
      <c r="J8" s="1435"/>
    </row>
    <row r="9" spans="1:10" x14ac:dyDescent="0.2">
      <c r="A9" s="383" t="s">
        <v>2341</v>
      </c>
      <c r="B9" s="1190"/>
      <c r="C9" s="1184">
        <f>'[29]Master Data'!D17</f>
        <v>118508.74880000002</v>
      </c>
      <c r="D9" s="1190">
        <f>'[29]Master Data'!D40</f>
        <v>8.1038461538461544</v>
      </c>
      <c r="E9" s="1436">
        <f t="shared" si="0"/>
        <v>960376.66816000023</v>
      </c>
      <c r="F9" s="1434"/>
      <c r="G9" s="1435"/>
      <c r="J9" s="1435"/>
    </row>
    <row r="10" spans="1:10" x14ac:dyDescent="0.2">
      <c r="A10" s="724" t="s">
        <v>19</v>
      </c>
      <c r="B10" s="1190"/>
      <c r="C10" s="1184">
        <f>'[29]Master Data'!D18</f>
        <v>82681.040000000008</v>
      </c>
      <c r="D10" s="1190">
        <f>'[29]Master Data'!D41</f>
        <v>1</v>
      </c>
      <c r="E10" s="1436">
        <f t="shared" si="0"/>
        <v>82681.040000000008</v>
      </c>
      <c r="F10" s="1434"/>
      <c r="G10" s="1435"/>
      <c r="J10" s="1435"/>
    </row>
    <row r="11" spans="1:10" x14ac:dyDescent="0.2">
      <c r="A11" s="724" t="s">
        <v>2342</v>
      </c>
      <c r="B11" s="1190"/>
      <c r="C11" s="1184">
        <f>'[29]Master Data'!D19</f>
        <v>83639.712</v>
      </c>
      <c r="D11" s="1190">
        <f>'[29]Master Data'!D42</f>
        <v>3</v>
      </c>
      <c r="E11" s="1436">
        <f t="shared" si="0"/>
        <v>250919.136</v>
      </c>
      <c r="F11" s="1434"/>
      <c r="G11" s="1435"/>
      <c r="J11" s="1435"/>
    </row>
    <row r="12" spans="1:10" x14ac:dyDescent="0.2">
      <c r="A12" s="724" t="s">
        <v>2343</v>
      </c>
      <c r="B12" s="1190"/>
      <c r="C12" s="1184">
        <f>'[29]Master Data'!D20</f>
        <v>70211.44</v>
      </c>
      <c r="D12" s="1190">
        <f>'[29]Master Data'!D43</f>
        <v>2.5</v>
      </c>
      <c r="E12" s="1436">
        <f t="shared" si="0"/>
        <v>175528.6</v>
      </c>
      <c r="F12" s="1434"/>
      <c r="G12" s="1435"/>
      <c r="J12" s="1435"/>
    </row>
    <row r="13" spans="1:10" x14ac:dyDescent="0.2">
      <c r="A13" s="731" t="s">
        <v>18</v>
      </c>
      <c r="B13" s="1190"/>
      <c r="D13" s="1190"/>
      <c r="E13" s="1436"/>
      <c r="F13" s="1434"/>
      <c r="G13" s="1435"/>
      <c r="J13" s="1435"/>
    </row>
    <row r="14" spans="1:10" x14ac:dyDescent="0.2">
      <c r="A14" s="724" t="s">
        <v>2376</v>
      </c>
      <c r="B14" s="1190"/>
      <c r="C14" s="1184">
        <f>'[29]Master Data'!D22</f>
        <v>70211.44</v>
      </c>
      <c r="D14" s="1190">
        <f>'[29]Master Data'!D45</f>
        <v>2.5</v>
      </c>
      <c r="E14" s="1436">
        <f t="shared" si="0"/>
        <v>175528.6</v>
      </c>
      <c r="F14" s="1434"/>
      <c r="G14" s="1435"/>
      <c r="J14" s="1435"/>
    </row>
    <row r="15" spans="1:10" x14ac:dyDescent="0.2">
      <c r="A15" s="724" t="s">
        <v>2345</v>
      </c>
      <c r="B15" s="1190"/>
      <c r="C15" s="1184">
        <f>'[29]Master Data'!D23</f>
        <v>43247.567999999999</v>
      </c>
      <c r="D15" s="1190">
        <f>'[29]Master Data'!D46</f>
        <v>2</v>
      </c>
      <c r="E15" s="1436">
        <f t="shared" si="0"/>
        <v>86495.135999999999</v>
      </c>
      <c r="F15" s="1434"/>
      <c r="G15" s="1435"/>
      <c r="J15" s="1435"/>
    </row>
    <row r="16" spans="1:10" x14ac:dyDescent="0.2">
      <c r="A16" s="724" t="s">
        <v>2346</v>
      </c>
      <c r="B16" s="1190"/>
      <c r="C16" s="1184">
        <f>'[29]Master Data'!D24</f>
        <v>64438.399999999994</v>
      </c>
      <c r="D16" s="1190">
        <f>'[29]Master Data'!D47</f>
        <v>1</v>
      </c>
      <c r="E16" s="1436">
        <f t="shared" si="0"/>
        <v>64438.399999999994</v>
      </c>
      <c r="F16" s="1434"/>
      <c r="G16" s="1435"/>
      <c r="J16" s="1435"/>
    </row>
    <row r="17" spans="1:10" x14ac:dyDescent="0.2">
      <c r="A17" s="724" t="s">
        <v>2347</v>
      </c>
      <c r="B17" s="1190"/>
      <c r="C17" s="1184">
        <f>'[29]Master Data'!D25</f>
        <v>56217.241600000001</v>
      </c>
      <c r="D17" s="1190">
        <f>'[29]Master Data'!D48</f>
        <v>21</v>
      </c>
      <c r="E17" s="1436">
        <f t="shared" si="0"/>
        <v>1180562.0736</v>
      </c>
      <c r="F17" s="1434"/>
      <c r="G17" s="1435"/>
      <c r="J17" s="1435"/>
    </row>
    <row r="18" spans="1:10" x14ac:dyDescent="0.2">
      <c r="A18" s="1438" t="s">
        <v>2348</v>
      </c>
      <c r="B18" s="1190"/>
      <c r="C18" s="1184">
        <f>'[29]Master Data'!D26</f>
        <v>56217.241600000001</v>
      </c>
      <c r="D18" s="1190">
        <f>'[29]Master Data'!D49</f>
        <v>5.061923076923077</v>
      </c>
      <c r="E18" s="1436">
        <f t="shared" si="0"/>
        <v>284567.35257600003</v>
      </c>
      <c r="F18" s="1434"/>
      <c r="G18" s="1435"/>
      <c r="J18" s="1435"/>
    </row>
    <row r="19" spans="1:10" x14ac:dyDescent="0.2">
      <c r="A19" s="724" t="s">
        <v>2349</v>
      </c>
      <c r="B19" s="1190"/>
      <c r="C19" s="1184">
        <f>'[29]Master Data'!D28</f>
        <v>43247.567999999999</v>
      </c>
      <c r="D19" s="1190">
        <f>'[29]Master Data'!D50</f>
        <v>1.4</v>
      </c>
      <c r="E19" s="1436">
        <f t="shared" si="0"/>
        <v>60546.595199999996</v>
      </c>
      <c r="F19" s="1434"/>
      <c r="G19" s="1435"/>
      <c r="J19" s="1435"/>
    </row>
    <row r="20" spans="1:10" x14ac:dyDescent="0.2">
      <c r="A20" s="724" t="s">
        <v>2377</v>
      </c>
      <c r="B20" s="1190"/>
      <c r="C20" s="1184">
        <f>'[29]Master Data'!D29</f>
        <v>50780.922400000003</v>
      </c>
      <c r="D20" s="1190">
        <f>'[29]Master Data'!D51</f>
        <v>4.2</v>
      </c>
      <c r="E20" s="1436">
        <f t="shared" si="0"/>
        <v>213279.87408000001</v>
      </c>
      <c r="F20" s="1434"/>
      <c r="G20" s="1435"/>
      <c r="J20" s="1435"/>
    </row>
    <row r="21" spans="1:10" x14ac:dyDescent="0.2">
      <c r="A21" s="1195" t="s">
        <v>20</v>
      </c>
      <c r="B21" s="1439"/>
      <c r="C21" s="1196"/>
      <c r="D21" s="1440">
        <f>SUM(D5:D20)</f>
        <v>57.965769230769233</v>
      </c>
      <c r="E21" s="1441">
        <f>SUM(E5:E20)</f>
        <v>4223684.3620160008</v>
      </c>
      <c r="F21" s="1434"/>
      <c r="G21" s="1435"/>
      <c r="J21" s="1435"/>
    </row>
    <row r="22" spans="1:10" ht="21.6" customHeight="1" x14ac:dyDescent="0.2">
      <c r="A22" s="724"/>
      <c r="F22" s="1434"/>
      <c r="G22" s="1435"/>
      <c r="J22" s="1435"/>
    </row>
    <row r="23" spans="1:10" ht="15" customHeight="1" x14ac:dyDescent="0.2">
      <c r="A23" s="731" t="s">
        <v>21</v>
      </c>
      <c r="D23" s="1183" t="s">
        <v>22</v>
      </c>
      <c r="F23" s="1434"/>
      <c r="G23" s="1435"/>
      <c r="J23" s="1435"/>
    </row>
    <row r="24" spans="1:10" x14ac:dyDescent="0.2">
      <c r="A24" s="724" t="s">
        <v>23</v>
      </c>
      <c r="C24" s="726">
        <f>'[29]Master Data'!D54</f>
        <v>0.24970000000000001</v>
      </c>
      <c r="E24" s="1184">
        <f>C24*E21</f>
        <v>1054653.9851953953</v>
      </c>
      <c r="F24" s="1434"/>
      <c r="G24" s="1435"/>
      <c r="J24" s="1435"/>
    </row>
    <row r="25" spans="1:10" x14ac:dyDescent="0.2">
      <c r="A25" s="1195" t="s">
        <v>24</v>
      </c>
      <c r="B25" s="1439"/>
      <c r="C25" s="1196"/>
      <c r="D25" s="1197"/>
      <c r="E25" s="1444">
        <f>E24+E21</f>
        <v>5278338.3472113963</v>
      </c>
      <c r="F25" s="1434"/>
      <c r="G25" s="1435"/>
      <c r="J25" s="1435"/>
    </row>
    <row r="26" spans="1:10" x14ac:dyDescent="0.2">
      <c r="A26" s="724" t="s">
        <v>26</v>
      </c>
      <c r="D26" s="1200">
        <f>'[29]Master Data'!D58</f>
        <v>12.323322000000001</v>
      </c>
      <c r="E26" s="1201">
        <f>D26*E3</f>
        <v>67470.187950000007</v>
      </c>
      <c r="F26" s="1434"/>
      <c r="G26" s="1435"/>
      <c r="J26" s="1435"/>
    </row>
    <row r="27" spans="1:10" x14ac:dyDescent="0.2">
      <c r="A27" s="724" t="s">
        <v>2360</v>
      </c>
      <c r="D27" s="1200">
        <f>'[29]Master Data'!D60</f>
        <v>4.6250999999999998</v>
      </c>
      <c r="E27" s="1201">
        <f>E3*D27</f>
        <v>25322.422499999997</v>
      </c>
      <c r="F27" s="1434"/>
      <c r="G27" s="1435"/>
      <c r="J27" s="1435"/>
    </row>
    <row r="28" spans="1:10" x14ac:dyDescent="0.2">
      <c r="A28" s="724" t="s">
        <v>2362</v>
      </c>
      <c r="D28" s="1200">
        <f>'[29]Master Data'!D61</f>
        <v>28.058940000000003</v>
      </c>
      <c r="E28" s="1201">
        <f>D28*E3</f>
        <v>153622.69650000002</v>
      </c>
      <c r="F28" s="1434"/>
      <c r="G28" s="1435"/>
      <c r="J28" s="1435"/>
    </row>
    <row r="29" spans="1:10" x14ac:dyDescent="0.2">
      <c r="A29" s="724" t="s">
        <v>27</v>
      </c>
      <c r="D29" s="1200">
        <f>'[29]Master Data'!D59</f>
        <v>25.695</v>
      </c>
      <c r="E29" s="1201">
        <f>D29*E3</f>
        <v>140680.125</v>
      </c>
      <c r="F29" s="1434"/>
      <c r="G29" s="1435">
        <v>2784594</v>
      </c>
      <c r="H29" s="1447">
        <f>3453166</f>
        <v>3453166</v>
      </c>
      <c r="I29" s="1435" t="s">
        <v>2363</v>
      </c>
      <c r="J29" s="1435"/>
    </row>
    <row r="30" spans="1:10" x14ac:dyDescent="0.2">
      <c r="A30" s="1195" t="s">
        <v>29</v>
      </c>
      <c r="B30" s="1439"/>
      <c r="C30" s="1196"/>
      <c r="D30" s="1196"/>
      <c r="E30" s="1444">
        <f>SUM(E25:E29)</f>
        <v>5665433.7791613964</v>
      </c>
      <c r="F30" s="1434"/>
      <c r="G30" s="1435"/>
      <c r="H30" s="1435">
        <f>E25-H29</f>
        <v>1825172.3472113963</v>
      </c>
      <c r="J30" s="1435"/>
    </row>
    <row r="31" spans="1:10" x14ac:dyDescent="0.2">
      <c r="A31" s="724" t="s">
        <v>30</v>
      </c>
      <c r="C31" s="726">
        <f>'[29]M2021 BLS  SALARY CHART'!C41</f>
        <v>0.12</v>
      </c>
      <c r="E31" s="1184">
        <f>C31*E30</f>
        <v>679852.05349936755</v>
      </c>
      <c r="F31" s="1434"/>
      <c r="G31" s="1435"/>
      <c r="J31" s="1435"/>
    </row>
    <row r="32" spans="1:10" x14ac:dyDescent="0.2">
      <c r="A32" s="724" t="s">
        <v>179</v>
      </c>
      <c r="C32" s="726">
        <f>'[29]Master Data'!D55</f>
        <v>3.2549514448865162E-2</v>
      </c>
      <c r="E32" s="1184">
        <f>E30*C32</f>
        <v>184407.11865390264</v>
      </c>
      <c r="F32" s="1434"/>
      <c r="G32" s="1435">
        <f>(E25-G29)/G29</f>
        <v>0.89555042753500014</v>
      </c>
      <c r="H32" s="1435">
        <f>(E25-H29)/H29</f>
        <v>0.52855042219557247</v>
      </c>
      <c r="I32" s="1447">
        <f>G32-H32</f>
        <v>0.36700000533942767</v>
      </c>
      <c r="J32" s="1435"/>
    </row>
    <row r="33" spans="1:22" ht="13.5" thickBot="1" x14ac:dyDescent="0.25">
      <c r="A33" s="1203" t="s">
        <v>31</v>
      </c>
      <c r="B33" s="385"/>
      <c r="C33" s="1204"/>
      <c r="D33" s="1204"/>
      <c r="E33" s="1449">
        <f>SUM(E30:E32)</f>
        <v>6529692.9513146672</v>
      </c>
      <c r="F33" s="1434"/>
      <c r="G33" s="1435"/>
      <c r="J33" s="1435"/>
    </row>
    <row r="34" spans="1:22" ht="14.25" thickTop="1" thickBot="1" x14ac:dyDescent="0.25">
      <c r="A34" s="724"/>
      <c r="C34" s="726"/>
      <c r="E34" s="1450"/>
      <c r="F34" s="1434"/>
      <c r="G34" s="1435"/>
      <c r="J34" s="1451"/>
    </row>
    <row r="35" spans="1:22" ht="13.5" thickBot="1" x14ac:dyDescent="0.25">
      <c r="A35" s="1356" t="s">
        <v>2368</v>
      </c>
      <c r="B35" s="1452"/>
      <c r="C35" s="1192"/>
      <c r="D35" s="1453"/>
      <c r="E35" s="1454"/>
      <c r="F35" s="1455">
        <f>E33/12</f>
        <v>544141.07927622227</v>
      </c>
      <c r="G35" s="1435"/>
      <c r="J35" s="1435"/>
    </row>
    <row r="36" spans="1:22" ht="13.5" thickBot="1" x14ac:dyDescent="0.25">
      <c r="A36" s="1456"/>
      <c r="B36" s="1457"/>
      <c r="C36" s="1458"/>
      <c r="D36" s="1459"/>
      <c r="E36" s="1459"/>
      <c r="F36" s="1434"/>
      <c r="G36" s="1435"/>
      <c r="H36" s="1435">
        <v>57.97</v>
      </c>
      <c r="J36" s="1435"/>
    </row>
    <row r="37" spans="1:22" ht="13.5" thickBot="1" x14ac:dyDescent="0.25">
      <c r="A37" s="1456"/>
      <c r="B37" s="1457"/>
      <c r="C37" s="1458"/>
      <c r="D37" s="1459"/>
      <c r="E37" s="1460"/>
      <c r="F37" s="1461">
        <v>497888</v>
      </c>
      <c r="G37" s="1462"/>
      <c r="H37" s="1463">
        <v>46.81</v>
      </c>
      <c r="I37" s="1462"/>
      <c r="J37" s="1464">
        <f>(F35-F37)/F37</f>
        <v>9.2898562078664815E-2</v>
      </c>
    </row>
    <row r="38" spans="1:22" x14ac:dyDescent="0.2">
      <c r="B38" s="1457"/>
      <c r="D38" s="1459"/>
      <c r="E38" s="1459"/>
      <c r="F38" s="383"/>
      <c r="G38" s="1465"/>
      <c r="H38" s="1435">
        <f>H36-H37</f>
        <v>11.159999999999997</v>
      </c>
      <c r="I38" s="1465"/>
      <c r="J38" s="1465"/>
    </row>
    <row r="39" spans="1:22" x14ac:dyDescent="0.2">
      <c r="B39" s="1466"/>
      <c r="F39" s="1467"/>
      <c r="G39" s="1468"/>
      <c r="H39" s="1468"/>
      <c r="I39" s="1468"/>
      <c r="J39" s="1468"/>
    </row>
    <row r="40" spans="1:22" x14ac:dyDescent="0.2">
      <c r="B40" s="1466"/>
      <c r="E40" s="1469"/>
      <c r="F40" s="1435"/>
      <c r="G40" s="1435"/>
      <c r="J40" s="1464"/>
    </row>
    <row r="41" spans="1:22" x14ac:dyDescent="0.2">
      <c r="B41" s="1466"/>
      <c r="F41" s="1465"/>
      <c r="G41" s="1465"/>
      <c r="H41" s="1465"/>
      <c r="I41" s="1465"/>
      <c r="J41" s="1464"/>
      <c r="K41" s="726"/>
    </row>
    <row r="42" spans="1:22" x14ac:dyDescent="0.2">
      <c r="B42" s="1466"/>
      <c r="D42" s="2043"/>
      <c r="E42" s="2043"/>
      <c r="F42" s="1435"/>
      <c r="G42" s="1435"/>
      <c r="J42" s="1435"/>
    </row>
    <row r="43" spans="1:22" x14ac:dyDescent="0.2">
      <c r="F43" s="1435"/>
      <c r="G43" s="1435"/>
      <c r="J43" s="1435"/>
    </row>
    <row r="44" spans="1:22" x14ac:dyDescent="0.2">
      <c r="F44" s="1465"/>
      <c r="G44" s="1435"/>
      <c r="J44" s="1464"/>
      <c r="N44" s="1443" t="s">
        <v>2352</v>
      </c>
    </row>
    <row r="45" spans="1:22" x14ac:dyDescent="0.2">
      <c r="F45" s="1435"/>
      <c r="G45" s="1435"/>
      <c r="J45" s="1435"/>
      <c r="N45" s="1443"/>
    </row>
    <row r="46" spans="1:22" x14ac:dyDescent="0.2">
      <c r="F46" s="1465"/>
      <c r="G46" s="1435"/>
      <c r="J46" s="1435"/>
      <c r="O46" s="1180" t="s">
        <v>2353</v>
      </c>
      <c r="P46" s="1180" t="s">
        <v>2354</v>
      </c>
      <c r="Q46" s="1180" t="s">
        <v>2355</v>
      </c>
      <c r="R46" s="1180" t="s">
        <v>2356</v>
      </c>
      <c r="S46" s="1180" t="s">
        <v>2357</v>
      </c>
      <c r="T46" s="1180" t="s">
        <v>2358</v>
      </c>
      <c r="U46" s="1180" t="s">
        <v>2359</v>
      </c>
    </row>
    <row r="47" spans="1:22" x14ac:dyDescent="0.2">
      <c r="N47" s="383" t="s">
        <v>33</v>
      </c>
      <c r="O47" s="1446">
        <v>16</v>
      </c>
      <c r="P47" s="1446">
        <v>16</v>
      </c>
      <c r="Q47" s="1446">
        <v>16</v>
      </c>
      <c r="R47" s="1446">
        <v>16</v>
      </c>
      <c r="S47" s="1446">
        <v>16</v>
      </c>
      <c r="T47" s="1446">
        <v>16</v>
      </c>
      <c r="U47" s="1446">
        <v>16</v>
      </c>
      <c r="V47" s="1213" t="s">
        <v>2361</v>
      </c>
    </row>
    <row r="48" spans="1:22" x14ac:dyDescent="0.2">
      <c r="K48" s="1180"/>
      <c r="N48" s="383" t="s">
        <v>34</v>
      </c>
      <c r="O48" s="1446">
        <v>16</v>
      </c>
      <c r="P48" s="1446">
        <v>16</v>
      </c>
      <c r="Q48" s="1446">
        <v>16</v>
      </c>
      <c r="R48" s="1446">
        <v>16</v>
      </c>
      <c r="S48" s="1446">
        <v>16</v>
      </c>
      <c r="T48" s="1446">
        <v>16</v>
      </c>
      <c r="U48" s="1446">
        <v>16</v>
      </c>
      <c r="V48" s="1213"/>
    </row>
    <row r="49" spans="3:23" x14ac:dyDescent="0.2">
      <c r="K49" s="1180"/>
      <c r="N49" s="383" t="s">
        <v>35</v>
      </c>
      <c r="O49" s="1446">
        <v>8</v>
      </c>
      <c r="P49" s="1446">
        <v>8</v>
      </c>
      <c r="Q49" s="1446">
        <v>8</v>
      </c>
      <c r="R49" s="1446">
        <v>8</v>
      </c>
      <c r="S49" s="1446">
        <v>8</v>
      </c>
      <c r="T49" s="1446">
        <v>8</v>
      </c>
      <c r="U49" s="1446">
        <v>8</v>
      </c>
      <c r="V49" s="1213" t="s">
        <v>2364</v>
      </c>
    </row>
    <row r="50" spans="3:23" x14ac:dyDescent="0.2">
      <c r="K50" s="147"/>
      <c r="L50" s="1183"/>
      <c r="M50" s="1183"/>
      <c r="V50" s="383">
        <f>SUM(O47:U49)</f>
        <v>280</v>
      </c>
      <c r="W50" s="383" t="s">
        <v>2365</v>
      </c>
    </row>
    <row r="51" spans="3:23" x14ac:dyDescent="0.2">
      <c r="K51" s="1190"/>
      <c r="V51" s="383">
        <f>V50/40</f>
        <v>7</v>
      </c>
      <c r="W51" s="383" t="s">
        <v>6</v>
      </c>
    </row>
    <row r="52" spans="3:23" x14ac:dyDescent="0.2">
      <c r="E52" s="1201"/>
      <c r="V52" s="1448">
        <f>V51*'[29]Master Data'!D10</f>
        <v>1.1038461538461539</v>
      </c>
      <c r="W52" s="383" t="s">
        <v>2366</v>
      </c>
    </row>
    <row r="53" spans="3:23" x14ac:dyDescent="0.2">
      <c r="K53" s="1190"/>
      <c r="V53" s="1448">
        <f>SUM(V51:V52)</f>
        <v>8.1038461538461544</v>
      </c>
      <c r="W53" s="383" t="s">
        <v>2367</v>
      </c>
    </row>
    <row r="54" spans="3:23" x14ac:dyDescent="0.2">
      <c r="C54" s="1200"/>
      <c r="K54" s="1190"/>
    </row>
    <row r="55" spans="3:23" x14ac:dyDescent="0.2">
      <c r="C55" s="1475"/>
      <c r="K55" s="1190"/>
      <c r="N55" s="1443" t="s">
        <v>9</v>
      </c>
    </row>
    <row r="56" spans="3:23" x14ac:dyDescent="0.2">
      <c r="C56" s="1475"/>
      <c r="K56" s="1190"/>
      <c r="O56" s="1180" t="s">
        <v>2353</v>
      </c>
      <c r="P56" s="1180" t="s">
        <v>2354</v>
      </c>
      <c r="Q56" s="1180" t="s">
        <v>2355</v>
      </c>
      <c r="R56" s="1180" t="s">
        <v>2356</v>
      </c>
      <c r="S56" s="1180" t="s">
        <v>2357</v>
      </c>
      <c r="T56" s="1180" t="s">
        <v>2358</v>
      </c>
      <c r="U56" s="1180" t="s">
        <v>2359</v>
      </c>
    </row>
    <row r="57" spans="3:23" x14ac:dyDescent="0.2">
      <c r="C57" s="1475"/>
      <c r="K57" s="1190"/>
      <c r="N57" s="383" t="s">
        <v>33</v>
      </c>
      <c r="O57" s="1446">
        <v>8</v>
      </c>
      <c r="P57" s="1446">
        <v>8</v>
      </c>
      <c r="Q57" s="1446">
        <v>8</v>
      </c>
      <c r="R57" s="1446">
        <v>8</v>
      </c>
      <c r="S57" s="1446">
        <v>8</v>
      </c>
      <c r="T57" s="1446">
        <v>8</v>
      </c>
      <c r="U57" s="1446">
        <v>8</v>
      </c>
    </row>
    <row r="58" spans="3:23" x14ac:dyDescent="0.2">
      <c r="C58" s="1200"/>
      <c r="K58" s="1190"/>
      <c r="N58" s="383" t="s">
        <v>34</v>
      </c>
      <c r="O58" s="1446">
        <v>8</v>
      </c>
      <c r="P58" s="1446">
        <v>8</v>
      </c>
      <c r="Q58" s="1446">
        <v>8</v>
      </c>
      <c r="R58" s="1446">
        <v>8</v>
      </c>
      <c r="S58" s="1446">
        <v>8</v>
      </c>
      <c r="T58" s="1446">
        <v>8</v>
      </c>
      <c r="U58" s="1446">
        <v>8</v>
      </c>
    </row>
    <row r="59" spans="3:23" x14ac:dyDescent="0.2">
      <c r="N59" s="383" t="s">
        <v>35</v>
      </c>
      <c r="O59" s="1446">
        <v>8</v>
      </c>
      <c r="P59" s="1446">
        <v>8</v>
      </c>
      <c r="Q59" s="1446">
        <v>8</v>
      </c>
      <c r="R59" s="1446">
        <v>8</v>
      </c>
      <c r="S59" s="1446">
        <v>8</v>
      </c>
      <c r="T59" s="1446">
        <v>8</v>
      </c>
      <c r="U59" s="1446">
        <v>8</v>
      </c>
    </row>
    <row r="60" spans="3:23" x14ac:dyDescent="0.2">
      <c r="K60" s="1190"/>
      <c r="V60" s="383">
        <f>SUM(O57:U59)</f>
        <v>168</v>
      </c>
      <c r="W60" s="383" t="s">
        <v>2365</v>
      </c>
    </row>
    <row r="61" spans="3:23" x14ac:dyDescent="0.2">
      <c r="K61" s="1190"/>
      <c r="V61" s="383">
        <f>V60/40</f>
        <v>4.2</v>
      </c>
      <c r="W61" s="383" t="s">
        <v>2369</v>
      </c>
    </row>
    <row r="62" spans="3:23" x14ac:dyDescent="0.2">
      <c r="V62" s="1448"/>
    </row>
    <row r="63" spans="3:23" x14ac:dyDescent="0.2">
      <c r="K63" s="1190"/>
      <c r="V63" s="1448"/>
    </row>
    <row r="64" spans="3:23" x14ac:dyDescent="0.2">
      <c r="K64" s="1190"/>
      <c r="N64" s="1443" t="s">
        <v>39</v>
      </c>
    </row>
    <row r="65" spans="1:23" x14ac:dyDescent="0.2">
      <c r="K65" s="1190"/>
      <c r="O65" s="1180" t="s">
        <v>2353</v>
      </c>
      <c r="P65" s="1180" t="s">
        <v>2354</v>
      </c>
      <c r="Q65" s="1180" t="s">
        <v>2355</v>
      </c>
      <c r="R65" s="1180" t="s">
        <v>2356</v>
      </c>
      <c r="S65" s="1180" t="s">
        <v>2357</v>
      </c>
      <c r="T65" s="1180" t="s">
        <v>2358</v>
      </c>
      <c r="U65" s="1180" t="s">
        <v>2359</v>
      </c>
    </row>
    <row r="66" spans="1:23" x14ac:dyDescent="0.2">
      <c r="K66" s="1190"/>
      <c r="N66" s="383" t="s">
        <v>33</v>
      </c>
      <c r="O66" s="1446">
        <v>40</v>
      </c>
      <c r="P66" s="1446">
        <v>40</v>
      </c>
      <c r="Q66" s="1446">
        <v>40</v>
      </c>
      <c r="R66" s="1446">
        <v>40</v>
      </c>
      <c r="S66" s="1446">
        <v>40</v>
      </c>
      <c r="T66" s="1446">
        <v>40</v>
      </c>
      <c r="U66" s="1446">
        <v>40</v>
      </c>
      <c r="V66" s="1213" t="s">
        <v>2370</v>
      </c>
    </row>
    <row r="67" spans="1:23" x14ac:dyDescent="0.2">
      <c r="N67" s="383" t="s">
        <v>34</v>
      </c>
      <c r="O67" s="1446">
        <v>40</v>
      </c>
      <c r="P67" s="1446">
        <v>40</v>
      </c>
      <c r="Q67" s="1446">
        <v>40</v>
      </c>
      <c r="R67" s="1446">
        <v>40</v>
      </c>
      <c r="S67" s="1446">
        <v>40</v>
      </c>
      <c r="T67" s="1446">
        <v>40</v>
      </c>
      <c r="U67" s="1446">
        <v>40</v>
      </c>
    </row>
    <row r="68" spans="1:23" x14ac:dyDescent="0.2">
      <c r="K68" s="1190"/>
      <c r="N68" s="383" t="s">
        <v>35</v>
      </c>
      <c r="O68" s="1446">
        <v>40</v>
      </c>
      <c r="P68" s="1446">
        <v>40</v>
      </c>
      <c r="Q68" s="1446">
        <v>40</v>
      </c>
      <c r="R68" s="1446">
        <v>40</v>
      </c>
      <c r="S68" s="1446">
        <v>40</v>
      </c>
      <c r="T68" s="1446">
        <v>40</v>
      </c>
      <c r="U68" s="1446">
        <v>40</v>
      </c>
    </row>
    <row r="69" spans="1:23" x14ac:dyDescent="0.2">
      <c r="K69" s="726"/>
      <c r="V69" s="383">
        <f>SUM(O66:U68)</f>
        <v>840</v>
      </c>
      <c r="W69" s="383" t="s">
        <v>2365</v>
      </c>
    </row>
    <row r="70" spans="1:23" x14ac:dyDescent="0.2">
      <c r="V70" s="1448">
        <f>V69/40</f>
        <v>21</v>
      </c>
      <c r="W70" s="383" t="s">
        <v>6</v>
      </c>
    </row>
    <row r="71" spans="1:23" x14ac:dyDescent="0.2">
      <c r="V71" s="1448">
        <f>V70*'[29]Master Data'!D10</f>
        <v>3.3115384615384613</v>
      </c>
      <c r="W71" s="383" t="s">
        <v>2366</v>
      </c>
    </row>
    <row r="72" spans="1:23" x14ac:dyDescent="0.2">
      <c r="A72" s="384"/>
      <c r="V72" s="1448">
        <f>SUM(V70:V71)</f>
        <v>24.311538461538461</v>
      </c>
      <c r="W72" s="383" t="s">
        <v>2371</v>
      </c>
    </row>
    <row r="73" spans="1:23" x14ac:dyDescent="0.2">
      <c r="A73" s="384"/>
    </row>
    <row r="74" spans="1:23" x14ac:dyDescent="0.2">
      <c r="A74" s="384"/>
      <c r="N74" s="1443" t="s">
        <v>2372</v>
      </c>
    </row>
    <row r="75" spans="1:23" x14ac:dyDescent="0.2">
      <c r="A75" s="384"/>
      <c r="E75" s="1448"/>
      <c r="F75" s="383"/>
      <c r="K75" s="726"/>
      <c r="O75" s="1180" t="s">
        <v>2353</v>
      </c>
      <c r="P75" s="1180" t="s">
        <v>2354</v>
      </c>
      <c r="Q75" s="1180" t="s">
        <v>2355</v>
      </c>
      <c r="R75" s="1180" t="s">
        <v>2356</v>
      </c>
      <c r="S75" s="1180" t="s">
        <v>2357</v>
      </c>
      <c r="T75" s="1180" t="s">
        <v>2358</v>
      </c>
      <c r="U75" s="1180" t="s">
        <v>2359</v>
      </c>
    </row>
    <row r="76" spans="1:23" ht="13.35" customHeight="1" x14ac:dyDescent="0.2">
      <c r="F76" s="383"/>
      <c r="N76" s="383" t="s">
        <v>33</v>
      </c>
      <c r="O76" s="1446">
        <v>16</v>
      </c>
      <c r="P76" s="1446">
        <v>16</v>
      </c>
      <c r="Q76" s="1446">
        <v>16</v>
      </c>
      <c r="R76" s="1446">
        <v>16</v>
      </c>
      <c r="S76" s="1446">
        <v>16</v>
      </c>
      <c r="T76" s="1446">
        <v>16</v>
      </c>
      <c r="U76" s="1446">
        <v>16</v>
      </c>
    </row>
    <row r="77" spans="1:23" x14ac:dyDescent="0.2">
      <c r="N77" s="383" t="s">
        <v>34</v>
      </c>
      <c r="O77" s="1446">
        <v>8</v>
      </c>
      <c r="P77" s="1446">
        <v>8</v>
      </c>
      <c r="Q77" s="1446">
        <v>8</v>
      </c>
      <c r="R77" s="1446">
        <v>8</v>
      </c>
      <c r="S77" s="1446">
        <v>8</v>
      </c>
      <c r="T77" s="1446">
        <v>8</v>
      </c>
      <c r="U77" s="1446">
        <v>8</v>
      </c>
    </row>
    <row r="78" spans="1:23" x14ac:dyDescent="0.2">
      <c r="N78" s="383" t="s">
        <v>35</v>
      </c>
      <c r="O78" s="1446">
        <v>0</v>
      </c>
      <c r="P78" s="1446">
        <v>0</v>
      </c>
      <c r="Q78" s="1446">
        <v>0</v>
      </c>
      <c r="R78" s="1446">
        <v>0</v>
      </c>
      <c r="S78" s="1446">
        <v>0</v>
      </c>
      <c r="T78" s="1446">
        <v>0</v>
      </c>
      <c r="U78" s="1446">
        <v>0</v>
      </c>
    </row>
    <row r="79" spans="1:23" x14ac:dyDescent="0.2">
      <c r="A79" s="384"/>
      <c r="V79" s="383">
        <f>SUM(O76:U78)</f>
        <v>168</v>
      </c>
      <c r="W79" s="383" t="s">
        <v>2365</v>
      </c>
    </row>
    <row r="80" spans="1:23" x14ac:dyDescent="0.2">
      <c r="V80" s="383">
        <f>V79/40</f>
        <v>4.2</v>
      </c>
      <c r="W80" s="383" t="s">
        <v>2373</v>
      </c>
    </row>
    <row r="104" spans="1:10" s="384" customFormat="1" x14ac:dyDescent="0.2">
      <c r="A104" s="383"/>
      <c r="C104" s="383"/>
      <c r="D104" s="383"/>
      <c r="E104" s="383"/>
      <c r="F104" s="1470"/>
      <c r="G104" s="1470"/>
      <c r="H104" s="1435"/>
      <c r="I104" s="1435"/>
      <c r="J104" s="1470"/>
    </row>
    <row r="105" spans="1:10" s="384" customFormat="1" x14ac:dyDescent="0.2">
      <c r="A105" s="383"/>
      <c r="C105" s="383"/>
      <c r="D105" s="383"/>
      <c r="E105" s="383"/>
      <c r="F105" s="1470"/>
      <c r="G105" s="1470"/>
      <c r="H105" s="1435"/>
      <c r="I105" s="1435"/>
      <c r="J105" s="1470"/>
    </row>
    <row r="106" spans="1:10" s="384" customFormat="1" x14ac:dyDescent="0.2">
      <c r="A106" s="383"/>
      <c r="C106" s="383"/>
      <c r="D106" s="383"/>
      <c r="E106" s="383"/>
      <c r="F106" s="1470"/>
      <c r="G106" s="1470"/>
      <c r="H106" s="1435"/>
      <c r="I106" s="1435"/>
      <c r="J106" s="1470"/>
    </row>
    <row r="107" spans="1:10" s="384" customFormat="1" x14ac:dyDescent="0.2">
      <c r="A107" s="383"/>
      <c r="C107" s="383"/>
      <c r="D107" s="383"/>
      <c r="E107" s="383"/>
      <c r="F107" s="1470"/>
      <c r="G107" s="1470"/>
      <c r="H107" s="1435"/>
      <c r="I107" s="1435"/>
      <c r="J107" s="1470"/>
    </row>
    <row r="111" spans="1:10" s="384" customFormat="1" x14ac:dyDescent="0.2">
      <c r="A111" s="383"/>
      <c r="C111" s="383"/>
      <c r="D111" s="383"/>
      <c r="E111" s="383"/>
      <c r="F111" s="1470"/>
      <c r="G111" s="1470"/>
      <c r="H111" s="1435"/>
      <c r="I111" s="1435"/>
      <c r="J111" s="1470"/>
    </row>
  </sheetData>
  <mergeCells count="3">
    <mergeCell ref="A1:E2"/>
    <mergeCell ref="F1:F2"/>
    <mergeCell ref="D42:E42"/>
  </mergeCells>
  <pageMargins left="0.25" right="0.25" top="0.75" bottom="0.75" header="0.3" footer="0.3"/>
  <pageSetup scale="88" fitToHeight="0" orientation="portrait" r:id="rId1"/>
  <headerFooter>
    <oddFooter>&amp;R&amp;F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9537E-9205-413C-A3BD-3DD341293BF9}">
  <dimension ref="A1:DF48"/>
  <sheetViews>
    <sheetView workbookViewId="0">
      <selection activeCell="BZ55" sqref="BZ55"/>
    </sheetView>
  </sheetViews>
  <sheetFormatPr defaultRowHeight="12.75" x14ac:dyDescent="0.2"/>
  <cols>
    <col min="1" max="1" width="38.42578125" style="882" customWidth="1"/>
    <col min="2" max="2" width="12.85546875" style="887" customWidth="1"/>
    <col min="3" max="73" width="7.7109375" style="882" hidden="1" customWidth="1"/>
    <col min="74" max="82" width="7.7109375" style="882" customWidth="1"/>
    <col min="83" max="16384" width="9.140625" style="882"/>
  </cols>
  <sheetData>
    <row r="1" spans="1:110" ht="18" x14ac:dyDescent="0.25">
      <c r="A1" s="1859" t="s">
        <v>62</v>
      </c>
      <c r="B1" s="1860"/>
    </row>
    <row r="2" spans="1:110" ht="15.75" x14ac:dyDescent="0.25">
      <c r="A2" s="883" t="s">
        <v>671</v>
      </c>
      <c r="B2" s="884"/>
    </row>
    <row r="3" spans="1:110" ht="15.75" thickBot="1" x14ac:dyDescent="0.3">
      <c r="A3" s="885" t="s">
        <v>64</v>
      </c>
      <c r="B3" s="886"/>
    </row>
    <row r="6" spans="1:110" x14ac:dyDescent="0.2">
      <c r="CC6" s="888" t="s">
        <v>435</v>
      </c>
      <c r="CD6" s="888" t="s">
        <v>435</v>
      </c>
      <c r="CE6" s="888" t="s">
        <v>435</v>
      </c>
      <c r="CF6" s="888" t="s">
        <v>435</v>
      </c>
      <c r="CG6" s="889" t="s">
        <v>436</v>
      </c>
      <c r="CH6" s="889" t="s">
        <v>436</v>
      </c>
      <c r="CI6" s="889" t="s">
        <v>436</v>
      </c>
      <c r="CJ6" s="889" t="s">
        <v>436</v>
      </c>
      <c r="CK6" s="890" t="s">
        <v>672</v>
      </c>
      <c r="CL6" s="890" t="s">
        <v>672</v>
      </c>
      <c r="CM6" s="890" t="s">
        <v>672</v>
      </c>
      <c r="CN6" s="890" t="s">
        <v>672</v>
      </c>
      <c r="CO6" s="891" t="s">
        <v>673</v>
      </c>
      <c r="CP6" s="891" t="s">
        <v>673</v>
      </c>
      <c r="CQ6" s="891" t="s">
        <v>673</v>
      </c>
      <c r="CR6" s="891" t="s">
        <v>673</v>
      </c>
    </row>
    <row r="7" spans="1:110" s="887" customFormat="1" x14ac:dyDescent="0.2">
      <c r="B7" s="887" t="s">
        <v>81</v>
      </c>
      <c r="C7" s="892" t="s">
        <v>82</v>
      </c>
      <c r="D7" s="892" t="s">
        <v>83</v>
      </c>
      <c r="E7" s="892" t="s">
        <v>84</v>
      </c>
      <c r="F7" s="892" t="s">
        <v>85</v>
      </c>
      <c r="G7" s="892" t="s">
        <v>86</v>
      </c>
      <c r="H7" s="892" t="s">
        <v>87</v>
      </c>
      <c r="I7" s="892" t="s">
        <v>88</v>
      </c>
      <c r="J7" s="892" t="s">
        <v>89</v>
      </c>
      <c r="K7" s="892" t="s">
        <v>90</v>
      </c>
      <c r="L7" s="892" t="s">
        <v>91</v>
      </c>
      <c r="M7" s="892" t="s">
        <v>92</v>
      </c>
      <c r="N7" s="892" t="s">
        <v>93</v>
      </c>
      <c r="O7" s="892" t="s">
        <v>94</v>
      </c>
      <c r="P7" s="892" t="s">
        <v>95</v>
      </c>
      <c r="Q7" s="892" t="s">
        <v>96</v>
      </c>
      <c r="R7" s="892" t="s">
        <v>97</v>
      </c>
      <c r="S7" s="892" t="s">
        <v>98</v>
      </c>
      <c r="T7" s="892" t="s">
        <v>99</v>
      </c>
      <c r="U7" s="892" t="s">
        <v>100</v>
      </c>
      <c r="V7" s="892" t="s">
        <v>101</v>
      </c>
      <c r="W7" s="892" t="s">
        <v>102</v>
      </c>
      <c r="X7" s="892" t="s">
        <v>103</v>
      </c>
      <c r="Y7" s="892" t="s">
        <v>104</v>
      </c>
      <c r="Z7" s="892" t="s">
        <v>105</v>
      </c>
      <c r="AA7" s="892" t="s">
        <v>106</v>
      </c>
      <c r="AB7" s="892" t="s">
        <v>107</v>
      </c>
      <c r="AC7" s="892" t="s">
        <v>108</v>
      </c>
      <c r="AD7" s="892" t="s">
        <v>109</v>
      </c>
      <c r="AE7" s="892" t="s">
        <v>110</v>
      </c>
      <c r="AF7" s="892" t="s">
        <v>111</v>
      </c>
      <c r="AG7" s="892" t="s">
        <v>112</v>
      </c>
      <c r="AH7" s="892" t="s">
        <v>113</v>
      </c>
      <c r="AI7" s="892" t="s">
        <v>114</v>
      </c>
      <c r="AJ7" s="892" t="s">
        <v>115</v>
      </c>
      <c r="AK7" s="892" t="s">
        <v>116</v>
      </c>
      <c r="AL7" s="892" t="s">
        <v>117</v>
      </c>
      <c r="AM7" s="892" t="s">
        <v>118</v>
      </c>
      <c r="AN7" s="892" t="s">
        <v>119</v>
      </c>
      <c r="AO7" s="892" t="s">
        <v>120</v>
      </c>
      <c r="AP7" s="892" t="s">
        <v>121</v>
      </c>
      <c r="AQ7" s="892" t="s">
        <v>122</v>
      </c>
      <c r="AR7" s="892" t="s">
        <v>123</v>
      </c>
      <c r="AS7" s="892" t="s">
        <v>124</v>
      </c>
      <c r="AT7" s="892" t="s">
        <v>125</v>
      </c>
      <c r="AU7" s="887" t="s">
        <v>126</v>
      </c>
      <c r="AV7" s="887" t="s">
        <v>127</v>
      </c>
      <c r="AW7" s="887" t="s">
        <v>128</v>
      </c>
      <c r="AX7" s="887" t="s">
        <v>129</v>
      </c>
      <c r="AY7" s="887" t="s">
        <v>130</v>
      </c>
      <c r="AZ7" s="887" t="s">
        <v>131</v>
      </c>
      <c r="BA7" s="887" t="s">
        <v>132</v>
      </c>
      <c r="BB7" s="887" t="s">
        <v>133</v>
      </c>
      <c r="BC7" s="887" t="s">
        <v>134</v>
      </c>
      <c r="BD7" s="887" t="s">
        <v>135</v>
      </c>
      <c r="BE7" s="887" t="s">
        <v>136</v>
      </c>
      <c r="BF7" s="887" t="s">
        <v>137</v>
      </c>
      <c r="BG7" s="887" t="s">
        <v>138</v>
      </c>
      <c r="BH7" s="887" t="s">
        <v>139</v>
      </c>
      <c r="BI7" s="887" t="s">
        <v>140</v>
      </c>
      <c r="BJ7" s="887" t="s">
        <v>141</v>
      </c>
      <c r="BK7" s="887" t="s">
        <v>142</v>
      </c>
      <c r="BL7" s="887" t="s">
        <v>143</v>
      </c>
      <c r="BM7" s="887" t="s">
        <v>144</v>
      </c>
      <c r="BN7" s="887" t="s">
        <v>145</v>
      </c>
      <c r="BO7" s="887" t="s">
        <v>146</v>
      </c>
      <c r="BP7" s="887" t="s">
        <v>147</v>
      </c>
      <c r="BQ7" s="887" t="s">
        <v>148</v>
      </c>
      <c r="BR7" s="887" t="s">
        <v>149</v>
      </c>
      <c r="BS7" s="887" t="s">
        <v>150</v>
      </c>
      <c r="BT7" s="887" t="s">
        <v>151</v>
      </c>
      <c r="BU7" s="887" t="s">
        <v>152</v>
      </c>
      <c r="BV7" s="887" t="s">
        <v>153</v>
      </c>
      <c r="BW7" s="887" t="s">
        <v>154</v>
      </c>
      <c r="BX7" s="887" t="s">
        <v>155</v>
      </c>
      <c r="BY7" s="887" t="s">
        <v>156</v>
      </c>
      <c r="BZ7" s="887" t="s">
        <v>157</v>
      </c>
      <c r="CA7" s="887" t="s">
        <v>158</v>
      </c>
      <c r="CB7" s="887" t="s">
        <v>159</v>
      </c>
      <c r="CC7" s="887" t="s">
        <v>160</v>
      </c>
      <c r="CD7" s="887" t="s">
        <v>161</v>
      </c>
      <c r="CE7" s="887" t="s">
        <v>162</v>
      </c>
      <c r="CF7" s="887" t="s">
        <v>163</v>
      </c>
      <c r="CG7" s="887" t="s">
        <v>164</v>
      </c>
      <c r="CH7" s="887" t="s">
        <v>165</v>
      </c>
      <c r="CI7" s="887" t="s">
        <v>437</v>
      </c>
      <c r="CJ7" s="887" t="s">
        <v>438</v>
      </c>
      <c r="CK7" s="887" t="s">
        <v>439</v>
      </c>
      <c r="CL7" s="887" t="s">
        <v>440</v>
      </c>
      <c r="CM7" s="887" t="s">
        <v>441</v>
      </c>
      <c r="CN7" s="887" t="s">
        <v>442</v>
      </c>
      <c r="CO7" s="887" t="s">
        <v>443</v>
      </c>
      <c r="CP7" s="887" t="s">
        <v>444</v>
      </c>
      <c r="CQ7" s="887" t="s">
        <v>445</v>
      </c>
      <c r="CR7" s="887" t="s">
        <v>446</v>
      </c>
      <c r="CS7" s="887" t="s">
        <v>447</v>
      </c>
      <c r="CT7" s="887" t="s">
        <v>448</v>
      </c>
      <c r="CU7" s="887" t="s">
        <v>674</v>
      </c>
      <c r="CV7" s="887" t="s">
        <v>675</v>
      </c>
      <c r="CW7" s="887" t="s">
        <v>676</v>
      </c>
      <c r="CX7" s="887" t="s">
        <v>677</v>
      </c>
      <c r="CY7" s="887" t="s">
        <v>678</v>
      </c>
      <c r="CZ7" s="887" t="s">
        <v>679</v>
      </c>
      <c r="DA7" s="887" t="s">
        <v>680</v>
      </c>
      <c r="DB7" s="887" t="s">
        <v>681</v>
      </c>
      <c r="DC7" s="887" t="s">
        <v>682</v>
      </c>
      <c r="DD7" s="887" t="s">
        <v>683</v>
      </c>
      <c r="DE7" s="887" t="s">
        <v>684</v>
      </c>
      <c r="DF7" s="887" t="s">
        <v>685</v>
      </c>
    </row>
    <row r="8" spans="1:110" x14ac:dyDescent="0.2">
      <c r="A8" s="887" t="s">
        <v>167</v>
      </c>
      <c r="B8" s="887" t="s">
        <v>168</v>
      </c>
      <c r="C8" s="893">
        <v>2.0063967944573302</v>
      </c>
      <c r="D8" s="893">
        <v>2.0292109297185799</v>
      </c>
      <c r="E8" s="893">
        <v>2.0375058295190498</v>
      </c>
      <c r="F8" s="893">
        <v>2.06056286491336</v>
      </c>
      <c r="G8" s="893">
        <v>2.0745428604526199</v>
      </c>
      <c r="H8" s="893">
        <v>2.0848413941935999</v>
      </c>
      <c r="I8" s="893">
        <v>2.1205826507328598</v>
      </c>
      <c r="J8" s="893">
        <v>2.1424708889297399</v>
      </c>
      <c r="K8" s="893">
        <v>2.1577842143700501</v>
      </c>
      <c r="L8" s="893">
        <v>2.1833771506398501</v>
      </c>
      <c r="M8" s="893">
        <v>2.2041521339054801</v>
      </c>
      <c r="N8" s="893">
        <v>2.1895699800145501</v>
      </c>
      <c r="O8" s="893">
        <v>2.2079136110252899</v>
      </c>
      <c r="P8" s="893">
        <v>2.22788120701059</v>
      </c>
      <c r="Q8" s="893">
        <v>2.2459724770552998</v>
      </c>
      <c r="R8" s="893">
        <v>2.2732174952512398</v>
      </c>
      <c r="S8" s="893">
        <v>2.2978763341263799</v>
      </c>
      <c r="T8" s="893">
        <v>2.3349096781978398</v>
      </c>
      <c r="U8" s="893">
        <v>2.3734038596485099</v>
      </c>
      <c r="V8" s="893">
        <v>2.3214065405194502</v>
      </c>
      <c r="W8" s="893">
        <v>2.30398378778303</v>
      </c>
      <c r="X8" s="893">
        <v>2.3147083800778501</v>
      </c>
      <c r="Y8" s="893">
        <v>2.33384264563343</v>
      </c>
      <c r="Z8" s="893">
        <v>2.3520478742720301</v>
      </c>
      <c r="AA8" s="893">
        <v>2.35710662986398</v>
      </c>
      <c r="AB8" s="893">
        <v>2.3597617242881999</v>
      </c>
      <c r="AC8" s="893">
        <v>2.3675152110919599</v>
      </c>
      <c r="AD8" s="893">
        <v>2.3894355869441899</v>
      </c>
      <c r="AE8" s="893">
        <v>2.40815819227547</v>
      </c>
      <c r="AF8" s="893">
        <v>2.44430890044428</v>
      </c>
      <c r="AG8" s="893">
        <v>2.4604257745065699</v>
      </c>
      <c r="AH8" s="893">
        <v>2.4673861530990902</v>
      </c>
      <c r="AI8" s="893">
        <v>2.48042073711553</v>
      </c>
      <c r="AJ8" s="893">
        <v>2.4867997015171999</v>
      </c>
      <c r="AK8" s="893">
        <v>2.4979963270933299</v>
      </c>
      <c r="AL8" s="893">
        <v>2.5174928668501901</v>
      </c>
      <c r="AM8" s="893">
        <v>2.52334068619753</v>
      </c>
      <c r="AN8" s="893">
        <v>2.5236312406637</v>
      </c>
      <c r="AO8" s="893">
        <v>2.53852614076715</v>
      </c>
      <c r="AP8" s="893">
        <v>2.5493471020021499</v>
      </c>
      <c r="AQ8" s="893">
        <v>2.5641196272997999</v>
      </c>
      <c r="AR8" s="893">
        <v>2.5682533521263</v>
      </c>
      <c r="AS8" s="893">
        <v>2.5745604439045402</v>
      </c>
      <c r="AT8" s="893">
        <v>2.5703855371384798</v>
      </c>
      <c r="AU8" s="893">
        <v>2.5621096470938398</v>
      </c>
      <c r="AV8" s="893">
        <v>2.57383315818505</v>
      </c>
      <c r="AW8" s="893">
        <v>2.5763813062717098</v>
      </c>
      <c r="AX8" s="893">
        <v>2.5767536568672198</v>
      </c>
      <c r="AY8" s="893">
        <v>2.5717145141704401</v>
      </c>
      <c r="AZ8" s="893">
        <v>2.5921806314594802</v>
      </c>
      <c r="BA8" s="893">
        <v>2.6069809626114901</v>
      </c>
      <c r="BB8" s="893">
        <v>2.6253970020753399</v>
      </c>
      <c r="BC8" s="893">
        <v>2.64311388125578</v>
      </c>
      <c r="BD8" s="893">
        <v>2.64546660406153</v>
      </c>
      <c r="BE8" s="893">
        <v>2.6516461802012401</v>
      </c>
      <c r="BF8" s="893">
        <v>2.6731214386986899</v>
      </c>
      <c r="BG8" s="893">
        <v>2.6992395466316998</v>
      </c>
      <c r="BH8" s="893">
        <v>2.7183438993189601</v>
      </c>
      <c r="BI8" s="893">
        <v>2.7305561512385701</v>
      </c>
      <c r="BJ8" s="893">
        <v>2.74253282416533</v>
      </c>
      <c r="BK8" s="893">
        <v>2.7480564459173999</v>
      </c>
      <c r="BL8" s="893">
        <v>2.7688782846120299</v>
      </c>
      <c r="BM8" s="893">
        <v>2.7849600301573001</v>
      </c>
      <c r="BN8" s="893">
        <v>2.7960315775651199</v>
      </c>
      <c r="BO8" s="893">
        <v>2.8046313693112501</v>
      </c>
      <c r="BP8" s="893">
        <v>2.7904564390836502</v>
      </c>
      <c r="BQ8" s="893">
        <v>2.8032012428447599</v>
      </c>
      <c r="BR8" s="893">
        <v>2.8160110728518499</v>
      </c>
      <c r="BS8" s="893">
        <v>2.8427513358899001</v>
      </c>
      <c r="BT8" s="893">
        <v>2.8785483334867901</v>
      </c>
      <c r="BU8" s="893">
        <v>2.9207292897956099</v>
      </c>
      <c r="BV8" s="893">
        <v>2.9773693852936902</v>
      </c>
      <c r="BW8" s="893">
        <v>3.0336330216182201</v>
      </c>
      <c r="BX8" s="893">
        <v>3.0947841762379902</v>
      </c>
      <c r="BY8" s="893">
        <v>3.1308382651775801</v>
      </c>
      <c r="BZ8" s="893">
        <v>3.1647578482205798</v>
      </c>
      <c r="CA8" s="893">
        <v>3.1699728449320399</v>
      </c>
      <c r="CB8" s="893">
        <v>3.1726433528765199</v>
      </c>
      <c r="CC8" s="893">
        <v>3.1988751075198198</v>
      </c>
      <c r="CD8" s="893">
        <v>3.22193842078046</v>
      </c>
      <c r="CE8" s="893">
        <v>3.2482217134576001</v>
      </c>
      <c r="CF8" s="893">
        <v>3.2956347050253401</v>
      </c>
      <c r="CG8" s="893">
        <v>3.3068651934414</v>
      </c>
      <c r="CH8" s="893">
        <v>3.3215129166372299</v>
      </c>
      <c r="CI8" s="893">
        <v>3.33644348125376</v>
      </c>
      <c r="CJ8" s="893">
        <v>3.3572212983318299</v>
      </c>
      <c r="CK8" s="893">
        <v>3.3807002427985302</v>
      </c>
      <c r="CL8" s="893">
        <v>3.4059969087009301</v>
      </c>
      <c r="CM8" s="893">
        <v>3.4377337181428</v>
      </c>
      <c r="CN8" s="893">
        <v>3.4574970892838501</v>
      </c>
      <c r="CO8" s="893">
        <v>3.4821949067167401</v>
      </c>
      <c r="CP8" s="893">
        <v>3.5031566001205299</v>
      </c>
      <c r="CQ8" s="893">
        <v>3.52270272713641</v>
      </c>
      <c r="CR8" s="893">
        <v>3.5419955790195701</v>
      </c>
      <c r="CS8" s="893">
        <v>3.5559381202671498</v>
      </c>
      <c r="CT8" s="893">
        <v>3.57575112832704</v>
      </c>
      <c r="CU8" s="893">
        <v>3.5964338270398999</v>
      </c>
      <c r="CV8" s="893">
        <v>3.61801770409354</v>
      </c>
      <c r="CW8" s="893">
        <v>3.6408977322046501</v>
      </c>
      <c r="CX8" s="893">
        <v>3.6618400116250398</v>
      </c>
      <c r="CY8" s="893">
        <v>3.6802375110753398</v>
      </c>
      <c r="CZ8" s="893">
        <v>3.7008477513768301</v>
      </c>
      <c r="DA8" s="893">
        <v>3.7223543645572499</v>
      </c>
      <c r="DB8" s="893">
        <v>3.7436102533270601</v>
      </c>
      <c r="DC8" s="893">
        <v>3.7639621402043901</v>
      </c>
      <c r="DD8" s="893">
        <v>3.7858589715223401</v>
      </c>
      <c r="DE8" s="893">
        <v>3.8072431216507701</v>
      </c>
      <c r="DF8" s="893">
        <v>3.82745157800891</v>
      </c>
    </row>
    <row r="9" spans="1:110" x14ac:dyDescent="0.2">
      <c r="A9" s="887" t="s">
        <v>169</v>
      </c>
      <c r="B9" s="887" t="s">
        <v>170</v>
      </c>
      <c r="C9" s="893">
        <v>2.0063967944573302</v>
      </c>
      <c r="D9" s="893">
        <v>2.0292109297185799</v>
      </c>
      <c r="E9" s="893">
        <v>2.0375058295190498</v>
      </c>
      <c r="F9" s="893">
        <v>2.06056286491336</v>
      </c>
      <c r="G9" s="893">
        <v>2.0745428604526199</v>
      </c>
      <c r="H9" s="893">
        <v>2.0848413941935999</v>
      </c>
      <c r="I9" s="893">
        <v>2.1205826507328598</v>
      </c>
      <c r="J9" s="893">
        <v>2.1424708889297399</v>
      </c>
      <c r="K9" s="893">
        <v>2.1577842143700501</v>
      </c>
      <c r="L9" s="893">
        <v>2.1833771506398501</v>
      </c>
      <c r="M9" s="893">
        <v>2.2041521339054801</v>
      </c>
      <c r="N9" s="893">
        <v>2.1895699800145501</v>
      </c>
      <c r="O9" s="893">
        <v>2.2079136110252899</v>
      </c>
      <c r="P9" s="893">
        <v>2.22788120701059</v>
      </c>
      <c r="Q9" s="893">
        <v>2.2459724770552998</v>
      </c>
      <c r="R9" s="893">
        <v>2.2732174952512398</v>
      </c>
      <c r="S9" s="893">
        <v>2.2978763341263799</v>
      </c>
      <c r="T9" s="893">
        <v>2.3349096781978398</v>
      </c>
      <c r="U9" s="893">
        <v>2.3734038596485099</v>
      </c>
      <c r="V9" s="893">
        <v>2.3214065405194502</v>
      </c>
      <c r="W9" s="893">
        <v>2.30398378778303</v>
      </c>
      <c r="X9" s="893">
        <v>2.3147083800778501</v>
      </c>
      <c r="Y9" s="893">
        <v>2.33384264563343</v>
      </c>
      <c r="Z9" s="893">
        <v>2.3520478742720301</v>
      </c>
      <c r="AA9" s="893">
        <v>2.35710662986398</v>
      </c>
      <c r="AB9" s="893">
        <v>2.3597617242881999</v>
      </c>
      <c r="AC9" s="893">
        <v>2.3675152110919599</v>
      </c>
      <c r="AD9" s="893">
        <v>2.3894355869441899</v>
      </c>
      <c r="AE9" s="893">
        <v>2.40815819227547</v>
      </c>
      <c r="AF9" s="893">
        <v>2.44430890044428</v>
      </c>
      <c r="AG9" s="893">
        <v>2.4604257745065699</v>
      </c>
      <c r="AH9" s="893">
        <v>2.4673861530990902</v>
      </c>
      <c r="AI9" s="893">
        <v>2.48042073711553</v>
      </c>
      <c r="AJ9" s="893">
        <v>2.4867997015171999</v>
      </c>
      <c r="AK9" s="893">
        <v>2.4979963270933299</v>
      </c>
      <c r="AL9" s="893">
        <v>2.5174928668501901</v>
      </c>
      <c r="AM9" s="893">
        <v>2.52334068619753</v>
      </c>
      <c r="AN9" s="893">
        <v>2.5236312406637</v>
      </c>
      <c r="AO9" s="893">
        <v>2.53852614076715</v>
      </c>
      <c r="AP9" s="893">
        <v>2.5493471020021499</v>
      </c>
      <c r="AQ9" s="893">
        <v>2.5641196272997999</v>
      </c>
      <c r="AR9" s="893">
        <v>2.5682533521263</v>
      </c>
      <c r="AS9" s="893">
        <v>2.5745604439045402</v>
      </c>
      <c r="AT9" s="893">
        <v>2.5703855371384798</v>
      </c>
      <c r="AU9" s="893">
        <v>2.5621096470938398</v>
      </c>
      <c r="AV9" s="893">
        <v>2.57383315818505</v>
      </c>
      <c r="AW9" s="893">
        <v>2.5763813062717098</v>
      </c>
      <c r="AX9" s="893">
        <v>2.5767536568672198</v>
      </c>
      <c r="AY9" s="893">
        <v>2.5717145141704401</v>
      </c>
      <c r="AZ9" s="893">
        <v>2.5921806314594802</v>
      </c>
      <c r="BA9" s="893">
        <v>2.6069809626114901</v>
      </c>
      <c r="BB9" s="893">
        <v>2.6253970020753399</v>
      </c>
      <c r="BC9" s="893">
        <v>2.64311388125578</v>
      </c>
      <c r="BD9" s="893">
        <v>2.64546660406153</v>
      </c>
      <c r="BE9" s="893">
        <v>2.6516461802012401</v>
      </c>
      <c r="BF9" s="893">
        <v>2.6731214386986899</v>
      </c>
      <c r="BG9" s="893">
        <v>2.6992395466316998</v>
      </c>
      <c r="BH9" s="893">
        <v>2.7183438993189601</v>
      </c>
      <c r="BI9" s="893">
        <v>2.7305561512385701</v>
      </c>
      <c r="BJ9" s="893">
        <v>2.74253282416533</v>
      </c>
      <c r="BK9" s="893">
        <v>2.7480564459173999</v>
      </c>
      <c r="BL9" s="893">
        <v>2.7688782846120299</v>
      </c>
      <c r="BM9" s="893">
        <v>2.7849600301573001</v>
      </c>
      <c r="BN9" s="893">
        <v>2.7960315775651199</v>
      </c>
      <c r="BO9" s="893">
        <v>2.8046313693112501</v>
      </c>
      <c r="BP9" s="893">
        <v>2.7904564390836502</v>
      </c>
      <c r="BQ9" s="893">
        <v>2.8032012428447599</v>
      </c>
      <c r="BR9" s="893">
        <v>2.8160110728518499</v>
      </c>
      <c r="BS9" s="893">
        <v>2.8427513358899001</v>
      </c>
      <c r="BT9" s="893">
        <v>2.8785483334867901</v>
      </c>
      <c r="BU9" s="893">
        <v>2.9207292897956099</v>
      </c>
      <c r="BV9" s="893">
        <v>2.9773693852936902</v>
      </c>
      <c r="BW9" s="893">
        <v>3.0336330216182201</v>
      </c>
      <c r="BX9" s="893">
        <v>3.0947841762379902</v>
      </c>
      <c r="BY9" s="893">
        <v>3.1308382651775801</v>
      </c>
      <c r="BZ9" s="893">
        <v>3.1647578482205798</v>
      </c>
      <c r="CA9" s="893">
        <v>3.1699728449320399</v>
      </c>
      <c r="CB9" s="893">
        <v>3.1726433528765199</v>
      </c>
      <c r="CC9" s="893">
        <v>3.1988751075198198</v>
      </c>
      <c r="CD9" s="893">
        <v>3.22193842078046</v>
      </c>
      <c r="CE9" s="893">
        <v>3.2482217134576001</v>
      </c>
      <c r="CF9" s="893">
        <v>3.2956347050253401</v>
      </c>
      <c r="CG9" s="893">
        <v>3.2956818187049399</v>
      </c>
      <c r="CH9" s="893">
        <v>3.30792205959977</v>
      </c>
      <c r="CI9" s="893">
        <v>3.3215284214171801</v>
      </c>
      <c r="CJ9" s="893">
        <v>3.3405839801810502</v>
      </c>
      <c r="CK9" s="893">
        <v>3.3614239742545502</v>
      </c>
      <c r="CL9" s="893">
        <v>3.38426406518745</v>
      </c>
      <c r="CM9" s="893">
        <v>3.4138940790776999</v>
      </c>
      <c r="CN9" s="893">
        <v>3.4314671893760398</v>
      </c>
      <c r="CO9" s="893">
        <v>3.4539470339367302</v>
      </c>
      <c r="CP9" s="893">
        <v>3.47269459852044</v>
      </c>
      <c r="CQ9" s="893">
        <v>3.49005249564626</v>
      </c>
      <c r="CR9" s="893">
        <v>3.5070492246636702</v>
      </c>
      <c r="CS9" s="893">
        <v>3.5187919040562301</v>
      </c>
      <c r="CT9" s="893">
        <v>3.53647849692035</v>
      </c>
      <c r="CU9" s="893">
        <v>3.5550620795049301</v>
      </c>
      <c r="CV9" s="893">
        <v>3.5745297767497299</v>
      </c>
      <c r="CW9" s="893">
        <v>3.5952897092899598</v>
      </c>
      <c r="CX9" s="893">
        <v>3.6139753890265802</v>
      </c>
      <c r="CY9" s="893">
        <v>3.6302782464144498</v>
      </c>
      <c r="CZ9" s="893">
        <v>3.6485793510484301</v>
      </c>
      <c r="DA9" s="893">
        <v>3.6675896522072202</v>
      </c>
      <c r="DB9" s="893">
        <v>3.6861868903925301</v>
      </c>
      <c r="DC9" s="893">
        <v>3.7039124585854499</v>
      </c>
      <c r="DD9" s="893">
        <v>3.72290689668923</v>
      </c>
      <c r="DE9" s="893">
        <v>3.7412610936331001</v>
      </c>
      <c r="DF9" s="893">
        <v>3.7582877239941199</v>
      </c>
    </row>
    <row r="10" spans="1:110" x14ac:dyDescent="0.2">
      <c r="A10" s="887" t="s">
        <v>171</v>
      </c>
      <c r="B10" s="887" t="s">
        <v>172</v>
      </c>
      <c r="C10" s="893">
        <v>2.0063967944573302</v>
      </c>
      <c r="D10" s="893">
        <v>2.0292109297185799</v>
      </c>
      <c r="E10" s="893">
        <v>2.0375058295190498</v>
      </c>
      <c r="F10" s="893">
        <v>2.06056286491336</v>
      </c>
      <c r="G10" s="893">
        <v>2.0745428604526199</v>
      </c>
      <c r="H10" s="893">
        <v>2.0848413941935999</v>
      </c>
      <c r="I10" s="893">
        <v>2.1205826507328598</v>
      </c>
      <c r="J10" s="893">
        <v>2.1424708889297399</v>
      </c>
      <c r="K10" s="893">
        <v>2.1577842143700501</v>
      </c>
      <c r="L10" s="893">
        <v>2.1833771506398501</v>
      </c>
      <c r="M10" s="893">
        <v>2.2041521339054801</v>
      </c>
      <c r="N10" s="893">
        <v>2.1895699800145501</v>
      </c>
      <c r="O10" s="893">
        <v>2.2079136110252899</v>
      </c>
      <c r="P10" s="893">
        <v>2.22788120701059</v>
      </c>
      <c r="Q10" s="893">
        <v>2.2459724770552998</v>
      </c>
      <c r="R10" s="893">
        <v>2.2732174952512398</v>
      </c>
      <c r="S10" s="893">
        <v>2.2978763341263799</v>
      </c>
      <c r="T10" s="893">
        <v>2.3349096781978398</v>
      </c>
      <c r="U10" s="893">
        <v>2.3734038596485099</v>
      </c>
      <c r="V10" s="893">
        <v>2.3214065405194502</v>
      </c>
      <c r="W10" s="893">
        <v>2.30398378778303</v>
      </c>
      <c r="X10" s="893">
        <v>2.3147083800778501</v>
      </c>
      <c r="Y10" s="893">
        <v>2.33384264563343</v>
      </c>
      <c r="Z10" s="893">
        <v>2.3520478742720301</v>
      </c>
      <c r="AA10" s="893">
        <v>2.35710662986398</v>
      </c>
      <c r="AB10" s="893">
        <v>2.3597617242881999</v>
      </c>
      <c r="AC10" s="893">
        <v>2.3675152110919599</v>
      </c>
      <c r="AD10" s="893">
        <v>2.3894355869441899</v>
      </c>
      <c r="AE10" s="893">
        <v>2.40815819227547</v>
      </c>
      <c r="AF10" s="893">
        <v>2.44430890044428</v>
      </c>
      <c r="AG10" s="893">
        <v>2.4604257745065699</v>
      </c>
      <c r="AH10" s="893">
        <v>2.4673861530990902</v>
      </c>
      <c r="AI10" s="893">
        <v>2.48042073711553</v>
      </c>
      <c r="AJ10" s="893">
        <v>2.4867997015171999</v>
      </c>
      <c r="AK10" s="893">
        <v>2.4979963270933299</v>
      </c>
      <c r="AL10" s="893">
        <v>2.5174928668501901</v>
      </c>
      <c r="AM10" s="893">
        <v>2.52334068619753</v>
      </c>
      <c r="AN10" s="893">
        <v>2.5236312406637</v>
      </c>
      <c r="AO10" s="893">
        <v>2.53852614076715</v>
      </c>
      <c r="AP10" s="893">
        <v>2.5493471020021499</v>
      </c>
      <c r="AQ10" s="893">
        <v>2.5641196272997999</v>
      </c>
      <c r="AR10" s="893">
        <v>2.5682533521263</v>
      </c>
      <c r="AS10" s="893">
        <v>2.5745604439045402</v>
      </c>
      <c r="AT10" s="893">
        <v>2.5703855371384798</v>
      </c>
      <c r="AU10" s="893">
        <v>2.5621096470938398</v>
      </c>
      <c r="AV10" s="893">
        <v>2.57383315818505</v>
      </c>
      <c r="AW10" s="893">
        <v>2.5763813062717098</v>
      </c>
      <c r="AX10" s="893">
        <v>2.5767536568672198</v>
      </c>
      <c r="AY10" s="893">
        <v>2.5717145141704401</v>
      </c>
      <c r="AZ10" s="893">
        <v>2.5921806314594802</v>
      </c>
      <c r="BA10" s="893">
        <v>2.6069809626114901</v>
      </c>
      <c r="BB10" s="893">
        <v>2.6253970020753399</v>
      </c>
      <c r="BC10" s="893">
        <v>2.64311388125578</v>
      </c>
      <c r="BD10" s="893">
        <v>2.64546660406153</v>
      </c>
      <c r="BE10" s="893">
        <v>2.6516461802012401</v>
      </c>
      <c r="BF10" s="893">
        <v>2.6731214386986899</v>
      </c>
      <c r="BG10" s="893">
        <v>2.6992395466316998</v>
      </c>
      <c r="BH10" s="893">
        <v>2.7183438993189601</v>
      </c>
      <c r="BI10" s="893">
        <v>2.7305561512385701</v>
      </c>
      <c r="BJ10" s="893">
        <v>2.74253282416533</v>
      </c>
      <c r="BK10" s="893">
        <v>2.7480564459173999</v>
      </c>
      <c r="BL10" s="893">
        <v>2.7688782846120299</v>
      </c>
      <c r="BM10" s="893">
        <v>2.7849600301573001</v>
      </c>
      <c r="BN10" s="893">
        <v>2.7960315775651199</v>
      </c>
      <c r="BO10" s="893">
        <v>2.8046313693112501</v>
      </c>
      <c r="BP10" s="893">
        <v>2.7904564390836502</v>
      </c>
      <c r="BQ10" s="893">
        <v>2.8032012428447599</v>
      </c>
      <c r="BR10" s="893">
        <v>2.8160110728518499</v>
      </c>
      <c r="BS10" s="893">
        <v>2.8427513358899001</v>
      </c>
      <c r="BT10" s="893">
        <v>2.8785483334867901</v>
      </c>
      <c r="BU10" s="893">
        <v>2.9207292897956099</v>
      </c>
      <c r="BV10" s="893">
        <v>2.9773693852936902</v>
      </c>
      <c r="BW10" s="893">
        <v>3.0336330216182201</v>
      </c>
      <c r="BX10" s="893">
        <v>3.0947841762379902</v>
      </c>
      <c r="BY10" s="893">
        <v>3.1308382651775801</v>
      </c>
      <c r="BZ10" s="893">
        <v>3.1647578482205798</v>
      </c>
      <c r="CA10" s="893">
        <v>3.1699728449320399</v>
      </c>
      <c r="CB10" s="893">
        <v>3.1726433528765199</v>
      </c>
      <c r="CC10" s="893">
        <v>3.1988751075198198</v>
      </c>
      <c r="CD10" s="893">
        <v>3.22193842078046</v>
      </c>
      <c r="CE10" s="893">
        <v>3.2482217134576001</v>
      </c>
      <c r="CF10" s="893">
        <v>3.2956347050253401</v>
      </c>
      <c r="CG10" s="893">
        <v>3.3328946110561599</v>
      </c>
      <c r="CH10" s="893">
        <v>3.36074834534553</v>
      </c>
      <c r="CI10" s="893">
        <v>3.3902946752043399</v>
      </c>
      <c r="CJ10" s="893">
        <v>3.42312033100974</v>
      </c>
      <c r="CK10" s="893">
        <v>3.4590872492515499</v>
      </c>
      <c r="CL10" s="893">
        <v>3.4964583573124401</v>
      </c>
      <c r="CM10" s="893">
        <v>3.5398838730279301</v>
      </c>
      <c r="CN10" s="893">
        <v>3.5709423409877301</v>
      </c>
      <c r="CO10" s="893">
        <v>3.6075949532460601</v>
      </c>
      <c r="CP10" s="893">
        <v>3.6406746430719101</v>
      </c>
      <c r="CQ10" s="893">
        <v>3.6727184178307102</v>
      </c>
      <c r="CR10" s="893">
        <v>3.7047416963224702</v>
      </c>
      <c r="CS10" s="893">
        <v>3.7304473216979699</v>
      </c>
      <c r="CT10" s="893">
        <v>3.7624186037224798</v>
      </c>
      <c r="CU10" s="893">
        <v>3.79605055530654</v>
      </c>
      <c r="CV10" s="893">
        <v>3.8308948946381198</v>
      </c>
      <c r="CW10" s="893">
        <v>3.8673947300953402</v>
      </c>
      <c r="CX10" s="893">
        <v>3.9020162285803601</v>
      </c>
      <c r="CY10" s="893">
        <v>3.9341456558961099</v>
      </c>
      <c r="CZ10" s="893">
        <v>3.9683381696998699</v>
      </c>
      <c r="DA10" s="893">
        <v>4.0035641613789599</v>
      </c>
      <c r="DB10" s="893">
        <v>4.0386906917721097</v>
      </c>
      <c r="DC10" s="893">
        <v>4.0732428615725098</v>
      </c>
      <c r="DD10" s="893">
        <v>4.1093506579633496</v>
      </c>
      <c r="DE10" s="893">
        <v>4.1449735418232203</v>
      </c>
      <c r="DF10" s="893">
        <v>4.1796036208680798</v>
      </c>
    </row>
    <row r="12" spans="1:110" x14ac:dyDescent="0.2">
      <c r="C12" s="894"/>
      <c r="D12" s="894"/>
      <c r="E12" s="894"/>
      <c r="F12" s="894"/>
      <c r="G12" s="894"/>
      <c r="H12" s="894"/>
      <c r="I12" s="894"/>
      <c r="J12" s="894"/>
      <c r="K12" s="894"/>
      <c r="L12" s="894"/>
      <c r="M12" s="894"/>
      <c r="N12" s="894"/>
      <c r="O12" s="894"/>
      <c r="P12" s="894"/>
      <c r="Q12" s="894"/>
      <c r="R12" s="894"/>
      <c r="S12" s="894"/>
      <c r="T12" s="894"/>
      <c r="U12" s="894"/>
      <c r="V12" s="894"/>
      <c r="W12" s="894"/>
      <c r="X12" s="894"/>
      <c r="Y12" s="894"/>
      <c r="Z12" s="894"/>
      <c r="AA12" s="894"/>
      <c r="AB12" s="894"/>
      <c r="AC12" s="894"/>
      <c r="AD12" s="894"/>
      <c r="AE12" s="894"/>
      <c r="AF12" s="894"/>
      <c r="AG12" s="894"/>
      <c r="AH12" s="894"/>
      <c r="AI12" s="894"/>
      <c r="AJ12" s="894"/>
      <c r="AK12" s="894"/>
      <c r="AL12" s="894"/>
      <c r="AM12" s="894"/>
      <c r="AN12" s="894"/>
      <c r="AO12" s="894"/>
      <c r="AP12" s="894"/>
      <c r="AQ12" s="894"/>
      <c r="AR12" s="894"/>
      <c r="AS12" s="894"/>
      <c r="AT12" s="894"/>
    </row>
    <row r="13" spans="1:110" x14ac:dyDescent="0.2">
      <c r="C13" s="894"/>
      <c r="D13" s="894"/>
      <c r="E13" s="894"/>
      <c r="F13" s="894"/>
      <c r="G13" s="894"/>
      <c r="H13" s="894"/>
      <c r="I13" s="894"/>
      <c r="J13" s="894"/>
      <c r="K13" s="894"/>
      <c r="L13" s="894"/>
      <c r="M13" s="894"/>
      <c r="N13" s="894"/>
      <c r="O13" s="894"/>
      <c r="P13" s="894"/>
      <c r="Q13" s="894"/>
      <c r="R13" s="894"/>
      <c r="S13" s="894"/>
      <c r="T13" s="894"/>
      <c r="U13" s="894"/>
      <c r="V13" s="894"/>
      <c r="W13" s="894"/>
      <c r="X13" s="894"/>
      <c r="Y13" s="894"/>
      <c r="Z13" s="894"/>
      <c r="AA13" s="894"/>
      <c r="AB13" s="894"/>
      <c r="AC13" s="894"/>
      <c r="AD13" s="894"/>
      <c r="AE13" s="894"/>
      <c r="AF13" s="894"/>
      <c r="AG13" s="894"/>
      <c r="AH13" s="894"/>
      <c r="AI13" s="894"/>
      <c r="AJ13" s="894"/>
      <c r="AK13" s="894"/>
      <c r="AL13" s="894"/>
      <c r="AM13" s="894"/>
      <c r="AN13" s="894"/>
      <c r="AO13" s="894"/>
      <c r="AP13" s="894"/>
      <c r="AQ13" s="894"/>
      <c r="AR13" s="894"/>
      <c r="AS13" s="894"/>
      <c r="AT13" s="894"/>
    </row>
    <row r="14" spans="1:110" x14ac:dyDescent="0.2">
      <c r="C14" s="893"/>
      <c r="D14" s="893"/>
      <c r="E14" s="893"/>
      <c r="F14" s="893"/>
      <c r="G14" s="893"/>
      <c r="H14" s="893"/>
      <c r="I14" s="893"/>
      <c r="J14" s="893"/>
      <c r="K14" s="893"/>
      <c r="L14" s="893"/>
      <c r="M14" s="893"/>
      <c r="N14" s="893"/>
      <c r="O14" s="893"/>
      <c r="P14" s="893"/>
      <c r="Q14" s="893"/>
      <c r="R14" s="893"/>
      <c r="S14" s="893"/>
      <c r="T14" s="893"/>
      <c r="U14" s="893"/>
      <c r="V14" s="893"/>
      <c r="W14" s="893"/>
      <c r="X14" s="893"/>
      <c r="Y14" s="893"/>
      <c r="Z14" s="893"/>
      <c r="AA14" s="893"/>
      <c r="AB14" s="893"/>
      <c r="AC14" s="893"/>
      <c r="AD14" s="893"/>
      <c r="AE14" s="893"/>
      <c r="AF14" s="893"/>
      <c r="AG14" s="893"/>
      <c r="AH14" s="893"/>
      <c r="AI14" s="893"/>
      <c r="AJ14" s="893"/>
      <c r="AK14" s="893"/>
      <c r="AL14" s="893"/>
      <c r="AM14" s="893"/>
      <c r="AN14" s="893"/>
      <c r="AO14" s="893"/>
      <c r="AP14" s="893"/>
      <c r="AQ14" s="893"/>
      <c r="AR14" s="893"/>
      <c r="AS14" s="893"/>
      <c r="AT14" s="893"/>
    </row>
    <row r="18" spans="84:95" x14ac:dyDescent="0.2">
      <c r="CF18" s="895" t="s">
        <v>686</v>
      </c>
      <c r="CG18" s="896"/>
      <c r="CH18" s="896"/>
      <c r="CI18" s="897" t="s">
        <v>687</v>
      </c>
      <c r="CJ18" s="898"/>
      <c r="CK18" s="898"/>
      <c r="CL18" s="898"/>
      <c r="CM18" s="898"/>
      <c r="CN18" s="898"/>
      <c r="CO18" s="896"/>
      <c r="CP18" s="897" t="s">
        <v>688</v>
      </c>
      <c r="CQ18" s="897"/>
    </row>
    <row r="19" spans="84:95" x14ac:dyDescent="0.2">
      <c r="CF19" s="899"/>
      <c r="CG19" s="900"/>
      <c r="CH19" s="900"/>
      <c r="CI19" s="900"/>
      <c r="CJ19" s="900"/>
      <c r="CK19" s="900"/>
      <c r="CL19" s="900"/>
      <c r="CM19" s="900"/>
      <c r="CN19" s="900"/>
      <c r="CO19" s="900"/>
      <c r="CP19" s="900"/>
      <c r="CQ19" s="901"/>
    </row>
    <row r="20" spans="84:95" x14ac:dyDescent="0.2">
      <c r="CF20" s="902"/>
      <c r="CG20" s="903" t="s">
        <v>175</v>
      </c>
      <c r="CH20" s="904" t="s">
        <v>689</v>
      </c>
      <c r="CI20" s="896"/>
      <c r="CJ20" s="896"/>
      <c r="CK20" s="896"/>
      <c r="CL20" s="896"/>
      <c r="CM20" s="896"/>
      <c r="CN20" s="896"/>
      <c r="CO20" s="896"/>
      <c r="CP20" s="896"/>
      <c r="CQ20" s="905"/>
    </row>
    <row r="21" spans="84:95" x14ac:dyDescent="0.2">
      <c r="CF21" s="902"/>
      <c r="CG21" s="896"/>
      <c r="CH21" s="887" t="s">
        <v>438</v>
      </c>
      <c r="CI21" s="906"/>
      <c r="CJ21" s="906"/>
      <c r="CK21" s="906"/>
      <c r="CL21" s="896"/>
      <c r="CM21" s="896"/>
      <c r="CN21" s="896"/>
      <c r="CO21" s="896"/>
      <c r="CP21" s="896"/>
      <c r="CQ21" s="907" t="s">
        <v>176</v>
      </c>
    </row>
    <row r="22" spans="84:95" x14ac:dyDescent="0.2">
      <c r="CF22" s="902"/>
      <c r="CG22" s="896"/>
      <c r="CH22" s="893">
        <v>3.3572212983318299</v>
      </c>
      <c r="CI22" s="908"/>
      <c r="CJ22" s="908"/>
      <c r="CK22" s="908"/>
      <c r="CL22" s="896"/>
      <c r="CM22" s="896"/>
      <c r="CN22" s="896"/>
      <c r="CO22" s="896"/>
      <c r="CP22" s="896"/>
      <c r="CQ22" s="909">
        <f>AVERAGE(CH22:CK22)</f>
        <v>3.3572212983318299</v>
      </c>
    </row>
    <row r="23" spans="84:95" x14ac:dyDescent="0.2">
      <c r="CF23" s="902"/>
      <c r="CG23" s="896"/>
      <c r="CH23" s="896"/>
      <c r="CI23" s="896"/>
      <c r="CJ23" s="896"/>
      <c r="CK23" s="896"/>
      <c r="CL23" s="896"/>
      <c r="CM23" s="896"/>
      <c r="CN23" s="896"/>
      <c r="CO23" s="896"/>
      <c r="CP23" s="896"/>
      <c r="CQ23" s="910"/>
    </row>
    <row r="24" spans="84:95" x14ac:dyDescent="0.2">
      <c r="CF24" s="1861" t="s">
        <v>177</v>
      </c>
      <c r="CG24" s="1862"/>
      <c r="CH24" s="1862"/>
      <c r="CI24" s="896" t="s">
        <v>690</v>
      </c>
      <c r="CJ24" s="896"/>
      <c r="CK24" s="896"/>
      <c r="CL24" s="896"/>
      <c r="CM24" s="896"/>
      <c r="CN24" s="896"/>
      <c r="CO24" s="896"/>
      <c r="CP24" s="896"/>
      <c r="CQ24" s="910"/>
    </row>
    <row r="25" spans="84:95" x14ac:dyDescent="0.2">
      <c r="CF25" s="911"/>
      <c r="CG25" s="903"/>
      <c r="CH25" s="887" t="s">
        <v>439</v>
      </c>
      <c r="CI25" s="887" t="s">
        <v>440</v>
      </c>
      <c r="CJ25" s="887" t="s">
        <v>441</v>
      </c>
      <c r="CK25" s="887" t="s">
        <v>442</v>
      </c>
      <c r="CL25" s="887" t="s">
        <v>443</v>
      </c>
      <c r="CM25" s="887" t="s">
        <v>444</v>
      </c>
      <c r="CN25" s="887" t="s">
        <v>445</v>
      </c>
      <c r="CO25" s="887" t="s">
        <v>446</v>
      </c>
      <c r="CP25" s="896"/>
      <c r="CQ25" s="910"/>
    </row>
    <row r="26" spans="84:95" x14ac:dyDescent="0.2">
      <c r="CF26" s="902"/>
      <c r="CG26" s="896"/>
      <c r="CH26" s="893">
        <v>3.3807002427985302</v>
      </c>
      <c r="CI26" s="893">
        <v>3.4059969087009301</v>
      </c>
      <c r="CJ26" s="893">
        <v>3.4377337181428</v>
      </c>
      <c r="CK26" s="893">
        <v>3.4574970892838501</v>
      </c>
      <c r="CL26" s="893">
        <v>3.4821949067167401</v>
      </c>
      <c r="CM26" s="893">
        <v>3.5031566001205299</v>
      </c>
      <c r="CN26" s="893">
        <v>3.52270272713641</v>
      </c>
      <c r="CO26" s="893">
        <v>3.5419955790195701</v>
      </c>
      <c r="CP26" s="896"/>
      <c r="CQ26" s="909">
        <f>AVERAGE(CH26:CO26)</f>
        <v>3.4664972214899197</v>
      </c>
    </row>
    <row r="27" spans="84:95" x14ac:dyDescent="0.2">
      <c r="CF27" s="902"/>
      <c r="CG27" s="896"/>
      <c r="CH27" s="896"/>
      <c r="CI27" s="896"/>
      <c r="CJ27" s="896"/>
      <c r="CK27" s="896"/>
      <c r="CL27" s="896"/>
      <c r="CM27" s="896"/>
      <c r="CN27" s="896"/>
      <c r="CO27" s="896"/>
      <c r="CP27" s="896"/>
      <c r="CQ27" s="910"/>
    </row>
    <row r="28" spans="84:95" x14ac:dyDescent="0.2">
      <c r="CF28" s="902"/>
      <c r="CG28" s="896"/>
      <c r="CH28" s="896"/>
      <c r="CI28" s="896"/>
      <c r="CJ28" s="896"/>
      <c r="CK28" s="896"/>
      <c r="CL28" s="896"/>
      <c r="CM28" s="896"/>
      <c r="CN28" s="896"/>
      <c r="CO28" s="896"/>
      <c r="CP28" s="912" t="s">
        <v>179</v>
      </c>
      <c r="CQ28" s="913">
        <f>(CQ26-CQ22)/CQ22</f>
        <v>3.2549514448865162E-2</v>
      </c>
    </row>
    <row r="29" spans="84:95" x14ac:dyDescent="0.2">
      <c r="CF29" s="914"/>
      <c r="CG29" s="915"/>
      <c r="CH29" s="915"/>
      <c r="CI29" s="915"/>
      <c r="CJ29" s="915"/>
      <c r="CK29" s="915"/>
      <c r="CL29" s="915"/>
      <c r="CM29" s="915"/>
      <c r="CN29" s="915"/>
      <c r="CO29" s="915"/>
      <c r="CP29" s="915"/>
      <c r="CQ29" s="916"/>
    </row>
    <row r="33" spans="84:95" hidden="1" x14ac:dyDescent="0.2"/>
    <row r="34" spans="84:95" hidden="1" x14ac:dyDescent="0.2">
      <c r="CF34" s="895" t="s">
        <v>686</v>
      </c>
      <c r="CG34" s="896"/>
      <c r="CH34" s="896"/>
      <c r="CI34" s="897" t="s">
        <v>687</v>
      </c>
      <c r="CJ34" s="898"/>
      <c r="CK34" s="898"/>
      <c r="CL34" s="898"/>
      <c r="CM34" s="898"/>
      <c r="CN34" s="898"/>
      <c r="CO34" s="896"/>
      <c r="CP34" s="896" t="s">
        <v>691</v>
      </c>
      <c r="CQ34" s="896"/>
    </row>
    <row r="35" spans="84:95" hidden="1" x14ac:dyDescent="0.2">
      <c r="CF35" s="899"/>
      <c r="CG35" s="900"/>
      <c r="CH35" s="900"/>
      <c r="CI35" s="900"/>
      <c r="CJ35" s="900"/>
      <c r="CK35" s="900"/>
      <c r="CL35" s="900"/>
      <c r="CM35" s="900"/>
      <c r="CN35" s="900"/>
      <c r="CO35" s="900"/>
      <c r="CP35" s="900"/>
      <c r="CQ35" s="901"/>
    </row>
    <row r="36" spans="84:95" hidden="1" x14ac:dyDescent="0.2">
      <c r="CF36" s="902"/>
      <c r="CG36" s="903" t="s">
        <v>175</v>
      </c>
      <c r="CH36" s="904" t="s">
        <v>689</v>
      </c>
      <c r="CI36" s="896"/>
      <c r="CJ36" s="896"/>
      <c r="CK36" s="896"/>
      <c r="CL36" s="896"/>
      <c r="CM36" s="896"/>
      <c r="CN36" s="896"/>
      <c r="CO36" s="896"/>
      <c r="CP36" s="896"/>
      <c r="CQ36" s="905"/>
    </row>
    <row r="37" spans="84:95" hidden="1" x14ac:dyDescent="0.2">
      <c r="CF37" s="902"/>
      <c r="CG37" s="896"/>
      <c r="CH37" s="887" t="s">
        <v>438</v>
      </c>
      <c r="CI37" s="906"/>
      <c r="CJ37" s="906"/>
      <c r="CK37" s="906"/>
      <c r="CL37" s="896"/>
      <c r="CM37" s="896"/>
      <c r="CN37" s="896"/>
      <c r="CO37" s="896"/>
      <c r="CP37" s="896"/>
      <c r="CQ37" s="907" t="s">
        <v>176</v>
      </c>
    </row>
    <row r="38" spans="84:95" hidden="1" x14ac:dyDescent="0.2">
      <c r="CF38" s="902"/>
      <c r="CG38" s="896"/>
      <c r="CH38" s="893">
        <v>3.3405839801810502</v>
      </c>
      <c r="CI38" s="908"/>
      <c r="CJ38" s="908"/>
      <c r="CK38" s="908"/>
      <c r="CL38" s="896"/>
      <c r="CM38" s="896"/>
      <c r="CN38" s="896"/>
      <c r="CO38" s="896"/>
      <c r="CP38" s="896"/>
      <c r="CQ38" s="909">
        <f>AVERAGE(CH38:CK38)</f>
        <v>3.3405839801810502</v>
      </c>
    </row>
    <row r="39" spans="84:95" hidden="1" x14ac:dyDescent="0.2">
      <c r="CF39" s="902"/>
      <c r="CG39" s="896"/>
      <c r="CH39" s="896"/>
      <c r="CI39" s="896"/>
      <c r="CJ39" s="896"/>
      <c r="CK39" s="896"/>
      <c r="CL39" s="896"/>
      <c r="CM39" s="896"/>
      <c r="CN39" s="896"/>
      <c r="CO39" s="896"/>
      <c r="CP39" s="896"/>
      <c r="CQ39" s="910"/>
    </row>
    <row r="40" spans="84:95" hidden="1" x14ac:dyDescent="0.2">
      <c r="CF40" s="1861" t="s">
        <v>177</v>
      </c>
      <c r="CG40" s="1862"/>
      <c r="CH40" s="1862"/>
      <c r="CI40" s="896" t="s">
        <v>690</v>
      </c>
      <c r="CJ40" s="896"/>
      <c r="CK40" s="896"/>
      <c r="CL40" s="896"/>
      <c r="CM40" s="896"/>
      <c r="CN40" s="896"/>
      <c r="CO40" s="896"/>
      <c r="CP40" s="896"/>
      <c r="CQ40" s="910"/>
    </row>
    <row r="41" spans="84:95" hidden="1" x14ac:dyDescent="0.2">
      <c r="CF41" s="911"/>
      <c r="CG41" s="903"/>
      <c r="CH41" s="887" t="s">
        <v>439</v>
      </c>
      <c r="CI41" s="887" t="s">
        <v>440</v>
      </c>
      <c r="CJ41" s="887" t="s">
        <v>441</v>
      </c>
      <c r="CK41" s="887" t="s">
        <v>442</v>
      </c>
      <c r="CL41" s="887" t="s">
        <v>443</v>
      </c>
      <c r="CM41" s="887" t="s">
        <v>444</v>
      </c>
      <c r="CN41" s="887" t="s">
        <v>445</v>
      </c>
      <c r="CO41" s="887" t="s">
        <v>446</v>
      </c>
      <c r="CP41" s="896"/>
      <c r="CQ41" s="910"/>
    </row>
    <row r="42" spans="84:95" hidden="1" x14ac:dyDescent="0.2">
      <c r="CF42" s="902"/>
      <c r="CG42" s="896"/>
      <c r="CH42" s="893">
        <v>3.3614239742545502</v>
      </c>
      <c r="CI42" s="893">
        <v>3.38426406518745</v>
      </c>
      <c r="CJ42" s="893">
        <v>3.4138940790776999</v>
      </c>
      <c r="CK42" s="893">
        <v>3.4314671893760398</v>
      </c>
      <c r="CL42" s="893">
        <v>3.4539470339367302</v>
      </c>
      <c r="CM42" s="893">
        <v>3.47269459852044</v>
      </c>
      <c r="CN42" s="893">
        <v>3.49005249564626</v>
      </c>
      <c r="CO42" s="893">
        <v>3.5070492246636702</v>
      </c>
      <c r="CP42" s="896"/>
      <c r="CQ42" s="909">
        <f>AVERAGE(CH42:CO42)</f>
        <v>3.4393490825828557</v>
      </c>
    </row>
    <row r="43" spans="84:95" hidden="1" x14ac:dyDescent="0.2">
      <c r="CF43" s="902"/>
      <c r="CG43" s="896"/>
      <c r="CH43" s="896"/>
      <c r="CI43" s="896"/>
      <c r="CJ43" s="896"/>
      <c r="CK43" s="896"/>
      <c r="CL43" s="896"/>
      <c r="CM43" s="896"/>
      <c r="CN43" s="896"/>
      <c r="CO43" s="896"/>
      <c r="CP43" s="896"/>
      <c r="CQ43" s="910"/>
    </row>
    <row r="44" spans="84:95" hidden="1" x14ac:dyDescent="0.2">
      <c r="CF44" s="902"/>
      <c r="CG44" s="896"/>
      <c r="CH44" s="896"/>
      <c r="CI44" s="896"/>
      <c r="CJ44" s="896"/>
      <c r="CK44" s="896"/>
      <c r="CL44" s="896"/>
      <c r="CM44" s="896"/>
      <c r="CN44" s="896"/>
      <c r="CO44" s="896"/>
      <c r="CP44" s="912" t="s">
        <v>179</v>
      </c>
      <c r="CQ44" s="913">
        <f>(CQ42-CQ38)/CQ38</f>
        <v>2.9565220628416197E-2</v>
      </c>
    </row>
    <row r="45" spans="84:95" hidden="1" x14ac:dyDescent="0.2">
      <c r="CF45" s="914"/>
      <c r="CG45" s="915"/>
      <c r="CH45" s="915"/>
      <c r="CI45" s="915"/>
      <c r="CJ45" s="915"/>
      <c r="CK45" s="915"/>
      <c r="CL45" s="915"/>
      <c r="CM45" s="915"/>
      <c r="CN45" s="915"/>
      <c r="CO45" s="915"/>
      <c r="CP45" s="915"/>
      <c r="CQ45" s="916"/>
    </row>
    <row r="46" spans="84:95" hidden="1" x14ac:dyDescent="0.2"/>
    <row r="47" spans="84:95" hidden="1" x14ac:dyDescent="0.2"/>
    <row r="48" spans="84:95" hidden="1" x14ac:dyDescent="0.2"/>
  </sheetData>
  <mergeCells count="3">
    <mergeCell ref="A1:B1"/>
    <mergeCell ref="CF24:CH24"/>
    <mergeCell ref="CF40:CH40"/>
  </mergeCells>
  <pageMargins left="0.25" right="0.25" top="1" bottom="1" header="0.5" footer="0.5"/>
  <pageSetup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C1:X58"/>
  <sheetViews>
    <sheetView topLeftCell="A11" zoomScaleNormal="100" workbookViewId="0">
      <selection activeCell="I61" sqref="I61"/>
    </sheetView>
  </sheetViews>
  <sheetFormatPr defaultRowHeight="15" x14ac:dyDescent="0.25"/>
  <cols>
    <col min="2" max="2" width="8.42578125" customWidth="1"/>
    <col min="3" max="3" width="22.5703125" customWidth="1"/>
    <col min="4" max="4" width="11.28515625" customWidth="1"/>
    <col min="5" max="5" width="9.85546875" bestFit="1" customWidth="1"/>
    <col min="6" max="6" width="14" bestFit="1" customWidth="1"/>
    <col min="7" max="7" width="15.28515625" bestFit="1" customWidth="1"/>
    <col min="8" max="8" width="9.85546875" customWidth="1"/>
    <col min="9" max="9" width="22.5703125" hidden="1" customWidth="1"/>
    <col min="10" max="10" width="11.28515625" hidden="1" customWidth="1"/>
    <col min="11" max="11" width="9.85546875" hidden="1" customWidth="1"/>
    <col min="12" max="12" width="13.5703125" hidden="1" customWidth="1"/>
    <col min="13" max="13" width="16.5703125" hidden="1" customWidth="1"/>
    <col min="14" max="14" width="12.7109375" hidden="1" customWidth="1"/>
    <col min="15" max="15" width="4" customWidth="1"/>
    <col min="16" max="16" width="7.5703125" customWidth="1"/>
    <col min="17" max="17" width="32" bestFit="1" customWidth="1"/>
    <col min="18" max="18" width="12.5703125" customWidth="1"/>
    <col min="19" max="19" width="37.42578125" style="74" bestFit="1" customWidth="1"/>
    <col min="23" max="23" width="11.5703125" bestFit="1" customWidth="1"/>
  </cols>
  <sheetData>
    <row r="1" spans="3:21" ht="15.75" thickBot="1" x14ac:dyDescent="0.3">
      <c r="C1" s="1218"/>
      <c r="I1" s="1218"/>
      <c r="Q1" s="2044" t="s">
        <v>2300</v>
      </c>
      <c r="R1" s="2044"/>
      <c r="S1" s="2044"/>
    </row>
    <row r="2" spans="3:21" x14ac:dyDescent="0.25">
      <c r="C2" s="1219"/>
      <c r="D2" s="1220"/>
      <c r="E2" s="1220"/>
      <c r="F2" s="1220"/>
      <c r="G2" s="1221"/>
      <c r="I2" s="1219"/>
      <c r="J2" s="1220"/>
      <c r="K2" s="1220"/>
      <c r="L2" s="1220"/>
      <c r="M2" s="1221"/>
      <c r="N2" s="1222"/>
      <c r="Q2" s="2048" t="s">
        <v>2331</v>
      </c>
      <c r="R2" s="2049"/>
      <c r="S2" s="1223"/>
    </row>
    <row r="3" spans="3:21" ht="15.75" thickBot="1" x14ac:dyDescent="0.3">
      <c r="C3" s="2050" t="s">
        <v>374</v>
      </c>
      <c r="D3" s="2051"/>
      <c r="E3" s="2051"/>
      <c r="F3" s="2051"/>
      <c r="G3" s="2052"/>
      <c r="I3" s="2050" t="s">
        <v>375</v>
      </c>
      <c r="J3" s="2051"/>
      <c r="K3" s="2051"/>
      <c r="L3" s="2051"/>
      <c r="M3" s="2052"/>
      <c r="N3" s="461"/>
      <c r="Q3" s="1224"/>
      <c r="R3" s="390"/>
      <c r="S3" s="1225"/>
    </row>
    <row r="4" spans="3:21" x14ac:dyDescent="0.25">
      <c r="C4" s="1226" t="s">
        <v>235</v>
      </c>
      <c r="D4" s="1227">
        <v>12</v>
      </c>
      <c r="E4" s="390"/>
      <c r="F4" s="390" t="s">
        <v>236</v>
      </c>
      <c r="G4" s="1228">
        <f>12*365</f>
        <v>4380</v>
      </c>
      <c r="I4" s="1226" t="s">
        <v>235</v>
      </c>
      <c r="J4" s="1227">
        <v>18</v>
      </c>
      <c r="K4" s="390"/>
      <c r="L4" s="390" t="s">
        <v>236</v>
      </c>
      <c r="M4" s="1228">
        <f>18*365</f>
        <v>6570</v>
      </c>
      <c r="N4" s="25"/>
      <c r="Q4" s="1226" t="s">
        <v>9</v>
      </c>
      <c r="R4" s="1229"/>
      <c r="S4" s="1225"/>
    </row>
    <row r="5" spans="3:21" x14ac:dyDescent="0.25">
      <c r="C5" s="1226" t="s">
        <v>237</v>
      </c>
      <c r="D5" s="1227">
        <v>12</v>
      </c>
      <c r="E5" s="390"/>
      <c r="F5" s="390"/>
      <c r="G5" s="1228"/>
      <c r="I5" s="1226" t="s">
        <v>237</v>
      </c>
      <c r="J5" s="1227">
        <v>18</v>
      </c>
      <c r="K5" s="390"/>
      <c r="L5" s="390"/>
      <c r="M5" s="1228"/>
      <c r="N5" s="25"/>
      <c r="Q5" s="1224" t="s">
        <v>670</v>
      </c>
      <c r="R5" s="1229">
        <f>'M2023 BLS Chart'!C28</f>
        <v>101806.432</v>
      </c>
      <c r="S5" s="27" t="s">
        <v>2225</v>
      </c>
      <c r="U5" s="1185"/>
    </row>
    <row r="6" spans="3:21" ht="15.75" thickBot="1" x14ac:dyDescent="0.3">
      <c r="C6" s="1226"/>
      <c r="D6" s="390"/>
      <c r="E6" s="461" t="s">
        <v>5</v>
      </c>
      <c r="F6" s="461" t="s">
        <v>6</v>
      </c>
      <c r="G6" s="1230" t="s">
        <v>7</v>
      </c>
      <c r="I6" s="1226"/>
      <c r="J6" s="390"/>
      <c r="K6" s="461" t="s">
        <v>5</v>
      </c>
      <c r="L6" s="461" t="s">
        <v>6</v>
      </c>
      <c r="M6" s="1230" t="s">
        <v>7</v>
      </c>
      <c r="N6" s="25"/>
      <c r="Q6" s="1231"/>
      <c r="S6" s="1225"/>
      <c r="U6" s="516"/>
    </row>
    <row r="7" spans="3:21" x14ac:dyDescent="0.25">
      <c r="C7" s="1232" t="s">
        <v>9</v>
      </c>
      <c r="D7" s="1093"/>
      <c r="E7" s="1233"/>
      <c r="F7" s="1234"/>
      <c r="G7" s="1235"/>
      <c r="I7" s="1232"/>
      <c r="J7" s="1093"/>
      <c r="K7" s="1233"/>
      <c r="L7" s="1234"/>
      <c r="M7" s="1235"/>
      <c r="N7" s="25"/>
      <c r="Q7" s="1226" t="s">
        <v>13</v>
      </c>
      <c r="R7" s="1229"/>
      <c r="S7" s="1225"/>
    </row>
    <row r="8" spans="3:21" x14ac:dyDescent="0.25">
      <c r="C8" s="1224" t="str">
        <f>Q5</f>
        <v xml:space="preserve">    Clinical Manager</v>
      </c>
      <c r="D8" s="25"/>
      <c r="E8" s="1229">
        <f>R5</f>
        <v>101806.432</v>
      </c>
      <c r="F8" s="1236">
        <f>R22</f>
        <v>0.5</v>
      </c>
      <c r="G8" s="1237">
        <f>E8*F8</f>
        <v>50903.216</v>
      </c>
      <c r="H8" s="1189"/>
      <c r="I8" s="1224"/>
      <c r="J8" s="25"/>
      <c r="K8" s="1229"/>
      <c r="L8" s="1236"/>
      <c r="M8" s="1238"/>
      <c r="N8" s="25"/>
      <c r="O8" s="514"/>
      <c r="Q8" s="1224" t="s">
        <v>421</v>
      </c>
      <c r="R8" s="1229">
        <f>'M2023 BLS Chart'!C18</f>
        <v>83639.712</v>
      </c>
      <c r="S8" s="27" t="s">
        <v>2225</v>
      </c>
    </row>
    <row r="9" spans="3:21" x14ac:dyDescent="0.25">
      <c r="C9" s="1226" t="s">
        <v>13</v>
      </c>
      <c r="D9" s="880"/>
      <c r="E9" s="1239"/>
      <c r="F9" s="1240"/>
      <c r="G9" s="1241"/>
      <c r="H9" s="1189"/>
      <c r="I9" s="1224"/>
      <c r="J9" s="25"/>
      <c r="K9" s="1229"/>
      <c r="L9" s="1236"/>
      <c r="M9" s="1238"/>
      <c r="N9" s="25"/>
      <c r="O9" s="514"/>
      <c r="Q9" s="1224" t="s">
        <v>239</v>
      </c>
      <c r="R9" s="1229">
        <f>'M2023 BLS Chart'!C44</f>
        <v>247470</v>
      </c>
      <c r="S9" s="27" t="s">
        <v>2301</v>
      </c>
    </row>
    <row r="10" spans="3:21" x14ac:dyDescent="0.25">
      <c r="C10" s="1224" t="str">
        <f>Q8</f>
        <v xml:space="preserve">    Clinical LICSW</v>
      </c>
      <c r="D10" s="25"/>
      <c r="E10" s="1229">
        <f>R8</f>
        <v>83639.712</v>
      </c>
      <c r="F10" s="1236">
        <f>R23</f>
        <v>0.5</v>
      </c>
      <c r="G10" s="1237">
        <f t="shared" ref="G10:G17" si="0">E10*F10</f>
        <v>41819.856</v>
      </c>
      <c r="H10" s="1189"/>
      <c r="I10" s="1226"/>
      <c r="J10" s="25"/>
      <c r="K10" s="1229"/>
      <c r="L10" s="1236"/>
      <c r="M10" s="1238"/>
      <c r="N10" s="25"/>
      <c r="O10" s="514"/>
      <c r="Q10" s="1224" t="s">
        <v>240</v>
      </c>
      <c r="R10" s="1229">
        <f>'M2023 BLS Chart'!C24</f>
        <v>82681.040000000008</v>
      </c>
      <c r="S10" s="27" t="s">
        <v>2225</v>
      </c>
    </row>
    <row r="11" spans="3:21" x14ac:dyDescent="0.25">
      <c r="C11" s="1226" t="s">
        <v>18</v>
      </c>
      <c r="D11" s="25"/>
      <c r="E11" s="1229"/>
      <c r="F11" s="1236" t="s">
        <v>241</v>
      </c>
      <c r="G11" s="1237"/>
      <c r="H11" s="1189"/>
      <c r="I11" s="1224"/>
      <c r="J11" s="25"/>
      <c r="K11" s="1229"/>
      <c r="L11" s="1236"/>
      <c r="M11" s="1238"/>
      <c r="N11" s="25"/>
      <c r="O11" s="514"/>
      <c r="Q11" s="1226" t="s">
        <v>18</v>
      </c>
      <c r="R11" s="1229"/>
      <c r="S11" s="1225"/>
    </row>
    <row r="12" spans="3:21" x14ac:dyDescent="0.25">
      <c r="C12" s="1224" t="str">
        <f>Q12</f>
        <v xml:space="preserve">    Clinicial Care Coordinator (MA Lvl)</v>
      </c>
      <c r="D12" s="25"/>
      <c r="E12" s="1229">
        <f>R12</f>
        <v>70211.44</v>
      </c>
      <c r="F12" s="1236">
        <f t="shared" ref="F12:F17" si="1">R28</f>
        <v>2.4</v>
      </c>
      <c r="G12" s="1237">
        <f t="shared" si="0"/>
        <v>168507.45600000001</v>
      </c>
      <c r="H12" s="1189"/>
      <c r="I12" s="1224"/>
      <c r="J12" s="25"/>
      <c r="K12" s="1229"/>
      <c r="L12" s="1236"/>
      <c r="M12" s="1238"/>
      <c r="N12" s="25"/>
      <c r="O12" s="514"/>
      <c r="Q12" s="1224" t="s">
        <v>242</v>
      </c>
      <c r="R12" s="1229">
        <f>'M2023 BLS Chart'!C14</f>
        <v>70211.44</v>
      </c>
      <c r="S12" s="27" t="s">
        <v>2225</v>
      </c>
    </row>
    <row r="13" spans="3:21" x14ac:dyDescent="0.25">
      <c r="C13" s="1224" t="str">
        <f>Q13</f>
        <v xml:space="preserve">    Direct Care III</v>
      </c>
      <c r="D13" s="25"/>
      <c r="E13" s="1229">
        <f>R13</f>
        <v>56217.241600000001</v>
      </c>
      <c r="F13" s="1236">
        <f t="shared" si="1"/>
        <v>1</v>
      </c>
      <c r="G13" s="1237">
        <f t="shared" si="0"/>
        <v>56217.241600000001</v>
      </c>
      <c r="H13" s="1189"/>
      <c r="I13" s="1224"/>
      <c r="J13" s="25"/>
      <c r="K13" s="1229"/>
      <c r="L13" s="1236"/>
      <c r="M13" s="1238"/>
      <c r="N13" s="25"/>
      <c r="O13" s="514"/>
      <c r="Q13" s="1224" t="s">
        <v>243</v>
      </c>
      <c r="R13" s="1229">
        <f>'M2023 BLS Chart'!C8</f>
        <v>56217.241600000001</v>
      </c>
      <c r="S13" s="27" t="s">
        <v>2225</v>
      </c>
    </row>
    <row r="14" spans="3:21" x14ac:dyDescent="0.25">
      <c r="C14" s="1224" t="str">
        <f>Q30</f>
        <v xml:space="preserve">    Direct Care </v>
      </c>
      <c r="D14" s="25"/>
      <c r="E14" s="1229">
        <f>R14</f>
        <v>43247.567999999999</v>
      </c>
      <c r="F14" s="1236">
        <f t="shared" si="1"/>
        <v>1</v>
      </c>
      <c r="G14" s="1237">
        <f>F14+E14</f>
        <v>43248.567999999999</v>
      </c>
      <c r="H14" s="1189"/>
      <c r="I14" s="1224"/>
      <c r="J14" s="25"/>
      <c r="K14" s="1229"/>
      <c r="L14" s="1236"/>
      <c r="M14" s="1238"/>
      <c r="N14" s="25"/>
      <c r="O14" s="514"/>
      <c r="Q14" s="1224" t="s">
        <v>244</v>
      </c>
      <c r="R14" s="1229">
        <f>'M2023 BLS Chart'!C6</f>
        <v>43247.567999999999</v>
      </c>
      <c r="S14" s="27" t="s">
        <v>2225</v>
      </c>
    </row>
    <row r="15" spans="3:21" x14ac:dyDescent="0.25">
      <c r="C15" s="1224" t="str">
        <f>Q14</f>
        <v xml:space="preserve">    Young Adult Peer Mentor</v>
      </c>
      <c r="D15" s="25"/>
      <c r="E15" s="1229">
        <f>R14</f>
        <v>43247.567999999999</v>
      </c>
      <c r="F15" s="1236">
        <f t="shared" si="1"/>
        <v>0.5</v>
      </c>
      <c r="G15" s="1237">
        <f t="shared" si="0"/>
        <v>21623.784</v>
      </c>
      <c r="H15" s="1189"/>
      <c r="I15" s="1224"/>
      <c r="J15" s="25"/>
      <c r="K15" s="1229"/>
      <c r="L15" s="1236"/>
      <c r="M15" s="1238"/>
      <c r="N15" s="25"/>
      <c r="O15" s="514"/>
      <c r="Q15" s="1224" t="s">
        <v>246</v>
      </c>
      <c r="R15" s="1229">
        <f>'M2023 BLS Chart'!C6</f>
        <v>43247.567999999999</v>
      </c>
      <c r="S15" s="27" t="s">
        <v>2225</v>
      </c>
    </row>
    <row r="16" spans="3:21" ht="15.75" thickBot="1" x14ac:dyDescent="0.3">
      <c r="C16" s="1224" t="str">
        <f>Q15</f>
        <v xml:space="preserve">    Family Partner</v>
      </c>
      <c r="D16" s="25"/>
      <c r="E16" s="1229">
        <f>R15</f>
        <v>43247.567999999999</v>
      </c>
      <c r="F16" s="1236">
        <f t="shared" si="1"/>
        <v>0.5</v>
      </c>
      <c r="G16" s="1237">
        <f t="shared" si="0"/>
        <v>21623.784</v>
      </c>
      <c r="H16" s="1189"/>
      <c r="I16" s="1242"/>
      <c r="J16" s="394"/>
      <c r="K16" s="1229"/>
      <c r="L16" s="1243"/>
      <c r="M16" s="1237"/>
      <c r="N16" s="25"/>
      <c r="O16" s="514"/>
      <c r="Q16" s="1224" t="s">
        <v>247</v>
      </c>
      <c r="R16" s="1229">
        <f>'M2023 BLS Chart'!C36</f>
        <v>43247.567999999999</v>
      </c>
      <c r="S16" s="27" t="s">
        <v>2225</v>
      </c>
    </row>
    <row r="17" spans="3:19" ht="15.75" thickBot="1" x14ac:dyDescent="0.3">
      <c r="C17" s="1242" t="str">
        <f>Q16</f>
        <v xml:space="preserve">    Support Staff</v>
      </c>
      <c r="D17" s="394"/>
      <c r="E17" s="1244">
        <f>R16</f>
        <v>43247.567999999999</v>
      </c>
      <c r="F17" s="1245">
        <f t="shared" si="1"/>
        <v>0.25</v>
      </c>
      <c r="G17" s="1237">
        <f t="shared" si="0"/>
        <v>10811.892</v>
      </c>
      <c r="H17" s="1189"/>
      <c r="I17" s="1246"/>
      <c r="J17" s="1247"/>
      <c r="K17" s="1247"/>
      <c r="L17" s="1248"/>
      <c r="M17" s="1249"/>
      <c r="N17" s="25"/>
      <c r="O17" s="514"/>
      <c r="Q17" s="1224"/>
      <c r="R17" s="25"/>
      <c r="S17" s="1225"/>
    </row>
    <row r="18" spans="3:19" ht="15.75" thickBot="1" x14ac:dyDescent="0.3">
      <c r="C18" s="1246" t="s">
        <v>20</v>
      </c>
      <c r="D18" s="1247"/>
      <c r="E18" s="1247"/>
      <c r="F18" s="1250">
        <f>SUM(F7:F17)</f>
        <v>6.65</v>
      </c>
      <c r="G18" s="1249">
        <f>SUM(G7:G17)</f>
        <v>414755.79759999993</v>
      </c>
      <c r="H18" s="1189"/>
      <c r="I18" s="1226"/>
      <c r="J18" s="25"/>
      <c r="K18" s="25"/>
      <c r="L18" s="390"/>
      <c r="M18" s="27"/>
      <c r="N18" s="25"/>
      <c r="O18" s="514"/>
      <c r="Q18" s="2046" t="s">
        <v>248</v>
      </c>
      <c r="R18" s="2047"/>
      <c r="S18" s="1225"/>
    </row>
    <row r="19" spans="3:19" x14ac:dyDescent="0.25">
      <c r="C19" s="1226" t="s">
        <v>21</v>
      </c>
      <c r="D19" s="25"/>
      <c r="E19" s="25"/>
      <c r="F19" s="390"/>
      <c r="G19" s="27"/>
      <c r="H19" s="1189"/>
      <c r="I19" s="1224"/>
      <c r="J19" s="25"/>
      <c r="K19" s="29"/>
      <c r="L19" s="25"/>
      <c r="M19" s="1238"/>
      <c r="N19" s="25"/>
      <c r="O19" s="514"/>
      <c r="Q19" s="1224" t="s">
        <v>249</v>
      </c>
      <c r="R19" s="386" t="s">
        <v>250</v>
      </c>
      <c r="S19" s="1225"/>
    </row>
    <row r="20" spans="3:19" x14ac:dyDescent="0.25">
      <c r="C20" s="1224" t="s">
        <v>23</v>
      </c>
      <c r="D20" s="25"/>
      <c r="E20" s="29">
        <f>R36</f>
        <v>0.24970000000000001</v>
      </c>
      <c r="F20" s="25"/>
      <c r="G20" s="1238">
        <f>G18*E20</f>
        <v>103564.52266071999</v>
      </c>
      <c r="H20" s="1189"/>
      <c r="I20" s="1251"/>
      <c r="J20" s="1252"/>
      <c r="K20" s="1252"/>
      <c r="L20" s="1253"/>
      <c r="M20" s="1254"/>
      <c r="N20" s="25"/>
      <c r="O20" s="514"/>
      <c r="Q20" s="1224" t="s">
        <v>251</v>
      </c>
      <c r="R20" s="386">
        <v>12</v>
      </c>
      <c r="S20" s="1225"/>
    </row>
    <row r="21" spans="3:19" x14ac:dyDescent="0.25">
      <c r="C21" s="1251" t="s">
        <v>24</v>
      </c>
      <c r="D21" s="1252"/>
      <c r="E21" s="1252"/>
      <c r="F21" s="1253"/>
      <c r="G21" s="1254">
        <f>G20+G18</f>
        <v>518320.32026071992</v>
      </c>
      <c r="H21" s="1189"/>
      <c r="I21" s="1224"/>
      <c r="J21" s="29"/>
      <c r="K21" s="25"/>
      <c r="L21" s="1255"/>
      <c r="M21" s="1256"/>
      <c r="N21" s="25"/>
      <c r="O21" s="514"/>
      <c r="Q21" s="1226" t="s">
        <v>9</v>
      </c>
      <c r="R21" s="387"/>
      <c r="S21" s="1225"/>
    </row>
    <row r="22" spans="3:19" x14ac:dyDescent="0.25">
      <c r="C22" s="1224" t="s">
        <v>252</v>
      </c>
      <c r="D22" s="29"/>
      <c r="E22" s="25"/>
      <c r="F22" s="1255">
        <f>R38</f>
        <v>186.68676153846155</v>
      </c>
      <c r="G22" s="1256">
        <f>F22*4*52</f>
        <v>38830.846400000002</v>
      </c>
      <c r="H22" s="1189"/>
      <c r="I22" s="1224"/>
      <c r="J22" s="29"/>
      <c r="K22" s="25"/>
      <c r="L22" s="1255"/>
      <c r="M22" s="1256"/>
      <c r="N22" s="25"/>
      <c r="O22" s="514"/>
      <c r="Q22" s="1224" t="str">
        <f>Q5</f>
        <v xml:space="preserve">    Clinical Manager</v>
      </c>
      <c r="R22" s="387">
        <v>0.5</v>
      </c>
      <c r="S22" s="1225"/>
    </row>
    <row r="23" spans="3:19" x14ac:dyDescent="0.25">
      <c r="C23" s="1224" t="s">
        <v>253</v>
      </c>
      <c r="D23" s="29"/>
      <c r="E23" s="25"/>
      <c r="F23" s="1255">
        <f>'3073 Intensive Therapeutic FY24'!P18</f>
        <v>58.551747775770423</v>
      </c>
      <c r="G23" s="1256">
        <f>F23*20*52</f>
        <v>60893.817686801238</v>
      </c>
      <c r="H23" s="1189"/>
      <c r="I23" s="1224"/>
      <c r="J23" s="395"/>
      <c r="K23" s="25"/>
      <c r="L23" s="1255"/>
      <c r="M23" s="1256"/>
      <c r="N23" s="25"/>
      <c r="O23" s="514"/>
      <c r="Q23" s="1224" t="s">
        <v>238</v>
      </c>
      <c r="R23" s="387">
        <v>0.5</v>
      </c>
      <c r="S23" s="1225"/>
    </row>
    <row r="24" spans="3:19" x14ac:dyDescent="0.25">
      <c r="C24" s="1224" t="s">
        <v>26</v>
      </c>
      <c r="D24" s="395"/>
      <c r="E24" s="25"/>
      <c r="F24" s="395">
        <f>R40</f>
        <v>26.383626000000003</v>
      </c>
      <c r="G24" s="1256">
        <f>F24*F18*150</f>
        <v>26317.666935000005</v>
      </c>
      <c r="H24" s="1189"/>
      <c r="I24" s="1224"/>
      <c r="J24" s="25"/>
      <c r="K24" s="25"/>
      <c r="L24" s="1257"/>
      <c r="M24" s="1256"/>
      <c r="N24" s="1258"/>
      <c r="O24" s="514"/>
      <c r="Q24" s="1226" t="s">
        <v>13</v>
      </c>
      <c r="R24" s="387"/>
      <c r="S24" s="1225"/>
    </row>
    <row r="25" spans="3:19" x14ac:dyDescent="0.25">
      <c r="C25" s="1224" t="s">
        <v>27</v>
      </c>
      <c r="D25" s="25"/>
      <c r="E25" s="25"/>
      <c r="F25" s="1257">
        <f>$R$41</f>
        <v>1925.0694000000001</v>
      </c>
      <c r="G25" s="1256">
        <f>F25*D4</f>
        <v>23100.8328</v>
      </c>
      <c r="H25" s="1189"/>
      <c r="I25" s="1224"/>
      <c r="J25" s="25"/>
      <c r="K25" s="25"/>
      <c r="L25" s="1257"/>
      <c r="M25" s="1256"/>
      <c r="N25" s="1258"/>
      <c r="O25" s="514"/>
      <c r="Q25" s="1224" t="s">
        <v>239</v>
      </c>
      <c r="R25" s="387">
        <v>0.1</v>
      </c>
      <c r="S25" s="1225"/>
    </row>
    <row r="26" spans="3:19" x14ac:dyDescent="0.25">
      <c r="C26" s="1224" t="s">
        <v>255</v>
      </c>
      <c r="D26" s="25"/>
      <c r="E26" s="25"/>
      <c r="F26" s="1257">
        <f>$R$42</f>
        <v>423.45359999999999</v>
      </c>
      <c r="G26" s="1256">
        <f>F26*F18</f>
        <v>2815.9664400000001</v>
      </c>
      <c r="H26" s="1189"/>
      <c r="I26" s="1251"/>
      <c r="J26" s="1252"/>
      <c r="K26" s="1252"/>
      <c r="L26" s="1252"/>
      <c r="M26" s="1254"/>
      <c r="N26" s="1258"/>
      <c r="O26" s="514"/>
      <c r="Q26" s="1224" t="s">
        <v>240</v>
      </c>
      <c r="R26" s="387">
        <v>0.5</v>
      </c>
      <c r="S26" s="1225"/>
    </row>
    <row r="27" spans="3:19" x14ac:dyDescent="0.25">
      <c r="C27" s="1251" t="s">
        <v>29</v>
      </c>
      <c r="D27" s="1252"/>
      <c r="E27" s="1252"/>
      <c r="F27" s="1252"/>
      <c r="G27" s="1254">
        <f>SUM(G21:G26)</f>
        <v>670279.45052252105</v>
      </c>
      <c r="H27" s="1189"/>
      <c r="I27" s="1224"/>
      <c r="J27" s="390"/>
      <c r="K27" s="1259"/>
      <c r="L27" s="390"/>
      <c r="M27" s="1260"/>
      <c r="N27" s="1258"/>
      <c r="O27" s="514"/>
      <c r="Q27" s="1226" t="s">
        <v>18</v>
      </c>
      <c r="R27" s="387"/>
      <c r="S27" s="1225"/>
    </row>
    <row r="28" spans="3:19" x14ac:dyDescent="0.25">
      <c r="C28" s="1224" t="s">
        <v>36</v>
      </c>
      <c r="D28" s="25"/>
      <c r="E28" s="29">
        <f>R46</f>
        <v>3.2549514448865162E-2</v>
      </c>
      <c r="F28" s="390"/>
      <c r="G28" s="1260">
        <f>G27*E28</f>
        <v>21817.270659560199</v>
      </c>
      <c r="H28" s="1189"/>
      <c r="I28" s="1224"/>
      <c r="J28" s="25"/>
      <c r="K28" s="29"/>
      <c r="L28" s="25"/>
      <c r="M28" s="1238"/>
      <c r="N28" s="25"/>
      <c r="O28" s="514"/>
      <c r="Q28" s="1224" t="s">
        <v>254</v>
      </c>
      <c r="R28" s="387">
        <v>2.4</v>
      </c>
      <c r="S28" s="1225"/>
    </row>
    <row r="29" spans="3:19" ht="15.75" thickBot="1" x14ac:dyDescent="0.3">
      <c r="C29" s="1224" t="s">
        <v>30</v>
      </c>
      <c r="D29" s="25"/>
      <c r="E29" s="29">
        <f>$R$45</f>
        <v>0.12</v>
      </c>
      <c r="F29" s="25"/>
      <c r="G29" s="1238">
        <f>G27*E29</f>
        <v>80433.534062702529</v>
      </c>
      <c r="H29" s="1189"/>
      <c r="I29" s="1261"/>
      <c r="J29" s="1262"/>
      <c r="K29" s="1262"/>
      <c r="L29" s="1262"/>
      <c r="M29" s="1263"/>
      <c r="N29" s="25"/>
      <c r="O29" s="514"/>
      <c r="Q29" s="1224" t="s">
        <v>243</v>
      </c>
      <c r="R29" s="387">
        <v>1</v>
      </c>
      <c r="S29" s="2045"/>
    </row>
    <row r="30" spans="3:19" ht="16.5" thickTop="1" thickBot="1" x14ac:dyDescent="0.3">
      <c r="C30" s="1261" t="s">
        <v>31</v>
      </c>
      <c r="D30" s="1262"/>
      <c r="E30" s="1262"/>
      <c r="F30" s="1262"/>
      <c r="G30" s="1263">
        <f>SUM(G27:G29)</f>
        <v>772530.25524478382</v>
      </c>
      <c r="H30" s="1189"/>
      <c r="I30" s="1264"/>
      <c r="J30" s="1265"/>
      <c r="K30" s="1266"/>
      <c r="L30" s="1267"/>
      <c r="M30" s="1268"/>
      <c r="N30" s="1258"/>
      <c r="O30" s="514"/>
      <c r="Q30" s="1224" t="s">
        <v>245</v>
      </c>
      <c r="R30" s="387">
        <v>1</v>
      </c>
      <c r="S30" s="2045"/>
    </row>
    <row r="31" spans="3:19" ht="16.5" thickTop="1" thickBot="1" x14ac:dyDescent="0.3">
      <c r="C31" s="1264" t="s">
        <v>257</v>
      </c>
      <c r="D31" s="1265"/>
      <c r="E31" s="1266"/>
      <c r="F31" s="1267"/>
      <c r="G31" s="1268">
        <f>G30/G4</f>
        <v>176.37677060383191</v>
      </c>
      <c r="H31" s="1209"/>
      <c r="I31" s="1246"/>
      <c r="J31" s="376"/>
      <c r="K31" s="1210"/>
      <c r="L31" s="1267"/>
      <c r="M31" s="1269"/>
      <c r="N31" s="1258"/>
      <c r="O31" s="514"/>
      <c r="Q31" s="1224" t="s">
        <v>244</v>
      </c>
      <c r="R31" s="387">
        <v>0.5</v>
      </c>
      <c r="S31" s="1225"/>
    </row>
    <row r="32" spans="3:19" ht="15.75" thickBot="1" x14ac:dyDescent="0.3">
      <c r="C32" s="1095" t="s">
        <v>669</v>
      </c>
      <c r="D32" s="1096"/>
      <c r="E32" s="1097">
        <v>0.85</v>
      </c>
      <c r="F32" s="1270"/>
      <c r="G32" s="1269">
        <f t="shared" ref="G32" si="2">$G$31/E32</f>
        <v>207.50208306333167</v>
      </c>
      <c r="H32" s="1189"/>
      <c r="M32" s="75"/>
      <c r="N32" s="25"/>
      <c r="O32" s="514"/>
      <c r="Q32" s="1224" t="s">
        <v>246</v>
      </c>
      <c r="R32" s="387">
        <v>0.5</v>
      </c>
      <c r="S32" s="1225"/>
    </row>
    <row r="33" spans="7:24" x14ac:dyDescent="0.25">
      <c r="G33" s="1271">
        <v>189.18</v>
      </c>
      <c r="H33" s="1098">
        <f>(G32-G33)/G33</f>
        <v>9.6850000334769315E-2</v>
      </c>
      <c r="N33" s="1272"/>
      <c r="Q33" s="1224" t="s">
        <v>247</v>
      </c>
      <c r="R33" s="387">
        <v>0.25</v>
      </c>
      <c r="S33" s="1225"/>
    </row>
    <row r="34" spans="7:24" x14ac:dyDescent="0.25">
      <c r="N34" s="1272"/>
      <c r="Q34" s="1224"/>
      <c r="R34" s="25"/>
      <c r="S34" s="1225"/>
    </row>
    <row r="35" spans="7:24" x14ac:dyDescent="0.25">
      <c r="G35" s="518"/>
      <c r="N35" s="1272"/>
      <c r="Q35" s="2046" t="s">
        <v>2332</v>
      </c>
      <c r="R35" s="2047"/>
      <c r="S35" s="1225"/>
    </row>
    <row r="36" spans="7:24" x14ac:dyDescent="0.25">
      <c r="G36" s="516"/>
      <c r="N36" s="75"/>
      <c r="Q36" s="1224" t="s">
        <v>23</v>
      </c>
      <c r="R36" s="29">
        <f>'M2023 BLS Chart'!C38</f>
        <v>0.24970000000000001</v>
      </c>
      <c r="S36" s="27" t="s">
        <v>234</v>
      </c>
      <c r="T36" s="25"/>
    </row>
    <row r="37" spans="7:24" x14ac:dyDescent="0.25">
      <c r="G37" s="516"/>
      <c r="N37" s="1214"/>
      <c r="Q37" s="1224"/>
      <c r="R37" s="400"/>
      <c r="S37" s="1225"/>
    </row>
    <row r="38" spans="7:24" x14ac:dyDescent="0.25">
      <c r="O38" s="75"/>
      <c r="Q38" s="1224" t="s">
        <v>252</v>
      </c>
      <c r="R38" s="1255">
        <f>('M2023 BLS Chart'!C44+'M2023 BLS Chart'!C34)/2080</f>
        <v>186.68676153846155</v>
      </c>
      <c r="S38" s="1225" t="s">
        <v>256</v>
      </c>
      <c r="W38" s="714"/>
    </row>
    <row r="39" spans="7:24" x14ac:dyDescent="0.25">
      <c r="O39" s="1215"/>
      <c r="Q39" s="1224" t="s">
        <v>253</v>
      </c>
      <c r="R39" s="1255">
        <f>('FY26 Add on Rates'!E23*60%)+('FY26 Add on Rates'!F23*40%)</f>
        <v>58.551747775770423</v>
      </c>
      <c r="S39" s="1225" t="s">
        <v>620</v>
      </c>
      <c r="W39" s="714"/>
    </row>
    <row r="40" spans="7:24" ht="30" x14ac:dyDescent="0.25">
      <c r="N40" s="121"/>
      <c r="Q40" s="1224" t="s">
        <v>26</v>
      </c>
      <c r="R40" s="1273">
        <f>25.67*(1+2.78%)</f>
        <v>26.383626000000003</v>
      </c>
      <c r="S40" s="1274" t="s">
        <v>258</v>
      </c>
      <c r="W40" s="714"/>
    </row>
    <row r="41" spans="7:24" x14ac:dyDescent="0.25">
      <c r="Q41" s="1224" t="s">
        <v>27</v>
      </c>
      <c r="R41" s="1273">
        <f>1873*(1+2.78%)</f>
        <v>1925.0694000000001</v>
      </c>
      <c r="S41" s="1225" t="s">
        <v>2315</v>
      </c>
      <c r="U41" s="25"/>
      <c r="V41" s="25"/>
      <c r="W41" s="25"/>
      <c r="X41" s="25"/>
    </row>
    <row r="42" spans="7:24" x14ac:dyDescent="0.25">
      <c r="Q42" s="1224" t="s">
        <v>255</v>
      </c>
      <c r="R42" s="1273">
        <f>412*(1+2.78%)</f>
        <v>423.45359999999999</v>
      </c>
      <c r="S42" s="1225" t="s">
        <v>2315</v>
      </c>
      <c r="U42" s="25"/>
      <c r="V42" s="25"/>
      <c r="W42" s="25"/>
      <c r="X42" s="25"/>
    </row>
    <row r="43" spans="7:24" x14ac:dyDescent="0.25">
      <c r="N43" s="1216"/>
      <c r="Q43" s="1226" t="s">
        <v>29</v>
      </c>
      <c r="R43" s="1272">
        <f>SUM(R40:R42)</f>
        <v>2374.906626</v>
      </c>
      <c r="S43" s="1225"/>
    </row>
    <row r="44" spans="7:24" x14ac:dyDescent="0.25">
      <c r="Q44" s="1224"/>
      <c r="R44" s="25"/>
      <c r="S44" s="1225"/>
    </row>
    <row r="45" spans="7:24" x14ac:dyDescent="0.25">
      <c r="Q45" s="1224" t="s">
        <v>30</v>
      </c>
      <c r="R45" s="400">
        <v>0.12</v>
      </c>
      <c r="S45" s="1217" t="s">
        <v>234</v>
      </c>
    </row>
    <row r="46" spans="7:24" ht="15.75" thickBot="1" x14ac:dyDescent="0.3">
      <c r="Q46" s="1242" t="s">
        <v>36</v>
      </c>
      <c r="R46" s="28">
        <f>'CAF Fall 2024'!CQ28</f>
        <v>3.2549514448865162E-2</v>
      </c>
      <c r="S46" s="1277" t="s">
        <v>2327</v>
      </c>
    </row>
    <row r="50" spans="17:23" x14ac:dyDescent="0.25">
      <c r="Q50" s="1275"/>
      <c r="R50" s="1275"/>
      <c r="S50" s="1275"/>
      <c r="T50" s="1275"/>
      <c r="U50" s="1275"/>
      <c r="V50" s="1275"/>
      <c r="W50" s="1275"/>
    </row>
    <row r="51" spans="17:23" x14ac:dyDescent="0.25">
      <c r="Q51" s="1275"/>
      <c r="R51" s="1275"/>
      <c r="S51" s="1275"/>
      <c r="T51" s="1275"/>
      <c r="U51" s="1275"/>
      <c r="V51" s="1275"/>
      <c r="W51" s="1275"/>
    </row>
    <row r="52" spans="17:23" x14ac:dyDescent="0.25">
      <c r="Q52" s="1275"/>
      <c r="R52" s="1275"/>
      <c r="S52" s="1275"/>
      <c r="T52" s="1275"/>
      <c r="U52" s="1275"/>
      <c r="V52" s="1275"/>
      <c r="W52" s="1275"/>
    </row>
    <row r="53" spans="17:23" x14ac:dyDescent="0.25">
      <c r="Q53" s="1275"/>
      <c r="R53" s="1275"/>
      <c r="S53" s="1275"/>
      <c r="T53" s="1275"/>
      <c r="U53" s="1275"/>
      <c r="V53" s="1275"/>
      <c r="W53" s="1275"/>
    </row>
    <row r="54" spans="17:23" x14ac:dyDescent="0.25">
      <c r="Q54" s="1275"/>
      <c r="R54" s="1275"/>
      <c r="S54" s="1275"/>
      <c r="T54" s="1275"/>
      <c r="U54" s="1275"/>
      <c r="V54" s="1275"/>
      <c r="W54" s="1275"/>
    </row>
    <row r="55" spans="17:23" x14ac:dyDescent="0.25">
      <c r="Q55" s="1276"/>
      <c r="R55" s="1276"/>
      <c r="S55" s="1276"/>
      <c r="T55" s="1275"/>
      <c r="U55" s="1275"/>
      <c r="V55" s="1275"/>
      <c r="W55" s="1275"/>
    </row>
    <row r="56" spans="17:23" x14ac:dyDescent="0.25">
      <c r="Q56" s="1276"/>
      <c r="R56" s="1275"/>
      <c r="S56" s="1275"/>
      <c r="T56" s="1275"/>
      <c r="U56" s="1275"/>
      <c r="V56" s="1275"/>
      <c r="W56" s="1275"/>
    </row>
    <row r="57" spans="17:23" x14ac:dyDescent="0.25">
      <c r="Q57" s="1275"/>
      <c r="R57" s="1275"/>
      <c r="S57" s="1275"/>
      <c r="T57" s="1275"/>
      <c r="U57" s="1275"/>
      <c r="V57" s="1275"/>
      <c r="W57" s="1275"/>
    </row>
    <row r="58" spans="17:23" x14ac:dyDescent="0.25">
      <c r="Q58" s="1275"/>
      <c r="R58" s="1275"/>
      <c r="S58" s="1275"/>
      <c r="T58" s="1275"/>
      <c r="U58" s="1275"/>
      <c r="V58" s="1275"/>
      <c r="W58" s="1275"/>
    </row>
  </sheetData>
  <mergeCells count="7">
    <mergeCell ref="Q1:S1"/>
    <mergeCell ref="S29:S30"/>
    <mergeCell ref="Q35:R35"/>
    <mergeCell ref="Q2:R2"/>
    <mergeCell ref="C3:G3"/>
    <mergeCell ref="I3:M3"/>
    <mergeCell ref="Q18:R18"/>
  </mergeCells>
  <phoneticPr fontId="74" type="noConversion"/>
  <pageMargins left="0.25" right="0.25" top="0.25" bottom="0.25" header="0.05" footer="0.05"/>
  <pageSetup paperSize="5" scale="65" orientation="landscape" r:id="rId1"/>
  <headerFooter>
    <oddFooter>&amp;L&amp;F&amp;R&amp;F
&amp;A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0ED71-4112-4BF6-94DB-EC49FF2FBE5F}">
  <sheetPr>
    <tabColor theme="7" tint="0.59999389629810485"/>
    <pageSetUpPr fitToPage="1"/>
  </sheetPr>
  <dimension ref="C2:U38"/>
  <sheetViews>
    <sheetView zoomScale="130" zoomScaleNormal="130" workbookViewId="0">
      <selection activeCell="X13" sqref="X13"/>
    </sheetView>
  </sheetViews>
  <sheetFormatPr defaultColWidth="8.85546875" defaultRowHeight="15" x14ac:dyDescent="0.25"/>
  <cols>
    <col min="1" max="1" width="8.85546875" style="25"/>
    <col min="2" max="2" width="11.28515625" style="25" customWidth="1"/>
    <col min="3" max="3" width="32.28515625" style="25" customWidth="1"/>
    <col min="4" max="4" width="7" style="25" customWidth="1"/>
    <col min="5" max="5" width="8.85546875" style="25"/>
    <col min="6" max="6" width="11.85546875" style="25" customWidth="1"/>
    <col min="7" max="7" width="14.140625" style="25" customWidth="1"/>
    <col min="8" max="8" width="21.7109375" style="25" customWidth="1"/>
    <col min="9" max="9" width="16.42578125" style="25" customWidth="1"/>
    <col min="10" max="10" width="12.5703125" style="25" customWidth="1"/>
    <col min="11" max="11" width="26.5703125" style="104" customWidth="1"/>
    <col min="12" max="12" width="10.5703125" style="25" hidden="1" customWidth="1"/>
    <col min="13" max="22" width="0" style="25" hidden="1" customWidth="1"/>
    <col min="23" max="16384" width="8.85546875" style="25"/>
  </cols>
  <sheetData>
    <row r="2" spans="3:11" ht="15.75" thickBot="1" x14ac:dyDescent="0.3">
      <c r="C2" s="379"/>
    </row>
    <row r="3" spans="3:11" x14ac:dyDescent="0.25">
      <c r="C3" s="2053" t="s">
        <v>372</v>
      </c>
      <c r="D3" s="2054"/>
      <c r="E3" s="2054"/>
      <c r="F3" s="2055"/>
      <c r="G3" s="380"/>
      <c r="H3" s="2059" t="s">
        <v>261</v>
      </c>
      <c r="I3" s="2060"/>
      <c r="J3" s="2060"/>
      <c r="K3" s="745"/>
    </row>
    <row r="4" spans="3:11" ht="15.75" thickBot="1" x14ac:dyDescent="0.3">
      <c r="C4" s="2056"/>
      <c r="D4" s="2057"/>
      <c r="E4" s="2057"/>
      <c r="F4" s="2058"/>
      <c r="G4" s="380"/>
      <c r="H4" s="746"/>
      <c r="I4" s="747" t="s">
        <v>3</v>
      </c>
      <c r="J4" s="748" t="s">
        <v>4</v>
      </c>
      <c r="K4" s="749"/>
    </row>
    <row r="5" spans="3:11" x14ac:dyDescent="0.25">
      <c r="C5" s="126" t="s">
        <v>0</v>
      </c>
      <c r="D5" s="127">
        <v>6</v>
      </c>
      <c r="E5" s="128" t="s">
        <v>1</v>
      </c>
      <c r="F5" s="129">
        <f>D5*365</f>
        <v>2190</v>
      </c>
      <c r="G5" s="380"/>
      <c r="H5" s="762" t="s">
        <v>8</v>
      </c>
      <c r="I5" s="763">
        <v>15</v>
      </c>
      <c r="J5" s="763">
        <f>I5*8</f>
        <v>120</v>
      </c>
      <c r="K5" s="745"/>
    </row>
    <row r="6" spans="3:11" x14ac:dyDescent="0.25">
      <c r="C6" s="112"/>
      <c r="D6" s="132"/>
      <c r="E6" s="132"/>
      <c r="F6" s="133"/>
      <c r="G6" s="380"/>
      <c r="H6" s="742" t="s">
        <v>10</v>
      </c>
      <c r="I6" s="750">
        <v>8</v>
      </c>
      <c r="J6" s="750">
        <f>I6*8</f>
        <v>64</v>
      </c>
      <c r="K6" s="749"/>
    </row>
    <row r="7" spans="3:11" x14ac:dyDescent="0.25">
      <c r="C7" s="123"/>
      <c r="D7" s="134"/>
      <c r="E7" s="135"/>
      <c r="F7" s="136" t="s">
        <v>7</v>
      </c>
      <c r="G7" s="380"/>
      <c r="H7" s="742" t="s">
        <v>11</v>
      </c>
      <c r="I7" s="750">
        <v>11</v>
      </c>
      <c r="J7" s="750">
        <f>I7*8</f>
        <v>88</v>
      </c>
      <c r="K7" s="749"/>
    </row>
    <row r="8" spans="3:11" x14ac:dyDescent="0.25">
      <c r="C8" s="112" t="s">
        <v>622</v>
      </c>
      <c r="D8" s="132"/>
      <c r="E8" s="124"/>
      <c r="F8" s="721">
        <v>54731</v>
      </c>
      <c r="G8" s="380"/>
      <c r="H8" s="742" t="s">
        <v>12</v>
      </c>
      <c r="I8" s="750">
        <v>5</v>
      </c>
      <c r="J8" s="750">
        <f>I8*8</f>
        <v>40</v>
      </c>
      <c r="K8" s="749"/>
    </row>
    <row r="9" spans="3:11" ht="15.75" thickBot="1" x14ac:dyDescent="0.3">
      <c r="C9" s="112" t="s">
        <v>621</v>
      </c>
      <c r="D9" s="132"/>
      <c r="E9" s="141"/>
      <c r="F9" s="719">
        <v>40340</v>
      </c>
      <c r="G9" s="380"/>
      <c r="H9" s="759"/>
      <c r="I9" s="760" t="s">
        <v>14</v>
      </c>
      <c r="J9" s="764">
        <f>SUM(J5:J8)</f>
        <v>312</v>
      </c>
      <c r="K9" s="761"/>
    </row>
    <row r="10" spans="3:11" x14ac:dyDescent="0.25">
      <c r="C10" s="10" t="s">
        <v>616</v>
      </c>
      <c r="D10" s="132"/>
      <c r="E10" s="132"/>
      <c r="F10" s="720">
        <v>466276</v>
      </c>
      <c r="G10" s="380"/>
      <c r="H10" s="742"/>
      <c r="I10" s="750" t="s">
        <v>15</v>
      </c>
      <c r="J10" s="751">
        <f>J9/(52*40)</f>
        <v>0.15</v>
      </c>
      <c r="K10" s="749"/>
    </row>
    <row r="11" spans="3:11" ht="15.75" thickBot="1" x14ac:dyDescent="0.3">
      <c r="C11" s="10" t="s">
        <v>23</v>
      </c>
      <c r="D11" s="132"/>
      <c r="E11" s="722">
        <f>J21</f>
        <v>0.25390000000000001</v>
      </c>
      <c r="F11" s="720">
        <f>SUM(F8:F10)*E11</f>
        <v>142526.00330000001</v>
      </c>
      <c r="G11" s="380"/>
      <c r="H11" s="742"/>
      <c r="I11" s="750"/>
      <c r="J11" s="750"/>
      <c r="K11" s="749"/>
    </row>
    <row r="12" spans="3:11" x14ac:dyDescent="0.25">
      <c r="C12" s="10" t="s">
        <v>617</v>
      </c>
      <c r="D12" s="132"/>
      <c r="E12" s="723">
        <f>J27</f>
        <v>2.7811565914169036E-2</v>
      </c>
      <c r="F12" s="719">
        <f>SUM(F8:F11)*E12</f>
        <v>19575.810426482069</v>
      </c>
      <c r="G12" s="380"/>
      <c r="H12" s="762" t="s">
        <v>422</v>
      </c>
      <c r="I12" s="763"/>
      <c r="J12" s="763">
        <v>0.75</v>
      </c>
      <c r="K12" s="765"/>
    </row>
    <row r="13" spans="3:11" x14ac:dyDescent="0.25">
      <c r="C13" s="148" t="s">
        <v>24</v>
      </c>
      <c r="D13" s="149"/>
      <c r="E13" s="150">
        <v>12.715</v>
      </c>
      <c r="F13" s="151">
        <f>SUM(F8:F12)</f>
        <v>723448.8137264821</v>
      </c>
      <c r="G13" s="380"/>
      <c r="H13" s="742" t="s">
        <v>268</v>
      </c>
      <c r="I13" s="750"/>
      <c r="J13" s="750">
        <v>0.25</v>
      </c>
      <c r="K13" s="752"/>
    </row>
    <row r="14" spans="3:11" x14ac:dyDescent="0.25">
      <c r="C14" s="112" t="s">
        <v>252</v>
      </c>
      <c r="D14" s="152"/>
      <c r="E14" s="154">
        <f>J26</f>
        <v>180.83</v>
      </c>
      <c r="F14" s="155">
        <f>E14*4*52</f>
        <v>37612.639999999999</v>
      </c>
      <c r="G14" s="380"/>
      <c r="H14" s="742" t="s">
        <v>269</v>
      </c>
      <c r="I14" s="750"/>
      <c r="J14" s="750">
        <v>0.22500000000000001</v>
      </c>
      <c r="K14" s="752" t="s">
        <v>280</v>
      </c>
    </row>
    <row r="15" spans="3:11" x14ac:dyDescent="0.25">
      <c r="C15" s="112" t="s">
        <v>253</v>
      </c>
      <c r="D15" s="152"/>
      <c r="E15" s="154">
        <f>J22</f>
        <v>58.551747775770423</v>
      </c>
      <c r="F15" s="155">
        <f>E15*12*52</f>
        <v>36536.290612080746</v>
      </c>
      <c r="G15" s="380"/>
      <c r="H15" s="742" t="s">
        <v>243</v>
      </c>
      <c r="I15" s="750"/>
      <c r="J15" s="750">
        <v>1</v>
      </c>
      <c r="K15" s="752"/>
    </row>
    <row r="16" spans="3:11" x14ac:dyDescent="0.25">
      <c r="C16" s="112" t="str">
        <f>H23</f>
        <v>Occupancy (per bed day)</v>
      </c>
      <c r="D16" s="132"/>
      <c r="E16" s="154">
        <f>J23</f>
        <v>36.21</v>
      </c>
      <c r="F16" s="155">
        <f>E16*F5</f>
        <v>79299.900000000009</v>
      </c>
      <c r="G16" s="380"/>
      <c r="H16" s="742" t="s">
        <v>245</v>
      </c>
      <c r="I16" s="750"/>
      <c r="J16" s="750">
        <v>7.4</v>
      </c>
      <c r="K16" s="752"/>
    </row>
    <row r="17" spans="3:21" x14ac:dyDescent="0.25">
      <c r="C17" s="112" t="s">
        <v>27</v>
      </c>
      <c r="D17" s="132"/>
      <c r="E17" s="154">
        <f>J24</f>
        <v>18.36</v>
      </c>
      <c r="F17" s="155">
        <f>E17*F5</f>
        <v>40208.400000000001</v>
      </c>
      <c r="G17" s="380"/>
      <c r="H17" s="742" t="s">
        <v>376</v>
      </c>
      <c r="I17" s="753"/>
      <c r="J17" s="750">
        <v>1</v>
      </c>
      <c r="K17" s="752"/>
      <c r="L17" s="384">
        <f>SUM(H17:K17)</f>
        <v>1</v>
      </c>
    </row>
    <row r="18" spans="3:21" x14ac:dyDescent="0.25">
      <c r="C18" s="148" t="s">
        <v>29</v>
      </c>
      <c r="D18" s="149"/>
      <c r="E18" s="149"/>
      <c r="F18" s="151">
        <f>SUM(F13:F17)</f>
        <v>917106.04433856288</v>
      </c>
      <c r="G18" s="380"/>
      <c r="H18" s="742" t="s">
        <v>273</v>
      </c>
      <c r="I18" s="750"/>
      <c r="J18" s="750">
        <v>0.5</v>
      </c>
      <c r="K18" s="752"/>
      <c r="L18" s="386">
        <f>L17*8</f>
        <v>8</v>
      </c>
    </row>
    <row r="19" spans="3:21" x14ac:dyDescent="0.25">
      <c r="C19" s="112" t="s">
        <v>30</v>
      </c>
      <c r="D19" s="132"/>
      <c r="E19" s="152">
        <f>J25</f>
        <v>0.12</v>
      </c>
      <c r="F19" s="142">
        <f>(F18-F12)*E19</f>
        <v>107703.62806944968</v>
      </c>
      <c r="G19" s="380"/>
      <c r="H19" s="742" t="s">
        <v>247</v>
      </c>
      <c r="I19" s="750"/>
      <c r="J19" s="750">
        <v>0.25</v>
      </c>
      <c r="K19" s="752"/>
      <c r="L19" s="387">
        <f>L18/40</f>
        <v>0.2</v>
      </c>
    </row>
    <row r="20" spans="3:21" ht="15.75" thickBot="1" x14ac:dyDescent="0.3">
      <c r="C20" s="112" t="s">
        <v>365</v>
      </c>
      <c r="D20" s="132"/>
      <c r="E20" s="152">
        <f>J27</f>
        <v>2.7811565914169036E-2</v>
      </c>
      <c r="F20" s="142">
        <f>SUM(F14:F17)*E20</f>
        <v>5385.9108339233171</v>
      </c>
      <c r="G20" s="380"/>
      <c r="H20" s="759" t="s">
        <v>274</v>
      </c>
      <c r="I20" s="760"/>
      <c r="J20" s="760">
        <v>1.34</v>
      </c>
      <c r="K20" s="766"/>
    </row>
    <row r="21" spans="3:21" ht="15.75" thickBot="1" x14ac:dyDescent="0.3">
      <c r="C21" s="123" t="s">
        <v>31</v>
      </c>
      <c r="D21" s="132"/>
      <c r="E21" s="132"/>
      <c r="F21" s="153">
        <f>SUM(F18:F20)</f>
        <v>1030195.5832419358</v>
      </c>
      <c r="G21" s="380"/>
      <c r="H21" s="742" t="s">
        <v>23</v>
      </c>
      <c r="I21" s="750"/>
      <c r="J21" s="767">
        <f>'3073 Intensive Therapeutic FY24'!P15</f>
        <v>0.25390000000000001</v>
      </c>
      <c r="K21" s="749"/>
    </row>
    <row r="22" spans="3:21" ht="15.75" thickBot="1" x14ac:dyDescent="0.3">
      <c r="C22" s="355" t="s">
        <v>366</v>
      </c>
      <c r="D22" s="356"/>
      <c r="E22" s="356"/>
      <c r="F22" s="372">
        <f>F21/12</f>
        <v>85849.63193682798</v>
      </c>
      <c r="G22" s="380"/>
      <c r="H22" s="742" t="s">
        <v>253</v>
      </c>
      <c r="I22" s="754"/>
      <c r="J22" s="755">
        <f>'3073 Intensive Therapeutic FY24'!P18</f>
        <v>58.551747775770423</v>
      </c>
      <c r="K22" s="361" t="s">
        <v>620</v>
      </c>
    </row>
    <row r="23" spans="3:21" ht="24.75" x14ac:dyDescent="0.25">
      <c r="C23" s="160"/>
      <c r="D23" s="161"/>
      <c r="E23" s="163"/>
      <c r="F23" s="164"/>
      <c r="G23" s="380"/>
      <c r="H23" s="742" t="s">
        <v>283</v>
      </c>
      <c r="I23" s="750"/>
      <c r="J23" s="756">
        <v>36.21</v>
      </c>
      <c r="K23" s="749" t="s">
        <v>284</v>
      </c>
    </row>
    <row r="24" spans="3:21" ht="24.75" x14ac:dyDescent="0.25">
      <c r="C24" s="160"/>
      <c r="D24" s="161"/>
      <c r="E24" s="163"/>
      <c r="F24" s="164"/>
      <c r="G24" s="380"/>
      <c r="H24" s="742" t="s">
        <v>27</v>
      </c>
      <c r="I24" s="750"/>
      <c r="J24" s="756">
        <v>18.36</v>
      </c>
      <c r="K24" s="749" t="s">
        <v>285</v>
      </c>
      <c r="L24" s="386">
        <f>SUM(H24:K24)</f>
        <v>18.36</v>
      </c>
      <c r="M24" s="25" t="s">
        <v>275</v>
      </c>
    </row>
    <row r="25" spans="3:21" ht="15.75" thickBot="1" x14ac:dyDescent="0.3">
      <c r="C25" s="160"/>
      <c r="D25" s="161"/>
      <c r="E25" s="163"/>
      <c r="F25" s="164"/>
      <c r="G25" s="380"/>
      <c r="H25" s="742" t="s">
        <v>30</v>
      </c>
      <c r="I25" s="750"/>
      <c r="J25" s="757">
        <v>0.12</v>
      </c>
      <c r="K25" s="749"/>
      <c r="L25" s="383"/>
      <c r="M25" s="383"/>
      <c r="N25" s="383"/>
      <c r="O25" s="383"/>
      <c r="P25" s="383"/>
      <c r="Q25" s="383"/>
      <c r="R25" s="383"/>
      <c r="S25" s="383"/>
      <c r="T25" s="386">
        <f>L24*8</f>
        <v>146.88</v>
      </c>
      <c r="U25" s="25" t="s">
        <v>276</v>
      </c>
    </row>
    <row r="26" spans="3:21" ht="15.75" thickBot="1" x14ac:dyDescent="0.3">
      <c r="C26" s="160"/>
      <c r="D26" s="161"/>
      <c r="E26" s="163"/>
      <c r="F26" s="372">
        <v>73240.700917267633</v>
      </c>
      <c r="G26" s="517">
        <f>(F22-F26)/F26</f>
        <v>0.17215743243368653</v>
      </c>
      <c r="H26" s="742" t="s">
        <v>252</v>
      </c>
      <c r="I26" s="750"/>
      <c r="J26" s="758">
        <v>180.83</v>
      </c>
      <c r="K26" s="743" t="s">
        <v>256</v>
      </c>
      <c r="L26" s="383"/>
      <c r="M26" s="383"/>
      <c r="N26" s="383"/>
      <c r="O26" s="383"/>
      <c r="P26" s="383"/>
      <c r="Q26" s="383"/>
      <c r="R26" s="383"/>
      <c r="S26" s="383"/>
      <c r="T26" s="387">
        <f>T25/40</f>
        <v>3.6719999999999997</v>
      </c>
      <c r="U26" s="25" t="s">
        <v>277</v>
      </c>
    </row>
    <row r="27" spans="3:21" ht="15.75" thickBot="1" x14ac:dyDescent="0.3">
      <c r="C27" s="160"/>
      <c r="D27" s="161"/>
      <c r="E27" s="163"/>
      <c r="F27" s="164"/>
      <c r="G27" s="380"/>
      <c r="H27" s="759" t="s">
        <v>365</v>
      </c>
      <c r="I27" s="760"/>
      <c r="J27" s="744">
        <f>'3073 Intensive Therapeutic FY24'!P25</f>
        <v>2.7811565914169036E-2</v>
      </c>
      <c r="K27" s="761"/>
      <c r="L27" s="383"/>
      <c r="M27" s="383" t="s">
        <v>278</v>
      </c>
      <c r="N27" s="383"/>
      <c r="O27" s="383"/>
      <c r="P27" s="383"/>
      <c r="Q27" s="383"/>
      <c r="R27" s="383"/>
      <c r="S27" s="383"/>
    </row>
    <row r="28" spans="3:21" x14ac:dyDescent="0.25">
      <c r="C28" s="380"/>
      <c r="D28" s="380"/>
      <c r="E28" s="390"/>
      <c r="F28" s="378"/>
      <c r="G28" s="391"/>
      <c r="H28" s="383"/>
      <c r="I28" s="383"/>
      <c r="J28" s="383"/>
      <c r="K28" s="383"/>
      <c r="L28" s="383"/>
      <c r="M28" s="147" t="s">
        <v>262</v>
      </c>
      <c r="N28" s="147" t="s">
        <v>263</v>
      </c>
      <c r="O28" s="147" t="s">
        <v>264</v>
      </c>
      <c r="P28" s="147" t="s">
        <v>265</v>
      </c>
      <c r="Q28" s="147" t="s">
        <v>266</v>
      </c>
      <c r="R28" s="147" t="s">
        <v>267</v>
      </c>
      <c r="S28" s="147" t="s">
        <v>262</v>
      </c>
    </row>
    <row r="29" spans="3:21" ht="15.75" thickBot="1" x14ac:dyDescent="0.3"/>
    <row r="30" spans="3:21" ht="15.75" thickBot="1" x14ac:dyDescent="0.3">
      <c r="H30" s="699" t="s">
        <v>604</v>
      </c>
      <c r="I30" s="520"/>
      <c r="J30" s="520"/>
    </row>
    <row r="31" spans="3:21" x14ac:dyDescent="0.25">
      <c r="H31" s="700"/>
      <c r="I31" s="701"/>
      <c r="J31" s="702"/>
    </row>
    <row r="32" spans="3:21" x14ac:dyDescent="0.25">
      <c r="H32" s="703" t="s">
        <v>613</v>
      </c>
      <c r="I32" s="520"/>
      <c r="J32" s="704"/>
    </row>
    <row r="33" spans="8:10" x14ac:dyDescent="0.25">
      <c r="H33" s="703" t="s">
        <v>605</v>
      </c>
      <c r="I33" s="520"/>
      <c r="J33" s="704"/>
    </row>
    <row r="34" spans="8:10" x14ac:dyDescent="0.25">
      <c r="H34" s="703"/>
      <c r="I34" s="520"/>
      <c r="J34" s="704"/>
    </row>
    <row r="35" spans="8:10" x14ac:dyDescent="0.25">
      <c r="H35" s="703"/>
      <c r="I35" s="520"/>
      <c r="J35" s="704"/>
    </row>
    <row r="36" spans="8:10" x14ac:dyDescent="0.25">
      <c r="H36" s="703"/>
      <c r="I36" s="520"/>
      <c r="J36" s="704"/>
    </row>
    <row r="37" spans="8:10" x14ac:dyDescent="0.25">
      <c r="H37" s="703"/>
      <c r="I37" s="520"/>
      <c r="J37" s="704"/>
    </row>
    <row r="38" spans="8:10" ht="15.75" thickBot="1" x14ac:dyDescent="0.3">
      <c r="H38" s="705"/>
      <c r="I38" s="706"/>
      <c r="J38" s="707"/>
    </row>
  </sheetData>
  <mergeCells count="2">
    <mergeCell ref="C3:F4"/>
    <mergeCell ref="H3:J3"/>
  </mergeCells>
  <pageMargins left="0.25" right="0.25" top="0.25" bottom="0.25" header="0.05" footer="0.05"/>
  <pageSetup paperSize="5" scale="63" orientation="landscape" r:id="rId1"/>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59F9F-CD94-425B-B4B4-2167F8DB338C}">
  <sheetPr>
    <tabColor rgb="FFFF0000"/>
  </sheetPr>
  <dimension ref="A2:J15"/>
  <sheetViews>
    <sheetView workbookViewId="0">
      <selection activeCell="D21" sqref="D21"/>
    </sheetView>
  </sheetViews>
  <sheetFormatPr defaultRowHeight="15" x14ac:dyDescent="0.25"/>
  <cols>
    <col min="1" max="1" width="35.42578125" customWidth="1"/>
    <col min="2" max="2" width="17.28515625" customWidth="1"/>
    <col min="3" max="3" width="9.5703125" customWidth="1"/>
    <col min="4" max="4" width="12.85546875" customWidth="1"/>
    <col min="5" max="5" width="17.28515625" customWidth="1"/>
    <col min="6" max="6" width="9.5703125" customWidth="1"/>
    <col min="7" max="7" width="13.5703125" customWidth="1"/>
    <col min="8" max="8" width="17.28515625" customWidth="1"/>
    <col min="9" max="9" width="7.140625" bestFit="1" customWidth="1"/>
    <col min="10" max="10" width="17.28515625" customWidth="1"/>
  </cols>
  <sheetData>
    <row r="2" spans="1:10" ht="15.75" thickBot="1" x14ac:dyDescent="0.3"/>
    <row r="3" spans="1:10" ht="26.25" thickBot="1" x14ac:dyDescent="0.3">
      <c r="A3" s="875" t="s">
        <v>661</v>
      </c>
      <c r="B3" s="874" t="s">
        <v>660</v>
      </c>
      <c r="C3" s="874" t="s">
        <v>656</v>
      </c>
      <c r="D3" s="874" t="s">
        <v>655</v>
      </c>
      <c r="E3" s="874" t="s">
        <v>659</v>
      </c>
      <c r="F3" s="874" t="s">
        <v>658</v>
      </c>
      <c r="G3" s="874" t="s">
        <v>655</v>
      </c>
      <c r="H3" s="874" t="s">
        <v>657</v>
      </c>
      <c r="I3" s="874" t="s">
        <v>656</v>
      </c>
      <c r="J3" s="874" t="s">
        <v>655</v>
      </c>
    </row>
    <row r="4" spans="1:10" ht="15.75" thickBot="1" x14ac:dyDescent="0.3">
      <c r="A4" s="871" t="s">
        <v>654</v>
      </c>
      <c r="B4" s="870" t="s">
        <v>645</v>
      </c>
      <c r="C4" s="870">
        <v>1.5</v>
      </c>
      <c r="D4" s="868">
        <v>4377</v>
      </c>
      <c r="E4" s="870" t="s">
        <v>653</v>
      </c>
      <c r="F4" s="870">
        <v>2</v>
      </c>
      <c r="G4" s="868">
        <f>D4</f>
        <v>4377</v>
      </c>
      <c r="H4" s="870" t="s">
        <v>652</v>
      </c>
      <c r="I4" s="870">
        <v>2.5</v>
      </c>
      <c r="J4" s="868">
        <f>D4</f>
        <v>4377</v>
      </c>
    </row>
    <row r="5" spans="1:10" ht="31.5" customHeight="1" thickBot="1" x14ac:dyDescent="0.3">
      <c r="A5" s="876" t="s">
        <v>663</v>
      </c>
      <c r="B5" s="877" t="s">
        <v>635</v>
      </c>
      <c r="C5" s="879" t="s">
        <v>665</v>
      </c>
      <c r="D5" s="878">
        <v>3024</v>
      </c>
      <c r="E5" s="877" t="s">
        <v>662</v>
      </c>
      <c r="F5" s="879" t="s">
        <v>665</v>
      </c>
      <c r="G5" s="878">
        <v>4536</v>
      </c>
      <c r="H5" s="877" t="s">
        <v>645</v>
      </c>
      <c r="I5" s="879" t="s">
        <v>665</v>
      </c>
      <c r="J5" s="878">
        <v>6048</v>
      </c>
    </row>
    <row r="6" spans="1:10" ht="15.75" thickBot="1" x14ac:dyDescent="0.3">
      <c r="A6" s="871" t="s">
        <v>651</v>
      </c>
      <c r="B6" s="870" t="s">
        <v>650</v>
      </c>
      <c r="C6" s="870">
        <v>8.4</v>
      </c>
      <c r="D6" s="868">
        <v>5453</v>
      </c>
      <c r="E6" s="870" t="s">
        <v>649</v>
      </c>
      <c r="F6" s="870">
        <v>11.2</v>
      </c>
      <c r="G6" s="868">
        <v>9816</v>
      </c>
      <c r="H6" s="870" t="s">
        <v>648</v>
      </c>
      <c r="I6" s="870">
        <v>13.6</v>
      </c>
      <c r="J6" s="868">
        <v>9816</v>
      </c>
    </row>
    <row r="7" spans="1:10" ht="15.75" thickBot="1" x14ac:dyDescent="0.3">
      <c r="A7" s="871" t="s">
        <v>647</v>
      </c>
      <c r="B7" s="870" t="s">
        <v>635</v>
      </c>
      <c r="C7" s="870"/>
      <c r="D7" s="868"/>
      <c r="E7" s="870" t="s">
        <v>646</v>
      </c>
      <c r="F7" s="870"/>
      <c r="G7" s="868"/>
      <c r="H7" s="870" t="s">
        <v>645</v>
      </c>
      <c r="I7" s="870"/>
      <c r="J7" s="868"/>
    </row>
    <row r="8" spans="1:10" ht="15.75" thickBot="1" x14ac:dyDescent="0.3">
      <c r="A8" s="871" t="s">
        <v>644</v>
      </c>
      <c r="B8" s="870" t="s">
        <v>643</v>
      </c>
      <c r="C8" s="870">
        <v>2.34</v>
      </c>
      <c r="D8" s="868">
        <v>4740</v>
      </c>
      <c r="E8" s="870" t="s">
        <v>642</v>
      </c>
      <c r="F8" s="870">
        <v>2.79</v>
      </c>
      <c r="G8" s="868">
        <v>4740</v>
      </c>
      <c r="H8" s="870" t="s">
        <v>641</v>
      </c>
      <c r="I8" s="873">
        <v>3.19</v>
      </c>
      <c r="J8" s="868">
        <v>4740</v>
      </c>
    </row>
    <row r="9" spans="1:10" ht="15.75" thickBot="1" x14ac:dyDescent="0.3">
      <c r="A9" s="871" t="s">
        <v>640</v>
      </c>
      <c r="B9" s="870" t="s">
        <v>639</v>
      </c>
      <c r="C9" s="870"/>
      <c r="D9" s="868"/>
      <c r="E9" s="870" t="s">
        <v>636</v>
      </c>
      <c r="F9" s="870"/>
      <c r="G9" s="868"/>
      <c r="H9" s="870" t="s">
        <v>638</v>
      </c>
      <c r="I9" s="872"/>
      <c r="J9" s="868"/>
    </row>
    <row r="10" spans="1:10" ht="15.75" thickBot="1" x14ac:dyDescent="0.3">
      <c r="A10" s="871" t="s">
        <v>637</v>
      </c>
      <c r="B10" s="870" t="s">
        <v>636</v>
      </c>
      <c r="C10" s="870"/>
      <c r="D10" s="868"/>
      <c r="E10" s="870" t="s">
        <v>635</v>
      </c>
      <c r="F10" s="870"/>
      <c r="G10" s="868"/>
      <c r="H10" s="870" t="s">
        <v>241</v>
      </c>
      <c r="I10" s="869"/>
      <c r="J10" s="868"/>
    </row>
    <row r="11" spans="1:10" ht="15.75" thickBot="1" x14ac:dyDescent="0.3">
      <c r="A11" s="871" t="s">
        <v>634</v>
      </c>
      <c r="B11" s="870" t="s">
        <v>633</v>
      </c>
      <c r="C11" s="870"/>
      <c r="D11" s="868"/>
      <c r="E11" s="870" t="s">
        <v>632</v>
      </c>
      <c r="F11" s="870"/>
      <c r="G11" s="868"/>
      <c r="H11" s="870" t="s">
        <v>631</v>
      </c>
      <c r="I11" s="869"/>
      <c r="J11" s="868"/>
    </row>
    <row r="15" spans="1:10" x14ac:dyDescent="0.25">
      <c r="A15" s="867"/>
    </row>
  </sheetData>
  <pageMargins left="0.7" right="0.7" top="0.75" bottom="0.75" header="0.3" footer="0.3"/>
  <pageSetup orientation="portrait" r:id="rId1"/>
  <legacy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C3:AA48"/>
  <sheetViews>
    <sheetView topLeftCell="E6" zoomScaleNormal="100" workbookViewId="0">
      <selection activeCell="I61" sqref="I61"/>
    </sheetView>
  </sheetViews>
  <sheetFormatPr defaultColWidth="8.85546875" defaultRowHeight="15.6" customHeight="1" x14ac:dyDescent="0.2"/>
  <cols>
    <col min="1" max="2" width="8.85546875" style="380"/>
    <col min="3" max="3" width="27.7109375" style="380" customWidth="1"/>
    <col min="4" max="4" width="15.42578125" style="380" customWidth="1"/>
    <col min="5" max="5" width="9.85546875" style="380" bestFit="1" customWidth="1"/>
    <col min="6" max="6" width="16.28515625" style="380" bestFit="1" customWidth="1"/>
    <col min="7" max="7" width="11.85546875" style="380" customWidth="1"/>
    <col min="8" max="8" width="9" style="380" customWidth="1"/>
    <col min="9" max="9" width="12.5703125" style="380" customWidth="1"/>
    <col min="10" max="10" width="11.140625" style="380" customWidth="1"/>
    <col min="11" max="11" width="11" style="380" customWidth="1"/>
    <col min="12" max="12" width="10.7109375" style="380" customWidth="1"/>
    <col min="13" max="14" width="10.85546875" style="380" customWidth="1"/>
    <col min="15" max="15" width="9.85546875" style="380" customWidth="1"/>
    <col min="16" max="16" width="12.140625" style="380" customWidth="1"/>
    <col min="17" max="17" width="8.85546875" style="380" customWidth="1"/>
    <col min="18" max="18" width="21.7109375" style="380" customWidth="1"/>
    <col min="19" max="19" width="10.85546875" style="380" customWidth="1"/>
    <col min="20" max="20" width="8.5703125" style="380" bestFit="1" customWidth="1"/>
    <col min="21" max="21" width="5.85546875" style="104" hidden="1" customWidth="1"/>
    <col min="22" max="22" width="30.140625" style="380" bestFit="1" customWidth="1"/>
    <col min="23" max="23" width="11.42578125" style="380" customWidth="1"/>
    <col min="24" max="24" width="11" style="380" customWidth="1"/>
    <col min="25" max="25" width="8.28515625" style="380" customWidth="1"/>
    <col min="26" max="16384" width="8.85546875" style="380"/>
  </cols>
  <sheetData>
    <row r="3" spans="3:27" ht="15.6" customHeight="1" thickBot="1" x14ac:dyDescent="0.25">
      <c r="C3" s="379"/>
    </row>
    <row r="4" spans="3:27" ht="22.9" customHeight="1" thickBot="1" x14ac:dyDescent="0.25">
      <c r="C4" s="2068" t="s">
        <v>377</v>
      </c>
      <c r="D4" s="2069"/>
      <c r="E4" s="2069"/>
      <c r="F4" s="2069"/>
      <c r="G4" s="2070"/>
      <c r="I4" s="2074" t="s">
        <v>344</v>
      </c>
      <c r="J4" s="2075"/>
      <c r="K4" s="401"/>
      <c r="L4" s="2078" t="s">
        <v>345</v>
      </c>
      <c r="M4" s="2079"/>
      <c r="N4" s="401"/>
      <c r="O4" s="2082" t="s">
        <v>346</v>
      </c>
      <c r="P4" s="2083"/>
      <c r="R4" s="2086" t="s">
        <v>261</v>
      </c>
      <c r="S4" s="2087"/>
      <c r="T4" s="2088"/>
      <c r="V4" s="2061" t="s">
        <v>248</v>
      </c>
      <c r="W4" s="2062"/>
      <c r="X4" s="2062"/>
      <c r="Y4" s="2063"/>
    </row>
    <row r="5" spans="3:27" ht="15.6" customHeight="1" thickBot="1" x14ac:dyDescent="0.25">
      <c r="C5" s="2071"/>
      <c r="D5" s="2072"/>
      <c r="E5" s="2072"/>
      <c r="F5" s="2072"/>
      <c r="G5" s="2073"/>
      <c r="I5" s="2076"/>
      <c r="J5" s="2077"/>
      <c r="K5" s="401"/>
      <c r="L5" s="2080"/>
      <c r="M5" s="2081"/>
      <c r="N5" s="401"/>
      <c r="O5" s="2084"/>
      <c r="P5" s="2085"/>
      <c r="R5" s="1101"/>
      <c r="S5" s="1102" t="s">
        <v>3</v>
      </c>
      <c r="T5" s="1103" t="s">
        <v>4</v>
      </c>
      <c r="V5" s="1101" t="s">
        <v>9</v>
      </c>
      <c r="W5" s="1167" t="s">
        <v>347</v>
      </c>
      <c r="X5" s="401" t="s">
        <v>348</v>
      </c>
      <c r="Y5" s="1168" t="s">
        <v>346</v>
      </c>
    </row>
    <row r="6" spans="3:27" ht="15.6" customHeight="1" thickBot="1" x14ac:dyDescent="0.25">
      <c r="C6" s="1104" t="s">
        <v>0</v>
      </c>
      <c r="D6" s="1105">
        <v>6</v>
      </c>
      <c r="E6" s="1106"/>
      <c r="F6" s="1106" t="s">
        <v>1</v>
      </c>
      <c r="G6" s="1107">
        <f>D6*365</f>
        <v>2190</v>
      </c>
      <c r="I6" s="404" t="s">
        <v>349</v>
      </c>
      <c r="J6" s="405">
        <v>1</v>
      </c>
      <c r="L6" s="406" t="s">
        <v>349</v>
      </c>
      <c r="M6" s="407">
        <v>1</v>
      </c>
      <c r="O6" s="406" t="s">
        <v>350</v>
      </c>
      <c r="P6" s="407">
        <v>1</v>
      </c>
      <c r="R6" s="382" t="s">
        <v>8</v>
      </c>
      <c r="S6" s="1108">
        <v>15</v>
      </c>
      <c r="T6" s="1109">
        <f>S6*8</f>
        <v>120</v>
      </c>
      <c r="V6" s="1110" t="str">
        <f>R14</f>
        <v xml:space="preserve">    Program Management </v>
      </c>
      <c r="W6" s="1111">
        <v>1.3</v>
      </c>
      <c r="X6" s="1112">
        <f>0.4/7</f>
        <v>5.7142857142857148E-2</v>
      </c>
      <c r="Y6" s="1113">
        <f>0.2/17</f>
        <v>1.1764705882352941E-2</v>
      </c>
    </row>
    <row r="7" spans="3:27" ht="15.6" customHeight="1" thickBot="1" x14ac:dyDescent="0.25">
      <c r="C7" s="382"/>
      <c r="G7" s="414"/>
      <c r="I7" s="406" t="s">
        <v>351</v>
      </c>
      <c r="J7" s="407">
        <v>365</v>
      </c>
      <c r="L7" s="406" t="s">
        <v>351</v>
      </c>
      <c r="M7" s="407">
        <v>365</v>
      </c>
      <c r="O7" s="406" t="s">
        <v>3</v>
      </c>
      <c r="P7" s="407">
        <v>365</v>
      </c>
      <c r="R7" s="382" t="s">
        <v>10</v>
      </c>
      <c r="S7" s="1108">
        <v>8</v>
      </c>
      <c r="T7" s="1109">
        <f>S7*8</f>
        <v>64</v>
      </c>
      <c r="V7" s="1114" t="s">
        <v>13</v>
      </c>
      <c r="W7" s="1115"/>
      <c r="X7" s="1116"/>
      <c r="Y7" s="1117"/>
    </row>
    <row r="8" spans="3:27" ht="15.6" customHeight="1" x14ac:dyDescent="0.2">
      <c r="C8" s="1101"/>
      <c r="D8" s="457"/>
      <c r="E8" s="1118" t="s">
        <v>5</v>
      </c>
      <c r="F8" s="1118" t="s">
        <v>6</v>
      </c>
      <c r="G8" s="1119" t="s">
        <v>7</v>
      </c>
      <c r="I8" s="412"/>
      <c r="J8" s="413"/>
      <c r="L8" s="382"/>
      <c r="M8" s="414"/>
      <c r="O8" s="382"/>
      <c r="P8" s="414"/>
      <c r="R8" s="382" t="s">
        <v>11</v>
      </c>
      <c r="S8" s="1108">
        <v>11</v>
      </c>
      <c r="T8" s="1109">
        <f>S8*8</f>
        <v>88</v>
      </c>
      <c r="V8" s="1110" t="str">
        <f>R16</f>
        <v xml:space="preserve">    Clinician (LICSW)</v>
      </c>
      <c r="W8" s="1111">
        <v>0.5</v>
      </c>
      <c r="X8" s="1112">
        <f>1.3/7</f>
        <v>0.18571428571428572</v>
      </c>
      <c r="Y8" s="1113">
        <f>1.3/17</f>
        <v>7.6470588235294124E-2</v>
      </c>
    </row>
    <row r="9" spans="3:27" ht="15.6" customHeight="1" x14ac:dyDescent="0.2">
      <c r="C9" s="1101" t="str">
        <f>R13</f>
        <v>Management</v>
      </c>
      <c r="E9" s="1102"/>
      <c r="F9" s="1102"/>
      <c r="G9" s="1120"/>
      <c r="I9" s="382"/>
      <c r="J9" s="414"/>
      <c r="L9" s="382"/>
      <c r="M9" s="414"/>
      <c r="O9" s="382"/>
      <c r="P9" s="414"/>
      <c r="R9" s="1121" t="s">
        <v>12</v>
      </c>
      <c r="S9" s="1122">
        <v>5</v>
      </c>
      <c r="T9" s="1123">
        <f>S9*8</f>
        <v>40</v>
      </c>
      <c r="V9" s="1110" t="s">
        <v>242</v>
      </c>
      <c r="W9" s="1111"/>
      <c r="X9" s="1116"/>
      <c r="Y9" s="1117"/>
    </row>
    <row r="10" spans="3:27" ht="15.6" customHeight="1" x14ac:dyDescent="0.2">
      <c r="C10" s="382" t="str">
        <f>R14</f>
        <v xml:space="preserve">    Program Management </v>
      </c>
      <c r="E10" s="1124">
        <f>T14</f>
        <v>80829.631999999998</v>
      </c>
      <c r="F10" s="1125">
        <f>W6</f>
        <v>1.3</v>
      </c>
      <c r="G10" s="1126">
        <f>E10*F10</f>
        <v>105078.52160000001</v>
      </c>
      <c r="I10" s="415">
        <f>X6</f>
        <v>5.7142857142857148E-2</v>
      </c>
      <c r="J10" s="416">
        <f>E10*I10</f>
        <v>4618.8361142857148</v>
      </c>
      <c r="K10" s="393"/>
      <c r="L10" s="417">
        <v>5.7142857142857148E-2</v>
      </c>
      <c r="M10" s="416">
        <f>L10*E10</f>
        <v>4618.8361142857148</v>
      </c>
      <c r="N10" s="1169"/>
      <c r="O10" s="417">
        <f>Y6</f>
        <v>1.1764705882352941E-2</v>
      </c>
      <c r="P10" s="416">
        <f>O10*E10</f>
        <v>950.93684705882345</v>
      </c>
      <c r="Q10" s="1169"/>
      <c r="R10" s="382"/>
      <c r="S10" s="1127" t="s">
        <v>14</v>
      </c>
      <c r="T10" s="1109">
        <f>SUM(T6:T9)</f>
        <v>312</v>
      </c>
      <c r="V10" s="1110" t="s">
        <v>239</v>
      </c>
      <c r="W10" s="1111"/>
      <c r="X10" s="1112">
        <f>0.05/7</f>
        <v>7.1428571428571435E-3</v>
      </c>
      <c r="Y10" s="1117"/>
      <c r="AA10" s="1170" t="s">
        <v>352</v>
      </c>
    </row>
    <row r="11" spans="3:27" ht="15.6" customHeight="1" thickBot="1" x14ac:dyDescent="0.25">
      <c r="C11" s="1101" t="str">
        <f>R15</f>
        <v>Medical and Clinical</v>
      </c>
      <c r="E11" s="1124"/>
      <c r="F11" s="1125"/>
      <c r="G11" s="1126"/>
      <c r="I11" s="415"/>
      <c r="J11" s="416"/>
      <c r="K11" s="393"/>
      <c r="L11" s="418"/>
      <c r="M11" s="416"/>
      <c r="N11" s="393"/>
      <c r="O11" s="417"/>
      <c r="P11" s="416"/>
      <c r="R11" s="462"/>
      <c r="S11" s="1128" t="s">
        <v>15</v>
      </c>
      <c r="T11" s="1129">
        <f>T10/(52*40)</f>
        <v>0.15</v>
      </c>
      <c r="V11" s="1110" t="str">
        <f>R19</f>
        <v xml:space="preserve">    Registered Nurse</v>
      </c>
      <c r="W11" s="1111">
        <v>0.12</v>
      </c>
      <c r="X11" s="1112">
        <f>0.1/7</f>
        <v>1.4285714285714287E-2</v>
      </c>
      <c r="Y11" s="1117"/>
      <c r="AA11" s="1170"/>
    </row>
    <row r="12" spans="3:27" ht="15.6" customHeight="1" thickBot="1" x14ac:dyDescent="0.25">
      <c r="C12" s="382" t="str">
        <f>R16</f>
        <v xml:space="preserve">    Clinician (LICSW)</v>
      </c>
      <c r="E12" s="1124">
        <f>T16</f>
        <v>83639.712</v>
      </c>
      <c r="F12" s="1125">
        <f>W8</f>
        <v>0.5</v>
      </c>
      <c r="G12" s="1126">
        <f>F12*E12</f>
        <v>41819.856</v>
      </c>
      <c r="I12" s="415">
        <f>X8</f>
        <v>0.18571428571428572</v>
      </c>
      <c r="J12" s="416">
        <f>E12*I12</f>
        <v>15533.089371428572</v>
      </c>
      <c r="K12" s="393"/>
      <c r="L12" s="418"/>
      <c r="M12" s="416"/>
      <c r="N12" s="393"/>
      <c r="O12" s="417">
        <f>Y8</f>
        <v>7.6470588235294124E-2</v>
      </c>
      <c r="P12" s="416">
        <f>O12*E12</f>
        <v>6395.9779764705891</v>
      </c>
      <c r="Q12" s="1169"/>
      <c r="R12" s="2061" t="s">
        <v>2328</v>
      </c>
      <c r="S12" s="2062"/>
      <c r="T12" s="2063"/>
      <c r="V12" s="1110" t="s">
        <v>19</v>
      </c>
      <c r="W12" s="1111">
        <v>0.25</v>
      </c>
      <c r="X12" s="1116">
        <v>0.05</v>
      </c>
      <c r="Y12" s="1117"/>
    </row>
    <row r="13" spans="3:27" ht="15.6" customHeight="1" x14ac:dyDescent="0.2">
      <c r="C13" s="382" t="str">
        <f>R19</f>
        <v xml:space="preserve">    Registered Nurse</v>
      </c>
      <c r="E13" s="1124">
        <f>T19</f>
        <v>103622.27200000001</v>
      </c>
      <c r="F13" s="1125">
        <f>W11</f>
        <v>0.12</v>
      </c>
      <c r="G13" s="1126">
        <f>E13*F13</f>
        <v>12434.672640000001</v>
      </c>
      <c r="I13" s="415">
        <f>X11</f>
        <v>1.4285714285714287E-2</v>
      </c>
      <c r="J13" s="416">
        <f>E13*I13</f>
        <v>1480.3181714285718</v>
      </c>
      <c r="K13" s="393"/>
      <c r="L13" s="418"/>
      <c r="M13" s="416"/>
      <c r="N13" s="393"/>
      <c r="O13" s="417"/>
      <c r="P13" s="416"/>
      <c r="R13" s="1101" t="s">
        <v>9</v>
      </c>
      <c r="T13" s="1126"/>
      <c r="V13" s="1114" t="s">
        <v>18</v>
      </c>
      <c r="W13" s="1115"/>
      <c r="X13" s="1116"/>
      <c r="Y13" s="1117"/>
    </row>
    <row r="14" spans="3:27" ht="15.6" customHeight="1" x14ac:dyDescent="0.2">
      <c r="C14" s="382" t="str">
        <f>R20</f>
        <v xml:space="preserve">    Occupational Therapy</v>
      </c>
      <c r="E14" s="1124">
        <f>T20</f>
        <v>82681.040000000008</v>
      </c>
      <c r="F14" s="1125">
        <f>W12</f>
        <v>0.25</v>
      </c>
      <c r="G14" s="1126">
        <f>E14*F14</f>
        <v>20670.260000000002</v>
      </c>
      <c r="I14" s="415">
        <f>X12</f>
        <v>0.05</v>
      </c>
      <c r="J14" s="416">
        <f>E14*I14</f>
        <v>4134.0520000000006</v>
      </c>
      <c r="K14" s="393"/>
      <c r="L14" s="418"/>
      <c r="M14" s="416"/>
      <c r="N14" s="393"/>
      <c r="O14" s="417"/>
      <c r="P14" s="416"/>
      <c r="R14" s="1101" t="s">
        <v>2329</v>
      </c>
      <c r="T14" s="1130">
        <f>'M2023 BLS Chart'!C22</f>
        <v>80829.631999999998</v>
      </c>
      <c r="U14" s="414" t="s">
        <v>423</v>
      </c>
      <c r="V14" s="1110" t="str">
        <f>R22</f>
        <v xml:space="preserve">    Direct Care (staffed apt)</v>
      </c>
      <c r="W14" s="1111">
        <v>7</v>
      </c>
      <c r="X14" s="1116"/>
      <c r="Y14" s="1117"/>
    </row>
    <row r="15" spans="3:27" ht="15.6" customHeight="1" x14ac:dyDescent="0.2">
      <c r="C15" s="1101" t="str">
        <f>R21</f>
        <v>Direct Care</v>
      </c>
      <c r="G15" s="414"/>
      <c r="I15" s="415"/>
      <c r="J15" s="416"/>
      <c r="K15" s="393"/>
      <c r="L15" s="418"/>
      <c r="M15" s="416"/>
      <c r="N15" s="393"/>
      <c r="O15" s="417"/>
      <c r="P15" s="416"/>
      <c r="R15" s="1101" t="s">
        <v>13</v>
      </c>
      <c r="T15" s="1130"/>
      <c r="V15" s="1110" t="s">
        <v>353</v>
      </c>
      <c r="W15" s="1111">
        <v>0.5</v>
      </c>
      <c r="X15" s="1116">
        <v>0.05</v>
      </c>
      <c r="Y15" s="1131">
        <v>0.05</v>
      </c>
    </row>
    <row r="16" spans="3:27" ht="15.6" customHeight="1" x14ac:dyDescent="0.2">
      <c r="C16" s="382" t="str">
        <f>R22</f>
        <v xml:space="preserve">    Direct Care (staffed apt)</v>
      </c>
      <c r="E16" s="1124">
        <f>T22</f>
        <v>43247.567999999999</v>
      </c>
      <c r="F16" s="1125">
        <f>W14</f>
        <v>7</v>
      </c>
      <c r="G16" s="1126">
        <f>E16*F16</f>
        <v>302732.97600000002</v>
      </c>
      <c r="I16" s="415"/>
      <c r="J16" s="416"/>
      <c r="K16" s="393"/>
      <c r="L16" s="418"/>
      <c r="M16" s="416"/>
      <c r="N16" s="393"/>
      <c r="O16" s="417"/>
      <c r="P16" s="416"/>
      <c r="R16" s="382" t="s">
        <v>268</v>
      </c>
      <c r="T16" s="1130">
        <f>'M2023 BLS Chart'!C18</f>
        <v>83639.712</v>
      </c>
      <c r="U16" s="414" t="s">
        <v>423</v>
      </c>
      <c r="V16" s="1110" t="str">
        <f>R23</f>
        <v xml:space="preserve">    Direct Care (Supported Apt)</v>
      </c>
      <c r="W16" s="1115"/>
      <c r="X16" s="1111"/>
      <c r="Y16" s="1113"/>
    </row>
    <row r="17" spans="3:25" ht="15.6" customHeight="1" x14ac:dyDescent="0.2">
      <c r="C17" s="382" t="s">
        <v>354</v>
      </c>
      <c r="E17" s="1124">
        <f>T22</f>
        <v>43247.567999999999</v>
      </c>
      <c r="F17" s="1125">
        <f>W15</f>
        <v>0.5</v>
      </c>
      <c r="G17" s="1126">
        <f>F17*E17</f>
        <v>21623.784</v>
      </c>
      <c r="I17" s="415">
        <f>X15</f>
        <v>0.05</v>
      </c>
      <c r="J17" s="416">
        <f>I17*E17</f>
        <v>2162.3784000000001</v>
      </c>
      <c r="K17" s="393"/>
      <c r="L17" s="418"/>
      <c r="M17" s="416"/>
      <c r="N17" s="393"/>
      <c r="O17" s="420">
        <f>Y15</f>
        <v>0.05</v>
      </c>
      <c r="P17" s="416">
        <f>O17*E17</f>
        <v>2162.3784000000001</v>
      </c>
      <c r="Q17" s="392"/>
      <c r="R17" s="382" t="s">
        <v>242</v>
      </c>
      <c r="T17" s="1130">
        <f>'M2023 BLS Chart'!C14</f>
        <v>70211.44</v>
      </c>
      <c r="U17" s="414" t="s">
        <v>423</v>
      </c>
      <c r="V17" s="1110" t="str">
        <f>R24</f>
        <v xml:space="preserve">    Direct Care (Outreach)</v>
      </c>
      <c r="W17" s="1115"/>
      <c r="X17" s="1116"/>
      <c r="Y17" s="1113">
        <v>0.12</v>
      </c>
    </row>
    <row r="18" spans="3:25" ht="15.6" customHeight="1" x14ac:dyDescent="0.2">
      <c r="C18" s="382" t="str">
        <f>R25</f>
        <v xml:space="preserve">    Transition Facilitator / Caseworker</v>
      </c>
      <c r="E18" s="440">
        <f>T25</f>
        <v>64438.399999999994</v>
      </c>
      <c r="F18" s="1132">
        <f>W18</f>
        <v>1.2</v>
      </c>
      <c r="G18" s="416">
        <f>F18*E18</f>
        <v>77326.079999999987</v>
      </c>
      <c r="I18" s="415">
        <f>X18</f>
        <v>0.2</v>
      </c>
      <c r="J18" s="416">
        <f>I18*E18</f>
        <v>12887.68</v>
      </c>
      <c r="K18" s="393"/>
      <c r="L18" s="418"/>
      <c r="M18" s="416"/>
      <c r="N18" s="393"/>
      <c r="O18" s="420">
        <f>Y17</f>
        <v>0.12</v>
      </c>
      <c r="P18" s="416">
        <f>O18*E18</f>
        <v>7732.6079999999993</v>
      </c>
      <c r="Q18" s="1169"/>
      <c r="R18" s="382" t="s">
        <v>239</v>
      </c>
      <c r="T18" s="1130">
        <f>'M2023 BLS Chart'!C44</f>
        <v>247470</v>
      </c>
      <c r="V18" s="1110" t="str">
        <f>R25</f>
        <v xml:space="preserve">    Transition Facilitator / Caseworker</v>
      </c>
      <c r="W18" s="1111">
        <v>1.2</v>
      </c>
      <c r="X18" s="1112">
        <v>0.2</v>
      </c>
      <c r="Y18" s="1117"/>
    </row>
    <row r="19" spans="3:25" ht="15.6" customHeight="1" thickBot="1" x14ac:dyDescent="0.25">
      <c r="C19" s="382" t="str">
        <f>R26</f>
        <v xml:space="preserve">    Support Staff</v>
      </c>
      <c r="E19" s="440">
        <f>T26</f>
        <v>43247.567999999999</v>
      </c>
      <c r="F19" s="1132">
        <f>W20</f>
        <v>0.21</v>
      </c>
      <c r="G19" s="416">
        <f>F19*E19</f>
        <v>9081.9892799999998</v>
      </c>
      <c r="I19" s="421">
        <f>X20</f>
        <v>1.2500000000000001E-2</v>
      </c>
      <c r="J19" s="416">
        <f>I19*E19</f>
        <v>540.59460000000001</v>
      </c>
      <c r="K19" s="393"/>
      <c r="L19" s="418"/>
      <c r="M19" s="416"/>
      <c r="N19" s="393"/>
      <c r="O19" s="422">
        <f>Y20</f>
        <v>2.5000000000000001E-2</v>
      </c>
      <c r="P19" s="416">
        <f>O19*E19</f>
        <v>1081.1892</v>
      </c>
      <c r="R19" s="382" t="s">
        <v>269</v>
      </c>
      <c r="T19" s="1130">
        <f>'M2023 BLS Chart'!C32</f>
        <v>103622.27200000001</v>
      </c>
      <c r="U19" s="414" t="s">
        <v>423</v>
      </c>
      <c r="V19" s="1133" t="str">
        <f>R27</f>
        <v xml:space="preserve">   Direct Care/ Relief staff</v>
      </c>
      <c r="W19" s="1134">
        <f>SUM(W18+W14)*T11</f>
        <v>1.2299999999999998</v>
      </c>
      <c r="X19" s="1135"/>
      <c r="Y19" s="1136"/>
    </row>
    <row r="20" spans="3:25" ht="15.6" customHeight="1" thickBot="1" x14ac:dyDescent="0.25">
      <c r="C20" s="382" t="str">
        <f>V19</f>
        <v xml:space="preserve">   Direct Care/ Relief staff</v>
      </c>
      <c r="E20" s="1124">
        <f>T27</f>
        <v>46170.441379310345</v>
      </c>
      <c r="F20" s="1132">
        <f>1.2+0.5</f>
        <v>1.7</v>
      </c>
      <c r="G20" s="416">
        <f>F20*E20</f>
        <v>78489.750344827582</v>
      </c>
      <c r="I20" s="415"/>
      <c r="J20" s="416"/>
      <c r="K20" s="393"/>
      <c r="L20" s="418"/>
      <c r="M20" s="416"/>
      <c r="N20" s="393"/>
      <c r="O20" s="420"/>
      <c r="P20" s="416"/>
      <c r="R20" s="382" t="s">
        <v>19</v>
      </c>
      <c r="T20" s="1130">
        <f>'M2023 BLS Chart'!C24</f>
        <v>82681.040000000008</v>
      </c>
      <c r="U20" s="104" t="s">
        <v>420</v>
      </c>
      <c r="V20" s="1278" t="s">
        <v>247</v>
      </c>
      <c r="W20" s="1279">
        <v>0.21</v>
      </c>
      <c r="X20" s="1280">
        <v>1.2500000000000001E-2</v>
      </c>
      <c r="Y20" s="1281">
        <v>2.5000000000000001E-2</v>
      </c>
    </row>
    <row r="21" spans="3:25" ht="15.6" customHeight="1" thickBot="1" x14ac:dyDescent="0.25">
      <c r="C21" s="1137" t="s">
        <v>20</v>
      </c>
      <c r="D21" s="1138"/>
      <c r="E21" s="1138"/>
      <c r="F21" s="1139">
        <f>SUM(F10:F20)</f>
        <v>12.78</v>
      </c>
      <c r="G21" s="1140">
        <f>SUM(G10:G20)</f>
        <v>669257.88986482751</v>
      </c>
      <c r="I21" s="427">
        <f>SUM(I10:I20)</f>
        <v>0.56964285714285712</v>
      </c>
      <c r="J21" s="428">
        <f>SUM(J10:J19)</f>
        <v>41356.948657142857</v>
      </c>
      <c r="K21" s="429"/>
      <c r="L21" s="430">
        <f>SUM(L10:L20)</f>
        <v>5.7142857142857148E-2</v>
      </c>
      <c r="M21" s="428">
        <f>SUM(M10:M20)</f>
        <v>4618.8361142857148</v>
      </c>
      <c r="N21" s="429"/>
      <c r="O21" s="431">
        <f>SUM(O9:O20)</f>
        <v>0.28323529411764709</v>
      </c>
      <c r="P21" s="432">
        <f>SUM(P9:P20)</f>
        <v>18323.090423529411</v>
      </c>
      <c r="R21" s="1101" t="s">
        <v>18</v>
      </c>
      <c r="T21" s="1130"/>
      <c r="U21" s="104" t="s">
        <v>270</v>
      </c>
      <c r="V21" s="412"/>
      <c r="W21" s="1282"/>
      <c r="X21" s="1282"/>
      <c r="Y21" s="413"/>
    </row>
    <row r="22" spans="3:25" ht="15.6" customHeight="1" x14ac:dyDescent="0.2">
      <c r="C22" s="382"/>
      <c r="F22" s="457"/>
      <c r="G22" s="414"/>
      <c r="I22" s="433"/>
      <c r="J22" s="416"/>
      <c r="L22" s="382"/>
      <c r="M22" s="416"/>
      <c r="O22" s="417"/>
      <c r="P22" s="416"/>
      <c r="R22" s="382" t="s">
        <v>355</v>
      </c>
      <c r="T22" s="1130">
        <f>'M2023 BLS Chart'!$C$6</f>
        <v>43247.567999999999</v>
      </c>
      <c r="U22" s="380" t="s">
        <v>423</v>
      </c>
      <c r="V22" s="382"/>
      <c r="Y22" s="414"/>
    </row>
    <row r="23" spans="3:25" ht="15.6" customHeight="1" x14ac:dyDescent="0.2">
      <c r="C23" s="1101" t="s">
        <v>21</v>
      </c>
      <c r="E23" s="1141"/>
      <c r="G23" s="1126"/>
      <c r="I23" s="433"/>
      <c r="J23" s="416"/>
      <c r="L23" s="382"/>
      <c r="M23" s="416"/>
      <c r="O23" s="417"/>
      <c r="P23" s="416"/>
      <c r="R23" s="382" t="s">
        <v>356</v>
      </c>
      <c r="T23" s="1130">
        <f>'M2023 BLS Chart'!$C$6</f>
        <v>43247.567999999999</v>
      </c>
      <c r="U23" s="380" t="s">
        <v>423</v>
      </c>
      <c r="V23" s="382"/>
      <c r="Y23" s="414"/>
    </row>
    <row r="24" spans="3:25" ht="15.6" customHeight="1" thickBot="1" x14ac:dyDescent="0.25">
      <c r="C24" s="382" t="s">
        <v>23</v>
      </c>
      <c r="E24" s="1142">
        <f>T29</f>
        <v>0.24970000000000001</v>
      </c>
      <c r="G24" s="416">
        <f>G21*E24</f>
        <v>167113.69509924744</v>
      </c>
      <c r="I24" s="433"/>
      <c r="J24" s="416">
        <f>J21*E24</f>
        <v>10326.830079688572</v>
      </c>
      <c r="K24" s="393"/>
      <c r="L24" s="418"/>
      <c r="M24" s="416">
        <f>M21*E24</f>
        <v>1153.3233777371429</v>
      </c>
      <c r="N24" s="1169"/>
      <c r="O24" s="434"/>
      <c r="P24" s="416">
        <f>P21*E24</f>
        <v>4575.2756787552944</v>
      </c>
      <c r="R24" s="382" t="s">
        <v>357</v>
      </c>
      <c r="T24" s="1130">
        <f>'M2023 BLS Chart'!$C$6</f>
        <v>43247.567999999999</v>
      </c>
      <c r="U24" s="380" t="s">
        <v>423</v>
      </c>
      <c r="V24" s="382"/>
      <c r="Y24" s="414"/>
    </row>
    <row r="25" spans="3:25" ht="15.6" customHeight="1" thickBot="1" x14ac:dyDescent="0.25">
      <c r="C25" s="1137" t="s">
        <v>24</v>
      </c>
      <c r="D25" s="1138"/>
      <c r="E25" s="1138"/>
      <c r="F25" s="1143">
        <f>G25/G6</f>
        <v>381.90483331692917</v>
      </c>
      <c r="G25" s="1140">
        <f>G21+G24</f>
        <v>836371.58496407489</v>
      </c>
      <c r="I25" s="435"/>
      <c r="J25" s="428">
        <f>J21+J24</f>
        <v>51683.778736831431</v>
      </c>
      <c r="K25" s="429"/>
      <c r="L25" s="436"/>
      <c r="M25" s="428">
        <f>M24+M21</f>
        <v>5772.1594920228581</v>
      </c>
      <c r="N25" s="429"/>
      <c r="O25" s="431"/>
      <c r="P25" s="437">
        <f>P24+P21</f>
        <v>22898.366102284705</v>
      </c>
      <c r="R25" s="382" t="s">
        <v>358</v>
      </c>
      <c r="T25" s="1130">
        <f>'M2023 BLS Chart'!C12</f>
        <v>64438.399999999994</v>
      </c>
      <c r="U25" s="380" t="s">
        <v>423</v>
      </c>
      <c r="V25" s="382"/>
      <c r="Y25" s="414"/>
    </row>
    <row r="26" spans="3:25" ht="15.6" customHeight="1" x14ac:dyDescent="0.2">
      <c r="C26" s="1101"/>
      <c r="D26" s="457"/>
      <c r="E26" s="457"/>
      <c r="F26" s="457" t="s">
        <v>22</v>
      </c>
      <c r="G26" s="1144"/>
      <c r="I26" s="433"/>
      <c r="J26" s="416"/>
      <c r="L26" s="382"/>
      <c r="M26" s="416"/>
      <c r="O26" s="382"/>
      <c r="P26" s="416"/>
      <c r="R26" s="382" t="s">
        <v>247</v>
      </c>
      <c r="T26" s="1130">
        <f>'M2023 BLS Chart'!C36</f>
        <v>43247.567999999999</v>
      </c>
      <c r="U26" s="380" t="s">
        <v>423</v>
      </c>
      <c r="V26" s="382"/>
      <c r="Y26" s="414"/>
    </row>
    <row r="27" spans="3:25" ht="15.6" customHeight="1" thickBot="1" x14ac:dyDescent="0.25">
      <c r="C27" s="382"/>
      <c r="D27" s="1141"/>
      <c r="F27" s="393"/>
      <c r="G27" s="416"/>
      <c r="I27" s="433"/>
      <c r="J27" s="416"/>
      <c r="K27" s="393"/>
      <c r="L27" s="418"/>
      <c r="M27" s="416"/>
      <c r="N27" s="393"/>
      <c r="O27" s="438"/>
      <c r="P27" s="416"/>
      <c r="R27" s="462" t="s">
        <v>359</v>
      </c>
      <c r="S27" s="1145"/>
      <c r="T27" s="1130">
        <f>SUM(G16:G18)/SUM(F16:F18)</f>
        <v>46170.441379310345</v>
      </c>
      <c r="U27" s="380" t="s">
        <v>423</v>
      </c>
      <c r="V27" s="382"/>
      <c r="W27" s="1171"/>
      <c r="Y27" s="414"/>
    </row>
    <row r="28" spans="3:25" ht="15.6" customHeight="1" x14ac:dyDescent="0.2">
      <c r="C28" s="382" t="str">
        <f>R32</f>
        <v>Occupancy (per bed day) staffed Apts</v>
      </c>
      <c r="F28" s="1146">
        <f>T32</f>
        <v>28.161719999999999</v>
      </c>
      <c r="G28" s="416">
        <f>F28*G6</f>
        <v>61674.166799999999</v>
      </c>
      <c r="I28" s="1064">
        <f>(13750*(1+2.78%)/365)</f>
        <v>38.718493150684928</v>
      </c>
      <c r="J28" s="1065">
        <f>I28*365</f>
        <v>14132.249999999998</v>
      </c>
      <c r="K28" s="440"/>
      <c r="L28" s="1066">
        <f>I28</f>
        <v>38.718493150684928</v>
      </c>
      <c r="M28" s="439">
        <f>L28*365</f>
        <v>14132.249999999998</v>
      </c>
      <c r="N28" s="442"/>
      <c r="O28" s="441"/>
      <c r="P28" s="439"/>
      <c r="R28" s="2064" t="s">
        <v>28</v>
      </c>
      <c r="S28" s="2065"/>
      <c r="T28" s="2066"/>
      <c r="V28" s="1283"/>
      <c r="W28" s="1171"/>
      <c r="Y28" s="414"/>
    </row>
    <row r="29" spans="3:25" ht="15.6" customHeight="1" x14ac:dyDescent="0.2">
      <c r="C29" s="382" t="str">
        <f>R30</f>
        <v>Psychiatric Consultation Services</v>
      </c>
      <c r="F29" s="1146">
        <f>T30</f>
        <v>186.68676153846155</v>
      </c>
      <c r="G29" s="416">
        <f>F29*2*52</f>
        <v>19415.423200000001</v>
      </c>
      <c r="I29" s="1064">
        <f>T30</f>
        <v>186.68676153846155</v>
      </c>
      <c r="J29" s="1065">
        <f>I29*0.5*52</f>
        <v>4853.8558000000003</v>
      </c>
      <c r="K29" s="440"/>
      <c r="L29" s="1066"/>
      <c r="M29" s="439"/>
      <c r="N29" s="442"/>
      <c r="O29" s="441"/>
      <c r="P29" s="439"/>
      <c r="R29" s="382" t="s">
        <v>23</v>
      </c>
      <c r="T29" s="1147">
        <f>'Therapeutic Grp Care12 Bed '!K45</f>
        <v>0.24970000000000001</v>
      </c>
      <c r="V29" s="1284" t="str">
        <f>'Therapeutic Grp Care12 Bed '!M45</f>
        <v>BLS OES May 2023</v>
      </c>
      <c r="W29" s="1171"/>
      <c r="Y29" s="414"/>
    </row>
    <row r="30" spans="3:25" ht="15.6" customHeight="1" x14ac:dyDescent="0.2">
      <c r="C30" s="382" t="s">
        <v>27</v>
      </c>
      <c r="F30" s="1146">
        <f>T33</f>
        <v>40.659768000000007</v>
      </c>
      <c r="G30" s="416">
        <f>F30*G6</f>
        <v>89044.891920000009</v>
      </c>
      <c r="I30" s="1064">
        <f>(13000*(1+2.78%)/7/365)</f>
        <v>5.2295107632093938</v>
      </c>
      <c r="J30" s="1065">
        <f>I30*365</f>
        <v>1908.7714285714287</v>
      </c>
      <c r="K30" s="440"/>
      <c r="L30" s="1067">
        <f>I30</f>
        <v>5.2295107632093938</v>
      </c>
      <c r="M30" s="439">
        <f>M7*L30</f>
        <v>1908.7714285714287</v>
      </c>
      <c r="N30" s="442"/>
      <c r="O30" s="443">
        <f>T34</f>
        <v>1.8551748589846899</v>
      </c>
      <c r="P30" s="439">
        <f>O30*P7</f>
        <v>677.13882352941187</v>
      </c>
      <c r="R30" s="382" t="str">
        <f>'[30]TAY (Staffed Apartments)'!I29</f>
        <v>Psychiatric Consultation Services</v>
      </c>
      <c r="T30" s="1148">
        <f>'Therapeutic Grp Care 9 Bed '!K49</f>
        <v>186.68676153846155</v>
      </c>
      <c r="V30" s="1285" t="str">
        <f>'[30]TAY (Staffed Apartments)'!M29</f>
        <v>50/50 APRN /Psychiatrist</v>
      </c>
      <c r="W30" s="1171"/>
      <c r="Y30" s="414"/>
    </row>
    <row r="31" spans="3:25" ht="15.6" customHeight="1" thickBot="1" x14ac:dyDescent="0.25">
      <c r="C31" s="382"/>
      <c r="F31" s="458"/>
      <c r="G31" s="414"/>
      <c r="I31" s="444"/>
      <c r="J31" s="445"/>
      <c r="K31" s="446"/>
      <c r="L31" s="447">
        <v>42.759295499021526</v>
      </c>
      <c r="M31" s="445"/>
      <c r="N31" s="448"/>
      <c r="O31" s="441"/>
      <c r="P31" s="445"/>
      <c r="R31" s="382"/>
      <c r="T31" s="1149"/>
      <c r="V31" s="1283"/>
      <c r="W31" s="1171"/>
      <c r="Y31" s="414"/>
    </row>
    <row r="32" spans="3:25" ht="15.6" customHeight="1" thickBot="1" x14ac:dyDescent="0.25">
      <c r="C32" s="1137" t="s">
        <v>29</v>
      </c>
      <c r="D32" s="1138"/>
      <c r="E32" s="1138"/>
      <c r="F32" s="1138"/>
      <c r="G32" s="1140">
        <f>SUM(G25:G30)</f>
        <v>1006506.0668840748</v>
      </c>
      <c r="I32" s="449"/>
      <c r="J32" s="428">
        <f>J25+J28+J30+J27+J29</f>
        <v>72578.655965402868</v>
      </c>
      <c r="K32" s="429"/>
      <c r="L32" s="436"/>
      <c r="M32" s="428">
        <f>SUM(M25+M27+M28+M30)</f>
        <v>21813.180920594285</v>
      </c>
      <c r="O32" s="450"/>
      <c r="P32" s="437">
        <f>P25+P30+P27</f>
        <v>23575.504925814115</v>
      </c>
      <c r="R32" s="382" t="s">
        <v>360</v>
      </c>
      <c r="T32" s="1150">
        <f>27.4*(1+2.78%)</f>
        <v>28.161719999999999</v>
      </c>
      <c r="V32" s="1283"/>
      <c r="Y32" s="414"/>
    </row>
    <row r="33" spans="3:25" ht="15.6" customHeight="1" x14ac:dyDescent="0.2">
      <c r="C33" s="1101" t="s">
        <v>36</v>
      </c>
      <c r="D33" s="457"/>
      <c r="E33" s="1151">
        <f>T36</f>
        <v>3.2549514448865162E-2</v>
      </c>
      <c r="F33" s="457"/>
      <c r="G33" s="1144">
        <f>G32*E33</f>
        <v>32761.283766913639</v>
      </c>
      <c r="I33" s="451">
        <f>E33</f>
        <v>3.2549514448865162E-2</v>
      </c>
      <c r="J33" s="712">
        <f>J32*I33</f>
        <v>2362.4000110250945</v>
      </c>
      <c r="K33" s="429"/>
      <c r="L33" s="713">
        <f>E33</f>
        <v>3.2549514448865162E-2</v>
      </c>
      <c r="M33" s="712">
        <f>M32*L33</f>
        <v>710.00844755059359</v>
      </c>
      <c r="N33" s="429"/>
      <c r="O33" s="713">
        <f>E33</f>
        <v>3.2549514448865162E-2</v>
      </c>
      <c r="P33" s="712">
        <f>P32*O33</f>
        <v>767.37123822207832</v>
      </c>
      <c r="R33" s="382" t="s">
        <v>361</v>
      </c>
      <c r="T33" s="1150">
        <f>39.56*(1+2.78%)</f>
        <v>40.659768000000007</v>
      </c>
      <c r="V33" s="382"/>
      <c r="Y33" s="414"/>
    </row>
    <row r="34" spans="3:25" ht="15.6" customHeight="1" thickBot="1" x14ac:dyDescent="0.25">
      <c r="C34" s="382" t="s">
        <v>30</v>
      </c>
      <c r="E34" s="1141">
        <f>T35</f>
        <v>0.12</v>
      </c>
      <c r="G34" s="1126">
        <f>E34*G32</f>
        <v>120780.72802608897</v>
      </c>
      <c r="I34" s="451">
        <f>E34</f>
        <v>0.12</v>
      </c>
      <c r="J34" s="416">
        <f>J32*E34</f>
        <v>8709.4387158483441</v>
      </c>
      <c r="K34" s="392"/>
      <c r="L34" s="452">
        <f>E34</f>
        <v>0.12</v>
      </c>
      <c r="M34" s="416">
        <f>M32*L34</f>
        <v>2617.5817104713142</v>
      </c>
      <c r="N34" s="429"/>
      <c r="O34" s="452">
        <f>I34</f>
        <v>0.12</v>
      </c>
      <c r="P34" s="416">
        <f>P32*O34</f>
        <v>2829.0605910976938</v>
      </c>
      <c r="R34" s="382" t="s">
        <v>362</v>
      </c>
      <c r="T34" s="1150">
        <f>(11200/17/365)*(1+2.78%)</f>
        <v>1.8551748589846899</v>
      </c>
      <c r="V34" s="382"/>
      <c r="W34" s="1150"/>
      <c r="Y34" s="414"/>
    </row>
    <row r="35" spans="3:25" ht="15.6" customHeight="1" thickBot="1" x14ac:dyDescent="0.25">
      <c r="C35" s="1152" t="s">
        <v>31</v>
      </c>
      <c r="D35" s="1153"/>
      <c r="E35" s="1153"/>
      <c r="F35" s="1153"/>
      <c r="G35" s="1154">
        <f>SUM(G32:G34)</f>
        <v>1160048.0786770775</v>
      </c>
      <c r="I35" s="453"/>
      <c r="J35" s="437">
        <f>J34+J32+J33</f>
        <v>83650.494692276305</v>
      </c>
      <c r="K35" s="429"/>
      <c r="L35" s="450"/>
      <c r="M35" s="437">
        <f>M34+M32+M33</f>
        <v>25140.771078616192</v>
      </c>
      <c r="N35" s="429"/>
      <c r="O35" s="450"/>
      <c r="P35" s="437">
        <f>P34+P32+P33</f>
        <v>27171.936755133887</v>
      </c>
      <c r="R35" s="382" t="s">
        <v>30</v>
      </c>
      <c r="T35" s="1155">
        <v>0.12</v>
      </c>
      <c r="V35" s="382" t="str">
        <f>'Therapeutic Grp Care12 Bed '!M49</f>
        <v>C.257 Benchmark</v>
      </c>
      <c r="Y35" s="414"/>
    </row>
    <row r="36" spans="3:25" ht="15.6" customHeight="1" thickBot="1" x14ac:dyDescent="0.25">
      <c r="C36" s="1156" t="s">
        <v>282</v>
      </c>
      <c r="D36" s="1157"/>
      <c r="E36" s="1158"/>
      <c r="F36" s="1159"/>
      <c r="G36" s="456">
        <f>G35/12</f>
        <v>96670.673223089791</v>
      </c>
      <c r="I36" s="455"/>
      <c r="J36" s="456">
        <f>J35/12</f>
        <v>6970.8745576896918</v>
      </c>
      <c r="K36" s="454"/>
      <c r="L36" s="459"/>
      <c r="M36" s="460">
        <f>M35/M7</f>
        <v>68.878824872921072</v>
      </c>
      <c r="O36" s="459"/>
      <c r="P36" s="460">
        <f>P35/P7</f>
        <v>74.443662342832567</v>
      </c>
      <c r="R36" s="462" t="s">
        <v>365</v>
      </c>
      <c r="S36" s="1145"/>
      <c r="T36" s="1160">
        <f>'Therapeutic Grp Care12 Bed '!K51</f>
        <v>3.2549514448865162E-2</v>
      </c>
      <c r="V36" s="462" t="s">
        <v>2304</v>
      </c>
      <c r="W36" s="1145"/>
      <c r="X36" s="1145"/>
      <c r="Y36" s="463"/>
    </row>
    <row r="37" spans="3:25" ht="15.6" customHeight="1" thickBot="1" x14ac:dyDescent="0.25">
      <c r="C37" s="1156" t="s">
        <v>363</v>
      </c>
      <c r="D37" s="1157"/>
      <c r="E37" s="1158"/>
      <c r="F37" s="1159"/>
      <c r="G37" s="456">
        <f>G36/D6</f>
        <v>16111.778870514965</v>
      </c>
      <c r="J37" s="454">
        <v>6236</v>
      </c>
      <c r="K37" s="1099">
        <f>(J36-J37)/J37</f>
        <v>0.11784389956537712</v>
      </c>
      <c r="L37" s="440"/>
      <c r="M37" s="458">
        <v>65.52</v>
      </c>
      <c r="N37" s="1099">
        <f>(M36-M37)/M37</f>
        <v>5.1264115887073816E-2</v>
      </c>
      <c r="P37" s="458">
        <v>63.21</v>
      </c>
      <c r="Q37" s="1100">
        <f>(P36+-P37)/P37</f>
        <v>0.17771970167430101</v>
      </c>
      <c r="T37" s="1161"/>
    </row>
    <row r="38" spans="3:25" ht="15.6" customHeight="1" x14ac:dyDescent="0.2">
      <c r="C38" s="1162"/>
      <c r="D38" s="1163"/>
      <c r="E38" s="1164"/>
      <c r="F38" s="1165"/>
      <c r="G38" s="454">
        <v>87633</v>
      </c>
      <c r="H38" s="1099">
        <f>(G36-G38)/G38</f>
        <v>0.10313093495703435</v>
      </c>
      <c r="I38" s="457"/>
      <c r="T38" s="1161"/>
    </row>
    <row r="39" spans="3:25" ht="15.6" customHeight="1" x14ac:dyDescent="0.2">
      <c r="C39" s="1162"/>
      <c r="D39" s="1163"/>
      <c r="E39" s="1166"/>
      <c r="F39" s="1165"/>
      <c r="G39" s="454">
        <v>14605</v>
      </c>
      <c r="H39" s="1099">
        <f>(G37-G39)/G39</f>
        <v>0.10316870048031257</v>
      </c>
      <c r="P39" s="414"/>
      <c r="R39" s="2067"/>
      <c r="S39" s="2067"/>
      <c r="T39" s="2067"/>
      <c r="V39" s="1173"/>
      <c r="W39" s="1173"/>
      <c r="X39" s="1173"/>
    </row>
    <row r="40" spans="3:25" ht="15.6" customHeight="1" x14ac:dyDescent="0.2">
      <c r="C40" s="1162"/>
      <c r="D40" s="1163"/>
      <c r="E40" s="1166"/>
      <c r="F40" s="1165"/>
      <c r="R40" s="1174"/>
      <c r="S40" s="1175"/>
      <c r="T40" s="1102"/>
      <c r="V40" s="1173"/>
      <c r="W40" s="1173"/>
      <c r="X40" s="1173"/>
    </row>
    <row r="41" spans="3:25" ht="15.6" customHeight="1" x14ac:dyDescent="0.2">
      <c r="C41" s="1162"/>
      <c r="D41" s="1163"/>
      <c r="E41" s="1166"/>
      <c r="F41" s="1165"/>
      <c r="R41" s="1174"/>
      <c r="S41" s="1175"/>
      <c r="T41" s="1102"/>
      <c r="V41" s="1173"/>
      <c r="W41" s="1173"/>
      <c r="X41" s="1173"/>
    </row>
    <row r="42" spans="3:25" ht="15.6" customHeight="1" x14ac:dyDescent="0.2">
      <c r="C42" s="1162"/>
      <c r="D42" s="1163"/>
      <c r="E42" s="1166"/>
      <c r="F42" s="1165"/>
      <c r="K42" s="393"/>
      <c r="L42" s="393"/>
      <c r="M42" s="393"/>
      <c r="R42" s="1172"/>
      <c r="S42" s="1176"/>
      <c r="T42" s="1102"/>
      <c r="V42" s="1173"/>
      <c r="W42" s="1173"/>
      <c r="X42" s="1173"/>
    </row>
    <row r="43" spans="3:25" ht="15.6" customHeight="1" x14ac:dyDescent="0.2">
      <c r="G43" s="392"/>
      <c r="P43" s="393"/>
      <c r="R43" s="1172"/>
      <c r="S43" s="1176"/>
      <c r="T43" s="1102"/>
      <c r="V43" s="1173"/>
      <c r="W43" s="1173"/>
      <c r="X43" s="1173"/>
    </row>
    <row r="44" spans="3:25" ht="15.6" customHeight="1" x14ac:dyDescent="0.2">
      <c r="R44" s="1172"/>
      <c r="S44" s="1176"/>
      <c r="T44" s="1102"/>
      <c r="V44" s="1173"/>
      <c r="W44" s="1173"/>
      <c r="X44" s="1173"/>
    </row>
    <row r="45" spans="3:25" ht="15.6" customHeight="1" x14ac:dyDescent="0.2">
      <c r="G45" s="454"/>
      <c r="I45" s="464"/>
      <c r="J45" s="393"/>
      <c r="R45" s="1172"/>
      <c r="S45" s="1176"/>
      <c r="T45" s="1102"/>
      <c r="V45" s="1173"/>
      <c r="W45" s="1173"/>
      <c r="X45" s="1173"/>
    </row>
    <row r="46" spans="3:25" ht="15.6" customHeight="1" x14ac:dyDescent="0.2">
      <c r="E46" s="392"/>
      <c r="F46" s="393"/>
      <c r="G46" s="454"/>
      <c r="I46" s="393"/>
      <c r="R46" s="1177"/>
      <c r="S46" s="1178"/>
      <c r="T46" s="1102"/>
      <c r="V46" s="1173"/>
      <c r="W46" s="1173"/>
      <c r="X46" s="1173"/>
    </row>
    <row r="47" spans="3:25" ht="15.6" customHeight="1" x14ac:dyDescent="0.2">
      <c r="E47" s="392"/>
      <c r="F47" s="393"/>
      <c r="V47" s="1173"/>
      <c r="W47" s="1173"/>
      <c r="X47" s="1173"/>
    </row>
    <row r="48" spans="3:25" ht="15.6" customHeight="1" x14ac:dyDescent="0.2">
      <c r="E48" s="392"/>
    </row>
  </sheetData>
  <mergeCells count="9">
    <mergeCell ref="V4:Y4"/>
    <mergeCell ref="R12:T12"/>
    <mergeCell ref="R28:T28"/>
    <mergeCell ref="R39:T39"/>
    <mergeCell ref="C4:G5"/>
    <mergeCell ref="I4:J5"/>
    <mergeCell ref="L4:M5"/>
    <mergeCell ref="O4:P5"/>
    <mergeCell ref="R4:T4"/>
  </mergeCells>
  <pageMargins left="0.25" right="0.25" top="0.25" bottom="0.25" header="0.05" footer="0.05"/>
  <pageSetup paperSize="5" scale="52" orientation="landscape" r:id="rId1"/>
  <headerFooter>
    <oddFooter>&amp;R&amp;F
&amp;A</oddFooter>
  </headerFooter>
  <legacy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09BBF-E953-4D5A-A7B2-44887DCC94AE}">
  <sheetPr>
    <tabColor rgb="FF00B050"/>
    <pageSetUpPr fitToPage="1"/>
  </sheetPr>
  <dimension ref="C3:AA34"/>
  <sheetViews>
    <sheetView topLeftCell="A17" zoomScale="110" zoomScaleNormal="110" workbookViewId="0">
      <selection activeCell="J30" sqref="J30"/>
    </sheetView>
  </sheetViews>
  <sheetFormatPr defaultColWidth="8.85546875" defaultRowHeight="15.6" customHeight="1" x14ac:dyDescent="0.25"/>
  <cols>
    <col min="1" max="2" width="8.85546875" style="25"/>
    <col min="3" max="3" width="27.7109375" style="25" customWidth="1"/>
    <col min="4" max="4" width="15.42578125" style="25" customWidth="1"/>
    <col min="5" max="5" width="9.85546875" style="25" bestFit="1" customWidth="1"/>
    <col min="6" max="6" width="16.28515625" style="25" bestFit="1" customWidth="1"/>
    <col min="7" max="7" width="13.7109375" style="25" customWidth="1"/>
    <col min="8" max="8" width="9" style="25" customWidth="1"/>
    <col min="9" max="9" width="12.5703125" style="25" customWidth="1"/>
    <col min="10" max="10" width="11.140625" style="25" customWidth="1"/>
    <col min="11" max="11" width="11" style="25" customWidth="1"/>
    <col min="12" max="12" width="10.7109375" style="25" customWidth="1"/>
    <col min="13" max="13" width="10.85546875" style="25" customWidth="1"/>
    <col min="14" max="14" width="8.42578125" style="25" customWidth="1"/>
    <col min="15" max="15" width="9.85546875" style="25" customWidth="1"/>
    <col min="16" max="16" width="12.140625" style="25" customWidth="1"/>
    <col min="17" max="17" width="14.28515625" style="25" customWidth="1"/>
    <col min="18" max="18" width="21.7109375" style="25" customWidth="1"/>
    <col min="19" max="19" width="10.85546875" style="25" customWidth="1"/>
    <col min="20" max="20" width="8.5703125" style="25" bestFit="1" customWidth="1"/>
    <col min="21" max="21" width="5.85546875" style="104" hidden="1" customWidth="1"/>
    <col min="22" max="22" width="30.140625" style="25" bestFit="1" customWidth="1"/>
    <col min="23" max="23" width="11.42578125" style="25" customWidth="1"/>
    <col min="24" max="24" width="11" style="25" customWidth="1"/>
    <col min="25" max="25" width="8.28515625" style="25" customWidth="1"/>
    <col min="26" max="16384" width="8.85546875" style="25"/>
  </cols>
  <sheetData>
    <row r="3" spans="3:27" ht="15.6" customHeight="1" thickBot="1" x14ac:dyDescent="0.3">
      <c r="C3" s="379"/>
    </row>
    <row r="4" spans="3:27" ht="31.5" customHeight="1" thickBot="1" x14ac:dyDescent="0.3">
      <c r="C4" s="2093" t="s">
        <v>377</v>
      </c>
      <c r="D4" s="2094"/>
      <c r="E4" s="2094"/>
      <c r="F4" s="2094"/>
      <c r="G4" s="2095"/>
      <c r="H4" s="770"/>
      <c r="I4" s="2099" t="s">
        <v>344</v>
      </c>
      <c r="J4" s="2100"/>
      <c r="K4" s="771"/>
      <c r="L4" s="2103" t="s">
        <v>345</v>
      </c>
      <c r="M4" s="2104"/>
      <c r="N4" s="771"/>
      <c r="O4" s="2107" t="s">
        <v>346</v>
      </c>
      <c r="P4" s="2108"/>
      <c r="Q4" s="770"/>
      <c r="R4" s="2111" t="s">
        <v>261</v>
      </c>
      <c r="S4" s="2112"/>
      <c r="T4" s="2113"/>
      <c r="V4" s="2090" t="s">
        <v>248</v>
      </c>
      <c r="W4" s="2091"/>
      <c r="X4" s="2091"/>
      <c r="Y4" s="2092"/>
    </row>
    <row r="5" spans="3:27" ht="15.6" customHeight="1" thickBot="1" x14ac:dyDescent="0.3">
      <c r="C5" s="2096"/>
      <c r="D5" s="2097"/>
      <c r="E5" s="2097"/>
      <c r="F5" s="2097"/>
      <c r="G5" s="2098"/>
      <c r="H5" s="770"/>
      <c r="I5" s="2101"/>
      <c r="J5" s="2102"/>
      <c r="K5" s="771"/>
      <c r="L5" s="2105"/>
      <c r="M5" s="2106"/>
      <c r="N5" s="771"/>
      <c r="O5" s="2109"/>
      <c r="P5" s="2110"/>
      <c r="Q5" s="770"/>
      <c r="R5" s="123"/>
      <c r="S5" s="124" t="s">
        <v>3</v>
      </c>
      <c r="T5" s="125" t="s">
        <v>4</v>
      </c>
      <c r="V5" s="123"/>
      <c r="W5" s="347" t="s">
        <v>347</v>
      </c>
      <c r="X5" s="402" t="s">
        <v>348</v>
      </c>
      <c r="Y5" s="403" t="s">
        <v>346</v>
      </c>
    </row>
    <row r="6" spans="3:27" ht="15.6" customHeight="1" thickBot="1" x14ac:dyDescent="0.3">
      <c r="C6" s="772" t="s">
        <v>0</v>
      </c>
      <c r="D6" s="773">
        <v>6</v>
      </c>
      <c r="E6" s="774"/>
      <c r="F6" s="774" t="s">
        <v>1</v>
      </c>
      <c r="G6" s="775">
        <f>D6*365</f>
        <v>2190</v>
      </c>
      <c r="H6" s="770"/>
      <c r="I6" s="776" t="s">
        <v>349</v>
      </c>
      <c r="J6" s="777">
        <v>1</v>
      </c>
      <c r="K6" s="770"/>
      <c r="L6" s="778" t="s">
        <v>349</v>
      </c>
      <c r="M6" s="779">
        <v>1</v>
      </c>
      <c r="N6" s="770"/>
      <c r="O6" s="778" t="s">
        <v>350</v>
      </c>
      <c r="P6" s="779">
        <v>1</v>
      </c>
      <c r="Q6" s="770"/>
      <c r="R6" s="112" t="s">
        <v>8</v>
      </c>
      <c r="S6" s="130">
        <v>15</v>
      </c>
      <c r="T6" s="131">
        <f>S6*8</f>
        <v>120</v>
      </c>
      <c r="V6" s="348" t="s">
        <v>627</v>
      </c>
      <c r="W6" s="349">
        <v>1.3</v>
      </c>
      <c r="X6" s="408">
        <f>0.4/7</f>
        <v>5.7142857142857148E-2</v>
      </c>
      <c r="Y6" s="409">
        <f>0.2/17</f>
        <v>1.1764705882352941E-2</v>
      </c>
    </row>
    <row r="7" spans="3:27" ht="15.6" customHeight="1" thickBot="1" x14ac:dyDescent="0.3">
      <c r="C7" s="780"/>
      <c r="D7" s="770"/>
      <c r="E7" s="770"/>
      <c r="F7" s="770"/>
      <c r="G7" s="781"/>
      <c r="H7" s="770"/>
      <c r="I7" s="778" t="s">
        <v>351</v>
      </c>
      <c r="J7" s="779">
        <v>365</v>
      </c>
      <c r="K7" s="770"/>
      <c r="L7" s="778" t="s">
        <v>351</v>
      </c>
      <c r="M7" s="779">
        <v>365</v>
      </c>
      <c r="N7" s="770"/>
      <c r="O7" s="778" t="s">
        <v>3</v>
      </c>
      <c r="P7" s="779">
        <v>365</v>
      </c>
      <c r="Q7" s="770"/>
      <c r="R7" s="112" t="s">
        <v>10</v>
      </c>
      <c r="S7" s="130">
        <v>8</v>
      </c>
      <c r="T7" s="131">
        <f>S7*8</f>
        <v>64</v>
      </c>
      <c r="V7" s="348" t="s">
        <v>268</v>
      </c>
      <c r="W7" s="349">
        <v>0.5</v>
      </c>
      <c r="X7" s="408">
        <f>1.3/7</f>
        <v>0.18571428571428572</v>
      </c>
      <c r="Y7" s="409">
        <f>1.3/17</f>
        <v>7.6470588235294124E-2</v>
      </c>
    </row>
    <row r="8" spans="3:27" ht="15.6" customHeight="1" x14ac:dyDescent="0.25">
      <c r="C8" s="782"/>
      <c r="D8" s="783"/>
      <c r="E8" s="784"/>
      <c r="F8" s="784"/>
      <c r="G8" s="785" t="s">
        <v>7</v>
      </c>
      <c r="H8" s="770"/>
      <c r="I8" s="786"/>
      <c r="J8" s="787"/>
      <c r="K8" s="770"/>
      <c r="L8" s="780"/>
      <c r="M8" s="781"/>
      <c r="N8" s="770"/>
      <c r="O8" s="780"/>
      <c r="P8" s="781"/>
      <c r="Q8" s="770"/>
      <c r="R8" s="112" t="s">
        <v>11</v>
      </c>
      <c r="S8" s="130">
        <v>11</v>
      </c>
      <c r="T8" s="131">
        <f>S8*8</f>
        <v>88</v>
      </c>
      <c r="V8" s="348" t="s">
        <v>269</v>
      </c>
      <c r="W8" s="349">
        <v>0.12</v>
      </c>
      <c r="X8" s="408">
        <f>0.1/7</f>
        <v>1.4285714285714287E-2</v>
      </c>
      <c r="Y8" s="411"/>
    </row>
    <row r="9" spans="3:27" ht="15.6" customHeight="1" x14ac:dyDescent="0.25">
      <c r="C9" s="780" t="s">
        <v>622</v>
      </c>
      <c r="D9" s="770"/>
      <c r="E9" s="788"/>
      <c r="F9" s="788"/>
      <c r="G9" s="789">
        <v>94867</v>
      </c>
      <c r="H9" s="790"/>
      <c r="I9" s="791"/>
      <c r="J9" s="792">
        <v>4170</v>
      </c>
      <c r="K9" s="793"/>
      <c r="L9" s="794"/>
      <c r="M9" s="792">
        <v>4170</v>
      </c>
      <c r="N9" s="795"/>
      <c r="O9" s="794"/>
      <c r="P9" s="792">
        <v>859</v>
      </c>
      <c r="Q9" s="770"/>
      <c r="R9" s="137" t="s">
        <v>12</v>
      </c>
      <c r="S9" s="138">
        <v>5</v>
      </c>
      <c r="T9" s="139">
        <f>S9*8</f>
        <v>40</v>
      </c>
      <c r="V9" s="348" t="s">
        <v>19</v>
      </c>
      <c r="W9" s="349">
        <v>0.25</v>
      </c>
      <c r="X9" s="410">
        <v>0.05</v>
      </c>
      <c r="Y9" s="411"/>
    </row>
    <row r="10" spans="3:27" ht="15.6" customHeight="1" x14ac:dyDescent="0.25">
      <c r="C10" s="780" t="s">
        <v>621</v>
      </c>
      <c r="D10" s="770"/>
      <c r="E10" s="796"/>
      <c r="F10" s="797"/>
      <c r="G10" s="798">
        <v>68442</v>
      </c>
      <c r="H10" s="790"/>
      <c r="I10" s="799"/>
      <c r="J10" s="792">
        <v>19008</v>
      </c>
      <c r="K10" s="793"/>
      <c r="L10" s="794"/>
      <c r="M10" s="792"/>
      <c r="N10" s="795"/>
      <c r="O10" s="794"/>
      <c r="P10" s="792">
        <v>5595</v>
      </c>
      <c r="Q10" s="770"/>
      <c r="R10" s="112"/>
      <c r="S10" s="143" t="s">
        <v>14</v>
      </c>
      <c r="T10" s="131">
        <f>SUM(T6:T9)</f>
        <v>312</v>
      </c>
      <c r="V10" s="348" t="s">
        <v>355</v>
      </c>
      <c r="W10" s="349">
        <v>7</v>
      </c>
      <c r="X10" s="410"/>
      <c r="Y10" s="411"/>
      <c r="AA10" s="351" t="s">
        <v>352</v>
      </c>
    </row>
    <row r="11" spans="3:27" ht="15.6" customHeight="1" thickBot="1" x14ac:dyDescent="0.3">
      <c r="C11" s="780" t="s">
        <v>616</v>
      </c>
      <c r="D11" s="770"/>
      <c r="E11" s="770"/>
      <c r="F11" s="770"/>
      <c r="G11" s="792">
        <v>435402</v>
      </c>
      <c r="H11" s="790"/>
      <c r="I11" s="799"/>
      <c r="J11" s="792">
        <v>12616</v>
      </c>
      <c r="K11" s="793"/>
      <c r="L11" s="794"/>
      <c r="M11" s="792"/>
      <c r="N11" s="795"/>
      <c r="O11" s="794"/>
      <c r="P11" s="792">
        <v>9052</v>
      </c>
      <c r="Q11" s="770"/>
      <c r="R11" s="144"/>
      <c r="S11" s="145" t="s">
        <v>15</v>
      </c>
      <c r="T11" s="146">
        <f>T10/(52*40)</f>
        <v>0.15</v>
      </c>
      <c r="V11" s="348" t="s">
        <v>353</v>
      </c>
      <c r="W11" s="349">
        <v>0.5</v>
      </c>
      <c r="X11" s="410">
        <v>0.05</v>
      </c>
      <c r="Y11" s="419">
        <v>0.05</v>
      </c>
      <c r="AA11" s="351"/>
    </row>
    <row r="12" spans="3:27" ht="15.6" customHeight="1" x14ac:dyDescent="0.25">
      <c r="C12" s="780" t="s">
        <v>23</v>
      </c>
      <c r="D12" s="770"/>
      <c r="E12" s="770"/>
      <c r="F12" s="800">
        <f>T12</f>
        <v>0.24970000000000001</v>
      </c>
      <c r="G12" s="792">
        <f>SUM(G9:G11)*F12</f>
        <v>149498.1367</v>
      </c>
      <c r="H12" s="790"/>
      <c r="I12" s="799"/>
      <c r="J12" s="792">
        <f>SUM(J9:J11)*F12</f>
        <v>8937.7618000000002</v>
      </c>
      <c r="K12" s="793"/>
      <c r="L12" s="794"/>
      <c r="M12" s="792">
        <f>M9*F12</f>
        <v>1041.249</v>
      </c>
      <c r="N12" s="795"/>
      <c r="O12" s="794"/>
      <c r="P12" s="792">
        <f>SUM(P9:P11)*F12</f>
        <v>3871.8481999999999</v>
      </c>
      <c r="Q12" s="770"/>
      <c r="R12" s="112" t="s">
        <v>23</v>
      </c>
      <c r="S12" s="132"/>
      <c r="T12" s="157">
        <f>'Therapeutic Grp Care12 Bed '!K45</f>
        <v>0.24970000000000001</v>
      </c>
      <c r="V12" s="348" t="s">
        <v>357</v>
      </c>
      <c r="W12" s="350"/>
      <c r="X12" s="410"/>
      <c r="Y12" s="409">
        <v>0.12</v>
      </c>
    </row>
    <row r="13" spans="3:27" ht="15.6" customHeight="1" thickBot="1" x14ac:dyDescent="0.3">
      <c r="C13" s="780" t="s">
        <v>617</v>
      </c>
      <c r="D13" s="770"/>
      <c r="E13" s="770"/>
      <c r="F13" s="800">
        <f>T19</f>
        <v>3.2549514448865162E-2</v>
      </c>
      <c r="G13" s="792">
        <f>SUM(G9:G12)*F13</f>
        <v>24353.84410578958</v>
      </c>
      <c r="H13" s="790"/>
      <c r="I13" s="799"/>
      <c r="J13" s="792">
        <f>SUM(J9:J12)*F13</f>
        <v>1455.9971270322947</v>
      </c>
      <c r="K13" s="793"/>
      <c r="L13" s="794"/>
      <c r="M13" s="792">
        <f>SUM(M9:M12)*F13</f>
        <v>169.62362462213412</v>
      </c>
      <c r="N13" s="795"/>
      <c r="O13" s="794"/>
      <c r="P13" s="792">
        <f>SUM(P9:P12)*F13</f>
        <v>630.73954997381577</v>
      </c>
      <c r="Q13" s="770"/>
      <c r="R13" s="112" t="str">
        <f>'[30]TAY (Staffed Apartments)'!I29</f>
        <v>Psychiatric Consultation Services</v>
      </c>
      <c r="S13" s="132"/>
      <c r="T13" s="354">
        <f>'Therapeutic Grp Care 9 Bed '!K49</f>
        <v>186.68676153846155</v>
      </c>
      <c r="V13" s="348" t="s">
        <v>358</v>
      </c>
      <c r="W13" s="349">
        <v>1.2</v>
      </c>
      <c r="X13" s="408">
        <v>0.2</v>
      </c>
      <c r="Y13" s="411"/>
    </row>
    <row r="14" spans="3:27" ht="15.6" customHeight="1" thickBot="1" x14ac:dyDescent="0.3">
      <c r="C14" s="801" t="s">
        <v>24</v>
      </c>
      <c r="D14" s="802"/>
      <c r="E14" s="802"/>
      <c r="F14" s="803">
        <v>12.78</v>
      </c>
      <c r="G14" s="804">
        <f>SUM(G9:G13)</f>
        <v>772562.98080578959</v>
      </c>
      <c r="H14" s="770"/>
      <c r="I14" s="805">
        <v>0.56999999999999995</v>
      </c>
      <c r="J14" s="806">
        <f>SUM(J9:J13)</f>
        <v>46187.758927032293</v>
      </c>
      <c r="K14" s="807"/>
      <c r="L14" s="808">
        <v>0.06</v>
      </c>
      <c r="M14" s="806">
        <f>SUM(M9:M13)</f>
        <v>5380.872624622134</v>
      </c>
      <c r="N14" s="807"/>
      <c r="O14" s="809">
        <v>0.28000000000000003</v>
      </c>
      <c r="P14" s="810">
        <f>SUM(P9:P13)</f>
        <v>20008.587749973816</v>
      </c>
      <c r="Q14" s="770"/>
      <c r="R14" s="112"/>
      <c r="S14" s="132"/>
      <c r="T14" s="158"/>
      <c r="U14" s="2" t="s">
        <v>423</v>
      </c>
      <c r="V14" s="352" t="s">
        <v>359</v>
      </c>
      <c r="W14" s="353">
        <v>1.7</v>
      </c>
      <c r="X14" s="423"/>
      <c r="Y14" s="424"/>
    </row>
    <row r="15" spans="3:27" ht="15.6" customHeight="1" thickBot="1" x14ac:dyDescent="0.3">
      <c r="C15" s="780" t="str">
        <f>R15</f>
        <v>Occupancy (per bed day) staffed Apts</v>
      </c>
      <c r="D15" s="770"/>
      <c r="E15" s="770"/>
      <c r="F15" s="811">
        <f>T15</f>
        <v>28.161719999999999</v>
      </c>
      <c r="G15" s="812">
        <f>F15*G6</f>
        <v>61674.166799999999</v>
      </c>
      <c r="H15" s="770"/>
      <c r="I15" s="813">
        <f>13750/365</f>
        <v>37.671232876712331</v>
      </c>
      <c r="J15" s="814">
        <f>I15*365</f>
        <v>13750</v>
      </c>
      <c r="K15" s="815"/>
      <c r="L15" s="816">
        <v>37.671232876712331</v>
      </c>
      <c r="M15" s="814">
        <v>13750</v>
      </c>
      <c r="N15" s="817"/>
      <c r="O15" s="816"/>
      <c r="P15" s="814"/>
      <c r="Q15" s="770"/>
      <c r="R15" s="112" t="s">
        <v>360</v>
      </c>
      <c r="S15" s="132"/>
      <c r="T15" s="1047">
        <f>27.4*(1+2.78%)</f>
        <v>28.161719999999999</v>
      </c>
      <c r="V15" s="348" t="s">
        <v>247</v>
      </c>
      <c r="W15" s="353">
        <v>0.21</v>
      </c>
      <c r="X15" s="425">
        <v>1.2E-2</v>
      </c>
      <c r="Y15" s="426">
        <v>2.5000000000000001E-2</v>
      </c>
    </row>
    <row r="16" spans="3:27" ht="15.6" customHeight="1" x14ac:dyDescent="0.25">
      <c r="C16" s="780" t="str">
        <f>R13</f>
        <v>Psychiatric Consultation Services</v>
      </c>
      <c r="D16" s="770"/>
      <c r="E16" s="770"/>
      <c r="F16" s="811">
        <f>T13</f>
        <v>186.68676153846155</v>
      </c>
      <c r="G16" s="812">
        <f>F16*2*52</f>
        <v>19415.423200000001</v>
      </c>
      <c r="H16" s="770"/>
      <c r="I16" s="813">
        <f>T13</f>
        <v>186.68676153846155</v>
      </c>
      <c r="J16" s="814">
        <f>I16*0.5*52</f>
        <v>4853.8558000000003</v>
      </c>
      <c r="K16" s="815"/>
      <c r="L16" s="816"/>
      <c r="M16" s="814"/>
      <c r="N16" s="817"/>
      <c r="O16" s="816"/>
      <c r="P16" s="814"/>
      <c r="Q16" s="770"/>
      <c r="R16" s="112" t="s">
        <v>361</v>
      </c>
      <c r="S16" s="132"/>
      <c r="T16" s="1047">
        <v>39.56</v>
      </c>
      <c r="U16" s="2" t="s">
        <v>423</v>
      </c>
      <c r="X16" s="1"/>
      <c r="Y16" s="1"/>
    </row>
    <row r="17" spans="3:27" ht="15.6" customHeight="1" thickBot="1" x14ac:dyDescent="0.3">
      <c r="C17" s="780" t="s">
        <v>27</v>
      </c>
      <c r="D17" s="770"/>
      <c r="E17" s="770"/>
      <c r="F17" s="811">
        <f>T16</f>
        <v>39.56</v>
      </c>
      <c r="G17" s="812">
        <f>F17*G6</f>
        <v>86636.400000000009</v>
      </c>
      <c r="H17" s="770"/>
      <c r="I17" s="813">
        <f>13000/7/365</f>
        <v>5.0880626223091978</v>
      </c>
      <c r="J17" s="814">
        <f>I17*365</f>
        <v>1857.1428571428571</v>
      </c>
      <c r="K17" s="815"/>
      <c r="L17" s="818">
        <v>5.0880626223091978</v>
      </c>
      <c r="M17" s="814">
        <v>1857.1428571428571</v>
      </c>
      <c r="N17" s="817"/>
      <c r="O17" s="819">
        <f>T17</f>
        <v>1.8049959709911363</v>
      </c>
      <c r="P17" s="814">
        <f>O17*P7</f>
        <v>658.82352941176475</v>
      </c>
      <c r="Q17" s="770"/>
      <c r="R17" s="112" t="s">
        <v>362</v>
      </c>
      <c r="S17" s="132"/>
      <c r="T17" s="1047">
        <f>11200/17/365</f>
        <v>1.8049959709911363</v>
      </c>
      <c r="U17" s="2" t="s">
        <v>423</v>
      </c>
      <c r="X17" s="1"/>
      <c r="Y17" s="1"/>
    </row>
    <row r="18" spans="3:27" ht="15.6" customHeight="1" thickBot="1" x14ac:dyDescent="0.3">
      <c r="C18" s="801" t="s">
        <v>29</v>
      </c>
      <c r="D18" s="802"/>
      <c r="E18" s="802"/>
      <c r="F18" s="802"/>
      <c r="G18" s="804">
        <f>SUM(G14:G17)</f>
        <v>940288.97080578958</v>
      </c>
      <c r="H18" s="770"/>
      <c r="I18" s="820"/>
      <c r="J18" s="806">
        <f>SUM(J14:J17)</f>
        <v>66648.757584175153</v>
      </c>
      <c r="K18" s="807"/>
      <c r="L18" s="821"/>
      <c r="M18" s="806">
        <f>SUM(M14:M17)</f>
        <v>20988.015481764993</v>
      </c>
      <c r="N18" s="807"/>
      <c r="O18" s="822"/>
      <c r="P18" s="823">
        <f>SUM(P14:P17)</f>
        <v>20667.411279385582</v>
      </c>
      <c r="Q18" s="770"/>
      <c r="R18" s="112" t="s">
        <v>30</v>
      </c>
      <c r="T18" s="159">
        <v>0.12</v>
      </c>
    </row>
    <row r="19" spans="3:27" ht="15.6" customHeight="1" thickBot="1" x14ac:dyDescent="0.3">
      <c r="C19" s="780" t="s">
        <v>30</v>
      </c>
      <c r="D19" s="783"/>
      <c r="E19" s="824"/>
      <c r="F19" s="824">
        <f>T18</f>
        <v>0.12</v>
      </c>
      <c r="G19" s="825">
        <f>(G18-G13)*F19</f>
        <v>109912.21520399999</v>
      </c>
      <c r="H19" s="770"/>
      <c r="I19" s="826">
        <f>F19</f>
        <v>0.12</v>
      </c>
      <c r="J19" s="827">
        <f>(J18-J13)*I19</f>
        <v>7823.1312548571432</v>
      </c>
      <c r="K19" s="807"/>
      <c r="L19" s="828">
        <f>I19</f>
        <v>0.12</v>
      </c>
      <c r="M19" s="827">
        <f>(M18-M13)*L19</f>
        <v>2498.2070228571429</v>
      </c>
      <c r="N19" s="807"/>
      <c r="O19" s="828">
        <f>L19</f>
        <v>0.12</v>
      </c>
      <c r="P19" s="827">
        <f>(P18-P13)*O19</f>
        <v>2404.4006075294119</v>
      </c>
      <c r="Q19" s="770"/>
      <c r="R19" s="12" t="s">
        <v>365</v>
      </c>
      <c r="S19" s="394"/>
      <c r="T19" s="357">
        <f>'Therapeutic Grp Care12 Bed '!K51</f>
        <v>3.2549514448865162E-2</v>
      </c>
      <c r="U19" s="2" t="s">
        <v>423</v>
      </c>
      <c r="V19" s="699" t="s">
        <v>2224</v>
      </c>
      <c r="W19" s="520"/>
      <c r="X19" s="520"/>
      <c r="Z19" s="1"/>
      <c r="AA19" s="1"/>
    </row>
    <row r="20" spans="3:27" ht="15.6" customHeight="1" thickBot="1" x14ac:dyDescent="0.3">
      <c r="C20" s="780" t="s">
        <v>365</v>
      </c>
      <c r="D20" s="770"/>
      <c r="E20" s="800"/>
      <c r="F20" s="800">
        <f>T19</f>
        <v>3.2549514448865162E-2</v>
      </c>
      <c r="G20" s="829">
        <f>SUM(G14:G17)*F20</f>
        <v>30605.9494413516</v>
      </c>
      <c r="H20" s="770"/>
      <c r="I20" s="826">
        <f>F20</f>
        <v>3.2549514448865162E-2</v>
      </c>
      <c r="J20" s="812">
        <f>SUM(J14:J17)*I20</f>
        <v>2169.3846979850205</v>
      </c>
      <c r="K20" s="830"/>
      <c r="L20" s="831">
        <f>I20</f>
        <v>3.2549514448865162E-2</v>
      </c>
      <c r="M20" s="832">
        <f>(M15+M17+M14)*L20</f>
        <v>683.14971317671518</v>
      </c>
      <c r="N20" s="830"/>
      <c r="O20" s="831">
        <f>L20</f>
        <v>3.2549514448865162E-2</v>
      </c>
      <c r="P20" s="812">
        <f>P18*O20</f>
        <v>672.71420205899983</v>
      </c>
      <c r="Q20" s="770"/>
      <c r="R20" s="132"/>
      <c r="T20" s="358"/>
      <c r="U20" s="104" t="s">
        <v>420</v>
      </c>
      <c r="V20" s="700"/>
      <c r="W20" s="701"/>
      <c r="X20" s="702"/>
      <c r="Z20" s="1"/>
      <c r="AA20" s="1"/>
    </row>
    <row r="21" spans="3:27" ht="15.6" customHeight="1" thickBot="1" x14ac:dyDescent="0.3">
      <c r="C21" s="833" t="s">
        <v>31</v>
      </c>
      <c r="D21" s="834"/>
      <c r="E21" s="834"/>
      <c r="F21" s="834"/>
      <c r="G21" s="835">
        <f>SUM(G18:G20)</f>
        <v>1080807.1354511413</v>
      </c>
      <c r="H21" s="770"/>
      <c r="I21" s="836"/>
      <c r="J21" s="823">
        <f>J20+J18+J19</f>
        <v>76641.273537017318</v>
      </c>
      <c r="K21" s="807"/>
      <c r="L21" s="822"/>
      <c r="M21" s="823">
        <f>M20+M18+M19</f>
        <v>24169.372217798849</v>
      </c>
      <c r="N21" s="807"/>
      <c r="O21" s="822"/>
      <c r="P21" s="823">
        <f>P20+P18+P19</f>
        <v>23744.526088973995</v>
      </c>
      <c r="Q21" s="770"/>
      <c r="R21" s="132"/>
      <c r="T21" s="358"/>
      <c r="U21" s="104" t="s">
        <v>270</v>
      </c>
      <c r="V21" s="703" t="s">
        <v>2302</v>
      </c>
      <c r="W21" s="520"/>
      <c r="X21" s="704"/>
      <c r="Z21" s="1"/>
      <c r="AA21" s="1"/>
    </row>
    <row r="22" spans="3:27" ht="15.6" customHeight="1" thickBot="1" x14ac:dyDescent="0.3">
      <c r="C22" s="837" t="s">
        <v>282</v>
      </c>
      <c r="D22" s="838"/>
      <c r="E22" s="839"/>
      <c r="F22" s="840"/>
      <c r="G22" s="841">
        <f>G21/12</f>
        <v>90067.261287595102</v>
      </c>
      <c r="H22" s="770"/>
      <c r="I22" s="842"/>
      <c r="J22" s="841">
        <f>J21/12</f>
        <v>6386.7727947514431</v>
      </c>
      <c r="K22" s="843"/>
      <c r="L22" s="844"/>
      <c r="M22" s="845"/>
      <c r="N22" s="770"/>
      <c r="O22" s="780"/>
      <c r="P22" s="781"/>
      <c r="Q22" s="770"/>
      <c r="R22" s="2089"/>
      <c r="S22" s="2089"/>
      <c r="T22" s="2089"/>
      <c r="U22" s="2" t="s">
        <v>423</v>
      </c>
      <c r="V22" s="703" t="s">
        <v>2303</v>
      </c>
      <c r="W22" s="520"/>
      <c r="X22" s="704"/>
      <c r="Z22" s="1"/>
      <c r="AA22" s="1"/>
    </row>
    <row r="23" spans="3:27" ht="15.6" customHeight="1" thickBot="1" x14ac:dyDescent="0.3">
      <c r="C23" s="837" t="s">
        <v>363</v>
      </c>
      <c r="D23" s="838"/>
      <c r="E23" s="839"/>
      <c r="F23" s="840"/>
      <c r="G23" s="841">
        <f>G22/D6</f>
        <v>15011.210214599183</v>
      </c>
      <c r="H23" s="770"/>
      <c r="I23" s="778"/>
      <c r="J23" s="846"/>
      <c r="K23" s="815"/>
      <c r="L23" s="847"/>
      <c r="M23" s="814"/>
      <c r="N23" s="770"/>
      <c r="O23" s="780"/>
      <c r="P23" s="781"/>
      <c r="Q23" s="770"/>
      <c r="V23" s="703"/>
      <c r="W23" s="520"/>
      <c r="X23" s="704"/>
    </row>
    <row r="24" spans="3:27" ht="15.6" customHeight="1" thickBot="1" x14ac:dyDescent="0.3">
      <c r="C24" s="848"/>
      <c r="D24" s="849"/>
      <c r="E24" s="850"/>
      <c r="F24" s="851"/>
      <c r="G24" s="852"/>
      <c r="H24" s="770"/>
      <c r="I24" s="783"/>
      <c r="J24" s="853"/>
      <c r="K24" s="853"/>
      <c r="L24" s="854"/>
      <c r="M24" s="855">
        <f>M21/M7</f>
        <v>66.217458130955748</v>
      </c>
      <c r="N24" s="853"/>
      <c r="O24" s="854"/>
      <c r="P24" s="855">
        <f>P21/P7</f>
        <v>65.053496134175333</v>
      </c>
      <c r="Q24" s="770"/>
      <c r="V24" s="703"/>
      <c r="W24" s="520"/>
      <c r="X24" s="704"/>
    </row>
    <row r="25" spans="3:27" ht="15.6" customHeight="1" x14ac:dyDescent="0.25">
      <c r="C25" s="848"/>
      <c r="D25" s="849"/>
      <c r="E25" s="856"/>
      <c r="F25" s="851"/>
      <c r="G25" s="852"/>
      <c r="H25" s="770"/>
      <c r="I25" s="770"/>
      <c r="J25" s="770"/>
      <c r="K25" s="770"/>
      <c r="L25" s="780"/>
      <c r="M25" s="781"/>
      <c r="N25" s="770"/>
      <c r="O25" s="780"/>
      <c r="P25" s="781"/>
      <c r="Q25" s="770"/>
      <c r="V25" s="703"/>
      <c r="W25" s="520"/>
      <c r="X25" s="704"/>
    </row>
    <row r="26" spans="3:27" ht="15.6" customHeight="1" thickBot="1" x14ac:dyDescent="0.3">
      <c r="C26" s="848"/>
      <c r="D26" s="849"/>
      <c r="E26" s="856"/>
      <c r="F26" s="851"/>
      <c r="G26" s="852"/>
      <c r="H26" s="770"/>
      <c r="I26" s="770"/>
      <c r="J26" s="770"/>
      <c r="K26" s="770"/>
      <c r="L26" s="780"/>
      <c r="M26" s="781"/>
      <c r="N26" s="770"/>
      <c r="O26" s="780"/>
      <c r="P26" s="781"/>
      <c r="Q26" s="770"/>
      <c r="V26" s="703"/>
      <c r="W26" s="520"/>
      <c r="X26" s="704"/>
    </row>
    <row r="27" spans="3:27" ht="15.6" customHeight="1" thickBot="1" x14ac:dyDescent="0.3">
      <c r="C27" s="848"/>
      <c r="D27" s="849"/>
      <c r="E27" s="856"/>
      <c r="F27" s="851"/>
      <c r="G27" s="857">
        <v>87633</v>
      </c>
      <c r="H27" s="858">
        <f>(G22-G27)/G27</f>
        <v>2.7777906583080596E-2</v>
      </c>
      <c r="I27" s="770"/>
      <c r="J27" s="841">
        <v>5348</v>
      </c>
      <c r="K27" s="858">
        <f>(J22-J27)/J27</f>
        <v>0.19423575070146656</v>
      </c>
      <c r="L27" s="780"/>
      <c r="M27" s="781"/>
      <c r="N27" s="770"/>
      <c r="O27" s="780"/>
      <c r="P27" s="781"/>
      <c r="Q27" s="770"/>
      <c r="V27" s="705"/>
      <c r="W27" s="706"/>
      <c r="X27" s="707"/>
    </row>
    <row r="28" spans="3:27" ht="15.6" customHeight="1" thickBot="1" x14ac:dyDescent="0.3">
      <c r="C28" s="848"/>
      <c r="D28" s="849"/>
      <c r="E28" s="856"/>
      <c r="F28" s="851"/>
      <c r="G28" s="857">
        <v>14605</v>
      </c>
      <c r="H28" s="858">
        <f>(G23-G28)/G28</f>
        <v>2.7813092406654093E-2</v>
      </c>
      <c r="I28" s="770"/>
      <c r="J28" s="770"/>
      <c r="K28" s="770"/>
      <c r="L28" s="859"/>
      <c r="M28" s="860"/>
      <c r="N28" s="770"/>
      <c r="O28" s="859"/>
      <c r="P28" s="860"/>
      <c r="Q28" s="770"/>
    </row>
    <row r="29" spans="3:27" ht="15.6" customHeight="1" thickBot="1" x14ac:dyDescent="0.3">
      <c r="C29" s="770"/>
      <c r="D29" s="770"/>
      <c r="E29" s="770"/>
      <c r="F29" s="770"/>
      <c r="G29" s="830"/>
      <c r="H29" s="770"/>
      <c r="I29" s="770"/>
      <c r="J29" s="770"/>
      <c r="K29" s="770"/>
      <c r="L29" s="770"/>
      <c r="M29" s="770"/>
      <c r="N29" s="770"/>
      <c r="O29" s="770"/>
      <c r="P29" s="770"/>
      <c r="Q29" s="770"/>
    </row>
    <row r="30" spans="3:27" ht="15.6" customHeight="1" thickBot="1" x14ac:dyDescent="0.3">
      <c r="C30" s="770"/>
      <c r="D30" s="770"/>
      <c r="E30" s="770"/>
      <c r="F30" s="770"/>
      <c r="G30" s="770"/>
      <c r="H30" s="770"/>
      <c r="I30" s="770"/>
      <c r="J30" s="770"/>
      <c r="K30" s="770"/>
      <c r="L30" s="770"/>
      <c r="M30" s="855">
        <v>61.78</v>
      </c>
      <c r="N30" s="861">
        <f>(M24-M30)/M30</f>
        <v>7.182677453796936E-2</v>
      </c>
      <c r="O30" s="770"/>
      <c r="P30" s="855">
        <v>53.61</v>
      </c>
      <c r="Q30" s="862">
        <f>(P24+-P30)/P30</f>
        <v>0.21345823790664678</v>
      </c>
    </row>
    <row r="31" spans="3:27" ht="15.6" customHeight="1" x14ac:dyDescent="0.25">
      <c r="C31" s="770"/>
      <c r="D31" s="770"/>
      <c r="E31" s="770"/>
      <c r="F31" s="770"/>
      <c r="G31" s="843"/>
      <c r="H31" s="770"/>
      <c r="I31" s="863"/>
      <c r="J31" s="864"/>
      <c r="K31" s="864"/>
      <c r="L31" s="864"/>
      <c r="M31" s="864"/>
      <c r="N31" s="770"/>
      <c r="O31" s="770"/>
      <c r="P31" s="770"/>
      <c r="Q31" s="770"/>
    </row>
    <row r="32" spans="3:27" ht="15.6" customHeight="1" x14ac:dyDescent="0.25">
      <c r="C32" s="770"/>
      <c r="D32" s="770"/>
      <c r="E32" s="830"/>
      <c r="F32" s="864"/>
      <c r="G32" s="843"/>
      <c r="H32" s="770"/>
      <c r="I32" s="864"/>
      <c r="J32" s="770"/>
      <c r="K32" s="770"/>
      <c r="L32" s="770"/>
      <c r="M32" s="770"/>
      <c r="N32" s="770"/>
      <c r="O32" s="770"/>
      <c r="P32" s="864"/>
      <c r="Q32" s="770"/>
    </row>
    <row r="33" spans="3:17" ht="15.6" customHeight="1" x14ac:dyDescent="0.25">
      <c r="C33" s="380"/>
      <c r="D33" s="380"/>
      <c r="E33" s="392"/>
      <c r="F33" s="393"/>
      <c r="G33" s="380"/>
      <c r="H33" s="380"/>
      <c r="I33" s="380"/>
      <c r="J33" s="380"/>
      <c r="K33" s="380"/>
      <c r="L33" s="380"/>
      <c r="M33" s="380"/>
      <c r="N33" s="380"/>
      <c r="O33" s="380"/>
      <c r="P33" s="380"/>
      <c r="Q33" s="380"/>
    </row>
    <row r="34" spans="3:17" ht="15.6" customHeight="1" x14ac:dyDescent="0.25">
      <c r="C34" s="380"/>
      <c r="D34" s="380"/>
      <c r="E34" s="392"/>
      <c r="F34" s="380"/>
      <c r="G34" s="380"/>
      <c r="H34" s="380"/>
      <c r="I34" s="380"/>
      <c r="J34" s="380"/>
      <c r="K34" s="380"/>
      <c r="L34" s="380"/>
      <c r="M34" s="380"/>
      <c r="N34" s="380"/>
      <c r="O34" s="380"/>
      <c r="P34" s="380"/>
      <c r="Q34" s="380"/>
    </row>
  </sheetData>
  <mergeCells count="7">
    <mergeCell ref="R22:T22"/>
    <mergeCell ref="V4:Y4"/>
    <mergeCell ref="C4:G5"/>
    <mergeCell ref="I4:J5"/>
    <mergeCell ref="L4:M5"/>
    <mergeCell ref="O4:P5"/>
    <mergeCell ref="R4:T4"/>
  </mergeCells>
  <pageMargins left="0.25" right="0.25" top="0.25" bottom="0.25" header="0.05" footer="0.05"/>
  <pageSetup scale="4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C1:W59"/>
  <sheetViews>
    <sheetView topLeftCell="A15" zoomScaleNormal="100" workbookViewId="0">
      <selection activeCell="I61" sqref="I61"/>
    </sheetView>
  </sheetViews>
  <sheetFormatPr defaultColWidth="8.85546875" defaultRowHeight="12" x14ac:dyDescent="0.2"/>
  <cols>
    <col min="1" max="1" width="2.140625" style="380" customWidth="1"/>
    <col min="2" max="2" width="5" style="380" customWidth="1"/>
    <col min="3" max="3" width="32.28515625" style="380" customWidth="1"/>
    <col min="4" max="4" width="7" style="380" customWidth="1"/>
    <col min="5" max="5" width="9.7109375" style="380" bestFit="1" customWidth="1"/>
    <col min="6" max="6" width="8.85546875" style="380"/>
    <col min="7" max="7" width="11.85546875" style="380" customWidth="1"/>
    <col min="8" max="8" width="26" style="380" customWidth="1"/>
    <col min="9" max="9" width="21.7109375" style="380" customWidth="1"/>
    <col min="10" max="10" width="10.85546875" style="380" customWidth="1"/>
    <col min="11" max="11" width="12.5703125" style="380" customWidth="1"/>
    <col min="12" max="12" width="12.85546875" style="380" customWidth="1"/>
    <col min="13" max="13" width="38.28515625" style="104" customWidth="1"/>
    <col min="14" max="14" width="10.5703125" style="380" hidden="1" customWidth="1"/>
    <col min="15" max="24" width="0" style="380" hidden="1" customWidth="1"/>
    <col min="25" max="16384" width="8.85546875" style="380"/>
  </cols>
  <sheetData>
    <row r="1" spans="3:21" x14ac:dyDescent="0.2">
      <c r="C1" s="2116" t="s">
        <v>2297</v>
      </c>
      <c r="D1" s="2116"/>
      <c r="E1" s="2116"/>
      <c r="F1" s="2116"/>
    </row>
    <row r="3" spans="3:21" ht="12.75" thickBot="1" x14ac:dyDescent="0.25">
      <c r="C3" s="379"/>
      <c r="I3" s="1310" t="s">
        <v>2300</v>
      </c>
      <c r="J3" s="1310"/>
      <c r="K3" s="1310"/>
      <c r="L3" s="1311"/>
      <c r="M3" s="1046"/>
    </row>
    <row r="4" spans="3:21" x14ac:dyDescent="0.2">
      <c r="C4" s="2068" t="s">
        <v>372</v>
      </c>
      <c r="D4" s="2069"/>
      <c r="E4" s="2069"/>
      <c r="F4" s="2069"/>
      <c r="G4" s="2070"/>
      <c r="I4" s="2117" t="s">
        <v>261</v>
      </c>
      <c r="J4" s="2118"/>
      <c r="K4" s="2118"/>
      <c r="L4" s="1286"/>
      <c r="M4" s="1286"/>
    </row>
    <row r="5" spans="3:21" ht="12.75" thickBot="1" x14ac:dyDescent="0.25">
      <c r="C5" s="2071"/>
      <c r="D5" s="2072"/>
      <c r="E5" s="2072"/>
      <c r="F5" s="2072"/>
      <c r="G5" s="2073"/>
      <c r="I5" s="1101"/>
      <c r="J5" s="1102" t="s">
        <v>3</v>
      </c>
      <c r="K5" s="1287" t="s">
        <v>4</v>
      </c>
      <c r="L5" s="1287"/>
      <c r="M5" s="362"/>
    </row>
    <row r="6" spans="3:21" x14ac:dyDescent="0.2">
      <c r="C6" s="1104" t="s">
        <v>0</v>
      </c>
      <c r="D6" s="1105">
        <v>6</v>
      </c>
      <c r="E6" s="1106"/>
      <c r="F6" s="1106" t="s">
        <v>1</v>
      </c>
      <c r="G6" s="1107">
        <f>D6*365</f>
        <v>2190</v>
      </c>
      <c r="I6" s="382" t="s">
        <v>8</v>
      </c>
      <c r="J6" s="1108">
        <v>15</v>
      </c>
      <c r="K6" s="1108">
        <f>J6*8</f>
        <v>120</v>
      </c>
      <c r="L6" s="1108"/>
      <c r="M6" s="362"/>
    </row>
    <row r="7" spans="3:21" x14ac:dyDescent="0.2">
      <c r="C7" s="382"/>
      <c r="G7" s="414"/>
      <c r="I7" s="382" t="s">
        <v>10</v>
      </c>
      <c r="J7" s="1108">
        <v>8</v>
      </c>
      <c r="K7" s="1108">
        <f>J7*8</f>
        <v>64</v>
      </c>
      <c r="L7" s="1108"/>
      <c r="M7" s="362"/>
    </row>
    <row r="8" spans="3:21" x14ac:dyDescent="0.2">
      <c r="C8" s="1101"/>
      <c r="D8" s="457"/>
      <c r="E8" s="1118" t="s">
        <v>5</v>
      </c>
      <c r="F8" s="1118" t="s">
        <v>6</v>
      </c>
      <c r="G8" s="1119" t="s">
        <v>7</v>
      </c>
      <c r="I8" s="382" t="s">
        <v>11</v>
      </c>
      <c r="J8" s="1108">
        <v>11</v>
      </c>
      <c r="K8" s="1108">
        <f>J8*8</f>
        <v>88</v>
      </c>
      <c r="L8" s="1108"/>
      <c r="M8" s="362"/>
    </row>
    <row r="9" spans="3:21" x14ac:dyDescent="0.2">
      <c r="C9" s="1101" t="str">
        <f>I14</f>
        <v>Management</v>
      </c>
      <c r="E9" s="1102"/>
      <c r="F9" s="1102"/>
      <c r="G9" s="1120"/>
      <c r="I9" s="382" t="s">
        <v>12</v>
      </c>
      <c r="J9" s="1108">
        <v>5</v>
      </c>
      <c r="K9" s="1108">
        <f>J9*8</f>
        <v>40</v>
      </c>
      <c r="L9" s="1108"/>
      <c r="M9" s="362"/>
    </row>
    <row r="10" spans="3:21" x14ac:dyDescent="0.2">
      <c r="C10" s="382" t="str">
        <f>I15</f>
        <v xml:space="preserve">    Program Management</v>
      </c>
      <c r="E10" s="1124">
        <f>K15</f>
        <v>80829.631999999998</v>
      </c>
      <c r="F10" s="1125">
        <f>K28</f>
        <v>0.75</v>
      </c>
      <c r="G10" s="1126">
        <f>E10*F10</f>
        <v>60622.224000000002</v>
      </c>
      <c r="I10" s="382"/>
      <c r="J10" s="1127" t="s">
        <v>14</v>
      </c>
      <c r="K10" s="1108">
        <f>SUM(K6:K9)</f>
        <v>312</v>
      </c>
      <c r="L10" s="1108"/>
      <c r="M10" s="362"/>
    </row>
    <row r="11" spans="3:21" x14ac:dyDescent="0.2">
      <c r="C11" s="1101" t="str">
        <f>I16</f>
        <v>Medical and Clinical</v>
      </c>
      <c r="E11" s="1124"/>
      <c r="F11" s="1125"/>
      <c r="G11" s="1126"/>
      <c r="I11" s="382"/>
      <c r="J11" s="1127" t="s">
        <v>15</v>
      </c>
      <c r="K11" s="1288">
        <f>K10/(52*40)</f>
        <v>0.15</v>
      </c>
      <c r="L11" s="1288"/>
      <c r="M11" s="362"/>
    </row>
    <row r="12" spans="3:21" x14ac:dyDescent="0.2">
      <c r="C12" s="382" t="str">
        <f>I17</f>
        <v xml:space="preserve">    Clinician (LICSW)</v>
      </c>
      <c r="E12" s="1124">
        <f>K17</f>
        <v>83639.712</v>
      </c>
      <c r="F12" s="1125">
        <v>0.75</v>
      </c>
      <c r="G12" s="1126">
        <f>F12*E12</f>
        <v>62729.784</v>
      </c>
      <c r="I12" s="382"/>
      <c r="M12" s="362"/>
    </row>
    <row r="13" spans="3:21" x14ac:dyDescent="0.2">
      <c r="C13" s="382" t="str">
        <f>I18</f>
        <v xml:space="preserve">    Registered Nurse</v>
      </c>
      <c r="E13" s="1124">
        <f>K18</f>
        <v>103622.27200000001</v>
      </c>
      <c r="F13" s="1289">
        <f>K30</f>
        <v>0.22500000000000001</v>
      </c>
      <c r="G13" s="1126">
        <f>E13*F13</f>
        <v>23315.011200000004</v>
      </c>
      <c r="I13" s="2114" t="s">
        <v>2328</v>
      </c>
      <c r="J13" s="2115"/>
      <c r="K13" s="2115"/>
      <c r="L13" s="1290"/>
      <c r="M13" s="2114"/>
      <c r="N13" s="2115"/>
      <c r="O13" s="2115" t="s">
        <v>39</v>
      </c>
    </row>
    <row r="14" spans="3:21" x14ac:dyDescent="0.2">
      <c r="C14" s="1101" t="str">
        <f>I20</f>
        <v>Direct Care</v>
      </c>
      <c r="G14" s="414"/>
      <c r="I14" s="1101" t="s">
        <v>9</v>
      </c>
      <c r="K14" s="1124"/>
      <c r="L14" s="1124"/>
      <c r="M14" s="362"/>
      <c r="O14" s="1312" t="s">
        <v>262</v>
      </c>
      <c r="P14" s="1312" t="s">
        <v>263</v>
      </c>
      <c r="Q14" s="1312" t="s">
        <v>264</v>
      </c>
      <c r="R14" s="1312" t="s">
        <v>265</v>
      </c>
      <c r="S14" s="1312" t="s">
        <v>266</v>
      </c>
      <c r="T14" s="1312" t="s">
        <v>267</v>
      </c>
      <c r="U14" s="1312" t="s">
        <v>262</v>
      </c>
    </row>
    <row r="15" spans="3:21" x14ac:dyDescent="0.2">
      <c r="C15" s="382" t="s">
        <v>664</v>
      </c>
      <c r="E15" s="1124">
        <f>E16</f>
        <v>56217.241600000001</v>
      </c>
      <c r="G15" s="1291">
        <f>F15*E15</f>
        <v>0</v>
      </c>
      <c r="I15" s="382" t="s">
        <v>422</v>
      </c>
      <c r="K15" s="1292">
        <f>'M2023 BLS Chart'!C22</f>
        <v>80829.631999999998</v>
      </c>
      <c r="L15" s="1292"/>
      <c r="M15" s="414" t="s">
        <v>2225</v>
      </c>
      <c r="N15" s="380" t="s">
        <v>33</v>
      </c>
      <c r="O15" s="1108">
        <v>1</v>
      </c>
      <c r="P15" s="1108">
        <v>0</v>
      </c>
      <c r="Q15" s="1108">
        <v>0</v>
      </c>
      <c r="R15" s="1108">
        <v>0</v>
      </c>
      <c r="S15" s="1108">
        <v>0</v>
      </c>
      <c r="T15" s="1108">
        <v>0</v>
      </c>
      <c r="U15" s="1108">
        <v>1</v>
      </c>
    </row>
    <row r="16" spans="3:21" x14ac:dyDescent="0.2">
      <c r="C16" s="382" t="s">
        <v>243</v>
      </c>
      <c r="E16" s="1124">
        <f>K21</f>
        <v>56217.241600000001</v>
      </c>
      <c r="F16" s="1132">
        <f>K33</f>
        <v>1.5</v>
      </c>
      <c r="G16" s="1293">
        <f>F16*E16</f>
        <v>84325.862399999998</v>
      </c>
      <c r="I16" s="1101" t="s">
        <v>13</v>
      </c>
      <c r="K16" s="1292"/>
      <c r="L16" s="1292"/>
      <c r="M16" s="362"/>
      <c r="N16" s="380" t="s">
        <v>34</v>
      </c>
      <c r="O16" s="1108">
        <v>1</v>
      </c>
      <c r="P16" s="1108">
        <v>0</v>
      </c>
      <c r="Q16" s="1108">
        <v>0</v>
      </c>
      <c r="R16" s="1108">
        <v>0</v>
      </c>
      <c r="S16" s="1108">
        <v>0</v>
      </c>
      <c r="T16" s="1108">
        <v>0</v>
      </c>
      <c r="U16" s="1108">
        <v>1</v>
      </c>
    </row>
    <row r="17" spans="3:23" ht="12.75" thickBot="1" x14ac:dyDescent="0.25">
      <c r="C17" s="382" t="str">
        <f>I22</f>
        <v xml:space="preserve">    Direct Care (GH)</v>
      </c>
      <c r="E17" s="1124">
        <f>K22</f>
        <v>43247.567999999999</v>
      </c>
      <c r="F17" s="1125">
        <f>K34</f>
        <v>8.4</v>
      </c>
      <c r="G17" s="1126">
        <f>E17*F17</f>
        <v>363279.57120000001</v>
      </c>
      <c r="H17" s="1313"/>
      <c r="I17" s="382" t="s">
        <v>268</v>
      </c>
      <c r="K17" s="1292">
        <f>'M2023 BLS Chart'!C18</f>
        <v>83639.712</v>
      </c>
      <c r="L17" s="1292"/>
      <c r="M17" s="414" t="s">
        <v>2225</v>
      </c>
      <c r="N17" s="380" t="s">
        <v>35</v>
      </c>
      <c r="O17" s="1314">
        <v>0.5</v>
      </c>
      <c r="P17" s="1314">
        <v>0</v>
      </c>
      <c r="Q17" s="1314">
        <v>0</v>
      </c>
      <c r="R17" s="1314">
        <v>0</v>
      </c>
      <c r="S17" s="1314">
        <v>0</v>
      </c>
      <c r="T17" s="1314">
        <v>0</v>
      </c>
      <c r="U17" s="1314">
        <v>0.5</v>
      </c>
    </row>
    <row r="18" spans="3:23" ht="12.75" thickTop="1" x14ac:dyDescent="0.2">
      <c r="C18" s="382" t="str">
        <f>I23</f>
        <v xml:space="preserve">    Direct Care (Outreach, Transport &amp; Map)</v>
      </c>
      <c r="E18" s="1124">
        <f>K23</f>
        <v>43247.567999999999</v>
      </c>
      <c r="F18" s="1132">
        <f t="shared" ref="F18:F21" si="0">K36</f>
        <v>0.5</v>
      </c>
      <c r="G18" s="416">
        <f>F18*E18</f>
        <v>21623.784</v>
      </c>
      <c r="H18" s="1124"/>
      <c r="I18" s="382" t="s">
        <v>269</v>
      </c>
      <c r="K18" s="1292">
        <f>'M2023 BLS Chart'!C32</f>
        <v>103622.27200000001</v>
      </c>
      <c r="L18" s="1292"/>
      <c r="M18" s="414" t="s">
        <v>2225</v>
      </c>
      <c r="O18" s="1108">
        <f>SUM(O15:O17)</f>
        <v>2.5</v>
      </c>
      <c r="P18" s="1108">
        <f t="shared" ref="P18:U18" si="1">SUM(P15:P17)</f>
        <v>0</v>
      </c>
      <c r="Q18" s="1108">
        <f t="shared" si="1"/>
        <v>0</v>
      </c>
      <c r="R18" s="1108">
        <f t="shared" si="1"/>
        <v>0</v>
      </c>
      <c r="S18" s="1108">
        <f t="shared" si="1"/>
        <v>0</v>
      </c>
      <c r="T18" s="1108">
        <f t="shared" si="1"/>
        <v>0</v>
      </c>
      <c r="U18" s="1108">
        <f t="shared" si="1"/>
        <v>2.5</v>
      </c>
      <c r="V18" s="1108">
        <f>SUM(O18:U18)</f>
        <v>5</v>
      </c>
    </row>
    <row r="19" spans="3:23" x14ac:dyDescent="0.2">
      <c r="C19" s="1294" t="s">
        <v>376</v>
      </c>
      <c r="D19" s="379"/>
      <c r="E19" s="1124">
        <f>K24</f>
        <v>43247.567999999999</v>
      </c>
      <c r="F19" s="1295">
        <f t="shared" si="0"/>
        <v>1</v>
      </c>
      <c r="G19" s="1296">
        <f>F19*E19</f>
        <v>43247.567999999999</v>
      </c>
      <c r="I19" s="382" t="s">
        <v>19</v>
      </c>
      <c r="K19" s="1292">
        <f>'M2023 BLS Chart'!C24</f>
        <v>82681.040000000008</v>
      </c>
      <c r="L19" s="1292"/>
      <c r="M19" s="414" t="s">
        <v>2225</v>
      </c>
      <c r="V19" s="1108">
        <f>V18*8</f>
        <v>40</v>
      </c>
    </row>
    <row r="20" spans="3:23" x14ac:dyDescent="0.2">
      <c r="C20" s="382" t="str">
        <f>I24</f>
        <v xml:space="preserve">    Support Staff</v>
      </c>
      <c r="E20" s="1124">
        <f>K24</f>
        <v>43247.567999999999</v>
      </c>
      <c r="F20" s="1132">
        <f t="shared" si="0"/>
        <v>0.25</v>
      </c>
      <c r="G20" s="416">
        <f>F20*E20</f>
        <v>10811.892</v>
      </c>
      <c r="I20" s="1101" t="s">
        <v>18</v>
      </c>
      <c r="K20" s="1292"/>
      <c r="L20" s="1292"/>
      <c r="M20" s="362"/>
      <c r="O20" s="380" t="s">
        <v>271</v>
      </c>
      <c r="V20" s="1315">
        <f>V19/40</f>
        <v>1</v>
      </c>
    </row>
    <row r="21" spans="3:23" x14ac:dyDescent="0.2">
      <c r="C21" s="382" t="str">
        <f>I39</f>
        <v xml:space="preserve">    Relief staff</v>
      </c>
      <c r="E21" s="1124">
        <f>K25</f>
        <v>44954.103999999992</v>
      </c>
      <c r="F21" s="1132">
        <f t="shared" si="0"/>
        <v>1.56</v>
      </c>
      <c r="G21" s="416">
        <f>F21*E21</f>
        <v>70128.402239999996</v>
      </c>
      <c r="I21" s="382" t="s">
        <v>243</v>
      </c>
      <c r="K21" s="1292">
        <f>'M2023 BLS Chart'!C8</f>
        <v>56217.241600000001</v>
      </c>
      <c r="L21" s="1292"/>
      <c r="M21" s="414" t="s">
        <v>2225</v>
      </c>
      <c r="O21" s="1312" t="s">
        <v>262</v>
      </c>
      <c r="P21" s="1312" t="s">
        <v>263</v>
      </c>
      <c r="Q21" s="1312" t="s">
        <v>264</v>
      </c>
      <c r="R21" s="1312" t="s">
        <v>265</v>
      </c>
      <c r="S21" s="1312" t="s">
        <v>266</v>
      </c>
      <c r="T21" s="1312" t="s">
        <v>267</v>
      </c>
      <c r="U21" s="1312" t="s">
        <v>262</v>
      </c>
    </row>
    <row r="22" spans="3:23" x14ac:dyDescent="0.2">
      <c r="C22" s="1137" t="s">
        <v>20</v>
      </c>
      <c r="D22" s="1138"/>
      <c r="E22" s="1138"/>
      <c r="F22" s="1139">
        <f>SUM(F10:F21)</f>
        <v>14.935</v>
      </c>
      <c r="G22" s="1140">
        <f>SUM(G10:G21)</f>
        <v>740084.09904</v>
      </c>
      <c r="I22" s="382" t="s">
        <v>272</v>
      </c>
      <c r="K22" s="1292">
        <f>'M2023 BLS Chart'!C6</f>
        <v>43247.567999999999</v>
      </c>
      <c r="L22" s="1292"/>
      <c r="M22" s="414" t="s">
        <v>2225</v>
      </c>
      <c r="N22" s="380" t="s">
        <v>33</v>
      </c>
      <c r="O22" s="1108">
        <v>1</v>
      </c>
      <c r="P22" s="1108">
        <v>2</v>
      </c>
      <c r="Q22" s="1108">
        <v>2</v>
      </c>
      <c r="R22" s="1108">
        <v>2</v>
      </c>
      <c r="S22" s="1108">
        <v>2</v>
      </c>
      <c r="T22" s="1108">
        <v>2</v>
      </c>
      <c r="U22" s="1108">
        <v>1</v>
      </c>
    </row>
    <row r="23" spans="3:23" x14ac:dyDescent="0.2">
      <c r="C23" s="1101" t="s">
        <v>21</v>
      </c>
      <c r="E23" s="1141"/>
      <c r="G23" s="1126"/>
      <c r="I23" s="382" t="s">
        <v>273</v>
      </c>
      <c r="K23" s="1292">
        <f>K22</f>
        <v>43247.567999999999</v>
      </c>
      <c r="L23" s="1292"/>
      <c r="M23" s="414" t="s">
        <v>2225</v>
      </c>
      <c r="N23" s="380" t="s">
        <v>34</v>
      </c>
      <c r="O23" s="1108">
        <v>1</v>
      </c>
      <c r="P23" s="1108">
        <v>2</v>
      </c>
      <c r="Q23" s="1108">
        <v>2</v>
      </c>
      <c r="R23" s="1108">
        <v>2</v>
      </c>
      <c r="S23" s="1108">
        <v>2</v>
      </c>
      <c r="T23" s="1108">
        <v>2</v>
      </c>
      <c r="U23" s="1108">
        <v>1</v>
      </c>
    </row>
    <row r="24" spans="3:23" ht="12.75" thickBot="1" x14ac:dyDescent="0.25">
      <c r="C24" s="382" t="s">
        <v>23</v>
      </c>
      <c r="E24" s="1142">
        <f>K41</f>
        <v>0.24970000000000001</v>
      </c>
      <c r="G24" s="416">
        <f>G22*E24</f>
        <v>184798.99953028801</v>
      </c>
      <c r="I24" s="382" t="s">
        <v>247</v>
      </c>
      <c r="K24" s="1292">
        <f>'M2023 BLS Chart'!C36</f>
        <v>43247.567999999999</v>
      </c>
      <c r="L24" s="1292"/>
      <c r="M24" s="414" t="s">
        <v>2225</v>
      </c>
      <c r="N24" s="380" t="s">
        <v>35</v>
      </c>
      <c r="O24" s="1314">
        <v>1.5</v>
      </c>
      <c r="P24" s="1314">
        <v>2</v>
      </c>
      <c r="Q24" s="1314">
        <v>2</v>
      </c>
      <c r="R24" s="1314">
        <v>2</v>
      </c>
      <c r="S24" s="1314">
        <v>2</v>
      </c>
      <c r="T24" s="1314">
        <v>2</v>
      </c>
      <c r="U24" s="1314">
        <v>1.5</v>
      </c>
    </row>
    <row r="25" spans="3:23" ht="12.75" thickTop="1" x14ac:dyDescent="0.2">
      <c r="C25" s="1137" t="s">
        <v>24</v>
      </c>
      <c r="D25" s="1138"/>
      <c r="E25" s="1138"/>
      <c r="F25" s="1143"/>
      <c r="G25" s="1140">
        <f>G22+G24</f>
        <v>924883.09857028804</v>
      </c>
      <c r="I25" s="382" t="s">
        <v>274</v>
      </c>
      <c r="K25" s="1292">
        <f>SUM(G16:G19)/SUM(F16:F19)</f>
        <v>44954.103999999992</v>
      </c>
      <c r="L25" s="1292"/>
      <c r="M25" s="414" t="s">
        <v>2225</v>
      </c>
      <c r="O25" s="1108">
        <f>SUM(O22:O24)</f>
        <v>3.5</v>
      </c>
      <c r="P25" s="1108">
        <f t="shared" ref="P25:U25" si="2">SUM(P22:P24)</f>
        <v>6</v>
      </c>
      <c r="Q25" s="1108">
        <f t="shared" si="2"/>
        <v>6</v>
      </c>
      <c r="R25" s="1108">
        <f t="shared" si="2"/>
        <v>6</v>
      </c>
      <c r="S25" s="1108">
        <f t="shared" si="2"/>
        <v>6</v>
      </c>
      <c r="T25" s="1108">
        <f t="shared" si="2"/>
        <v>6</v>
      </c>
      <c r="U25" s="1108">
        <f t="shared" si="2"/>
        <v>3.5</v>
      </c>
      <c r="V25" s="1108">
        <f>SUM(O25:U25)</f>
        <v>37</v>
      </c>
      <c r="W25" s="380" t="s">
        <v>275</v>
      </c>
    </row>
    <row r="26" spans="3:23" x14ac:dyDescent="0.2">
      <c r="C26" s="382"/>
      <c r="D26" s="1141"/>
      <c r="F26" s="393"/>
      <c r="G26" s="416"/>
      <c r="I26" s="2114" t="s">
        <v>248</v>
      </c>
      <c r="J26" s="2115"/>
      <c r="K26" s="2115"/>
      <c r="L26" s="1290"/>
      <c r="M26" s="1290"/>
      <c r="V26" s="1108">
        <f>V25*8</f>
        <v>296</v>
      </c>
      <c r="W26" s="380" t="s">
        <v>276</v>
      </c>
    </row>
    <row r="27" spans="3:23" x14ac:dyDescent="0.2">
      <c r="C27" s="382" t="s">
        <v>252</v>
      </c>
      <c r="D27" s="1141"/>
      <c r="F27" s="393">
        <f>K46</f>
        <v>186.68676153846155</v>
      </c>
      <c r="G27" s="416">
        <f>F27*4*52</f>
        <v>38830.846400000002</v>
      </c>
      <c r="I27" s="1101" t="s">
        <v>9</v>
      </c>
      <c r="J27" s="1170"/>
      <c r="K27" s="1170"/>
      <c r="L27" s="1170"/>
      <c r="M27" s="362"/>
      <c r="V27" s="1315">
        <f>V26/40</f>
        <v>7.4</v>
      </c>
      <c r="W27" s="380" t="s">
        <v>277</v>
      </c>
    </row>
    <row r="28" spans="3:23" x14ac:dyDescent="0.2">
      <c r="C28" s="382" t="s">
        <v>253</v>
      </c>
      <c r="D28" s="1141"/>
      <c r="F28" s="393">
        <f>K47</f>
        <v>58.551747775770423</v>
      </c>
      <c r="G28" s="416">
        <f>F28*12*52</f>
        <v>36536.290612080746</v>
      </c>
      <c r="I28" s="382" t="str">
        <f>I15</f>
        <v xml:space="preserve">    Program Management</v>
      </c>
      <c r="J28" s="1170"/>
      <c r="K28" s="1297">
        <f>0.75</f>
        <v>0.75</v>
      </c>
      <c r="L28" s="1297"/>
      <c r="M28" s="362" t="s">
        <v>630</v>
      </c>
      <c r="O28" s="380" t="s">
        <v>278</v>
      </c>
    </row>
    <row r="29" spans="3:23" x14ac:dyDescent="0.2">
      <c r="C29" s="382" t="str">
        <f>I43</f>
        <v>Occupancy (per bed day)</v>
      </c>
      <c r="F29" s="393">
        <f>K43</f>
        <v>45.212922000000006</v>
      </c>
      <c r="G29" s="416">
        <f>F29*G6</f>
        <v>99016.299180000016</v>
      </c>
      <c r="I29" s="1101" t="s">
        <v>13</v>
      </c>
      <c r="J29" s="1170"/>
      <c r="K29" s="1297">
        <v>0.75</v>
      </c>
      <c r="L29" s="1298"/>
      <c r="M29" s="362"/>
      <c r="O29" s="1312" t="s">
        <v>262</v>
      </c>
      <c r="P29" s="1312" t="s">
        <v>263</v>
      </c>
      <c r="Q29" s="1312" t="s">
        <v>264</v>
      </c>
      <c r="R29" s="1312" t="s">
        <v>265</v>
      </c>
      <c r="S29" s="1312" t="s">
        <v>266</v>
      </c>
      <c r="T29" s="1312" t="s">
        <v>267</v>
      </c>
      <c r="U29" s="1312" t="s">
        <v>262</v>
      </c>
    </row>
    <row r="30" spans="3:23" x14ac:dyDescent="0.2">
      <c r="C30" s="382" t="s">
        <v>27</v>
      </c>
      <c r="F30" s="393">
        <f>K44</f>
        <v>26.414460000000002</v>
      </c>
      <c r="G30" s="416">
        <f>F30*G6</f>
        <v>57847.667400000006</v>
      </c>
      <c r="I30" s="382" t="s">
        <v>268</v>
      </c>
      <c r="J30" s="1170"/>
      <c r="K30" s="1299">
        <f>0.2+0.025</f>
        <v>0.22500000000000001</v>
      </c>
      <c r="L30" s="1299"/>
      <c r="M30" s="362"/>
      <c r="N30" s="380" t="s">
        <v>4</v>
      </c>
      <c r="O30" s="1108">
        <v>4</v>
      </c>
      <c r="P30" s="1108">
        <v>4</v>
      </c>
      <c r="Q30" s="1108">
        <v>4</v>
      </c>
      <c r="R30" s="1108">
        <v>4</v>
      </c>
      <c r="S30" s="1108">
        <v>4</v>
      </c>
      <c r="T30" s="1108">
        <v>4</v>
      </c>
      <c r="U30" s="1108">
        <v>4</v>
      </c>
      <c r="V30" s="380">
        <f>SUM(O30:U30)</f>
        <v>28</v>
      </c>
      <c r="W30" s="380" t="s">
        <v>279</v>
      </c>
    </row>
    <row r="31" spans="3:23" x14ac:dyDescent="0.2">
      <c r="C31" s="1137" t="s">
        <v>29</v>
      </c>
      <c r="D31" s="1138"/>
      <c r="E31" s="1138"/>
      <c r="F31" s="1138"/>
      <c r="G31" s="1140">
        <f>SUM(G25:G30)</f>
        <v>1157114.2021623687</v>
      </c>
      <c r="I31" s="382" t="str">
        <f>I18</f>
        <v xml:space="preserve">    Registered Nurse</v>
      </c>
      <c r="J31" s="1170"/>
      <c r="K31" s="1297"/>
      <c r="L31" s="1297"/>
      <c r="M31" s="362" t="s">
        <v>280</v>
      </c>
      <c r="V31" s="1132">
        <f>V30/40</f>
        <v>0.7</v>
      </c>
      <c r="W31" s="380" t="s">
        <v>281</v>
      </c>
    </row>
    <row r="32" spans="3:23" ht="14.25" customHeight="1" x14ac:dyDescent="0.2">
      <c r="C32" s="382" t="s">
        <v>30</v>
      </c>
      <c r="E32" s="1141">
        <f>K45</f>
        <v>0.12</v>
      </c>
      <c r="G32" s="1126">
        <f>E32*G31</f>
        <v>138853.70425948425</v>
      </c>
      <c r="I32" s="382"/>
      <c r="J32" s="1170"/>
      <c r="K32" s="1297"/>
      <c r="L32" s="1297"/>
      <c r="M32" s="362"/>
    </row>
    <row r="33" spans="3:14" x14ac:dyDescent="0.2">
      <c r="C33" s="382" t="s">
        <v>365</v>
      </c>
      <c r="E33" s="1141">
        <f>K48</f>
        <v>3.2549514448865162E-2</v>
      </c>
      <c r="G33" s="1126">
        <f>G31*E33</f>
        <v>37663.505442271104</v>
      </c>
      <c r="I33" s="1101" t="s">
        <v>18</v>
      </c>
      <c r="J33" s="1170"/>
      <c r="K33" s="1297">
        <f>1+0.5</f>
        <v>1.5</v>
      </c>
      <c r="L33" s="1298"/>
      <c r="M33" s="362"/>
      <c r="N33" s="1132"/>
    </row>
    <row r="34" spans="3:14" ht="12.75" thickBot="1" x14ac:dyDescent="0.25">
      <c r="C34" s="1101" t="s">
        <v>31</v>
      </c>
      <c r="G34" s="1144">
        <f>SUM(G31:G33)</f>
        <v>1333631.411864124</v>
      </c>
      <c r="I34" s="382" t="str">
        <f>I21</f>
        <v xml:space="preserve">    Direct Care III</v>
      </c>
      <c r="J34" s="1170"/>
      <c r="K34" s="1297">
        <f>7.4+1</f>
        <v>8.4</v>
      </c>
      <c r="L34" s="1297"/>
      <c r="M34" s="362"/>
    </row>
    <row r="35" spans="3:14" ht="12.75" thickBot="1" x14ac:dyDescent="0.25">
      <c r="C35" s="1152" t="s">
        <v>366</v>
      </c>
      <c r="D35" s="1153"/>
      <c r="E35" s="1300"/>
      <c r="F35" s="1153"/>
      <c r="G35" s="1301">
        <f>G34/12</f>
        <v>111135.950988677</v>
      </c>
      <c r="H35" s="1316"/>
      <c r="I35" s="382" t="str">
        <f>I22</f>
        <v xml:space="preserve">    Direct Care (GH)</v>
      </c>
      <c r="J35" s="1170"/>
      <c r="M35" s="362"/>
    </row>
    <row r="36" spans="3:14" ht="12.75" thickBot="1" x14ac:dyDescent="0.25">
      <c r="C36" s="1162"/>
      <c r="D36" s="1163"/>
      <c r="E36" s="1164"/>
      <c r="F36" s="1165"/>
      <c r="G36" s="1317">
        <v>99178</v>
      </c>
      <c r="H36" s="1100">
        <f>(G35-G36)/G36</f>
        <v>0.12057060022058315</v>
      </c>
      <c r="I36" s="382" t="str">
        <f>I23</f>
        <v xml:space="preserve">    Direct Care (Outreach, Transport &amp; Map)</v>
      </c>
      <c r="J36" s="1170"/>
      <c r="K36" s="1297">
        <v>0.5</v>
      </c>
      <c r="L36" s="1297"/>
      <c r="M36" s="362"/>
    </row>
    <row r="37" spans="3:14" x14ac:dyDescent="0.2">
      <c r="C37" s="1162"/>
      <c r="D37" s="1163"/>
      <c r="E37" s="1166"/>
      <c r="F37" s="1165"/>
      <c r="G37" s="1302"/>
      <c r="I37" s="1294" t="s">
        <v>376</v>
      </c>
      <c r="J37" s="1170"/>
      <c r="K37" s="1297">
        <v>1</v>
      </c>
      <c r="L37" s="1297"/>
      <c r="M37" s="362"/>
    </row>
    <row r="38" spans="3:14" x14ac:dyDescent="0.2">
      <c r="C38" s="1162"/>
      <c r="D38" s="1163"/>
      <c r="E38" s="1166"/>
      <c r="F38" s="1165"/>
      <c r="I38" s="382" t="str">
        <f>I24</f>
        <v xml:space="preserve">    Support Staff</v>
      </c>
      <c r="J38" s="1170"/>
      <c r="K38" s="1297">
        <f>0.25</f>
        <v>0.25</v>
      </c>
      <c r="L38" s="1297"/>
      <c r="M38" s="362"/>
    </row>
    <row r="39" spans="3:14" x14ac:dyDescent="0.2">
      <c r="C39" s="1162"/>
      <c r="D39" s="1163"/>
      <c r="E39" s="1166"/>
      <c r="F39" s="1165"/>
      <c r="G39" s="1302"/>
      <c r="I39" s="382" t="str">
        <f>I25</f>
        <v xml:space="preserve">    Relief staff</v>
      </c>
      <c r="J39" s="1170"/>
      <c r="K39" s="1297">
        <f>(K33+K34+K36)*K11</f>
        <v>1.56</v>
      </c>
      <c r="L39" s="1297"/>
      <c r="M39" s="362"/>
    </row>
    <row r="40" spans="3:14" x14ac:dyDescent="0.2">
      <c r="F40" s="457"/>
      <c r="G40" s="1303"/>
      <c r="H40" s="391"/>
      <c r="I40" s="2114" t="s">
        <v>28</v>
      </c>
      <c r="J40" s="2115"/>
      <c r="K40" s="2115"/>
      <c r="L40" s="1290"/>
      <c r="M40" s="362"/>
    </row>
    <row r="41" spans="3:14" x14ac:dyDescent="0.2">
      <c r="I41" s="382" t="s">
        <v>23</v>
      </c>
      <c r="K41" s="1304">
        <f>'M2023 BLS Chart'!C38</f>
        <v>0.24970000000000001</v>
      </c>
      <c r="L41" s="1304"/>
      <c r="M41" s="362" t="str" cm="1">
        <f t="array" ref="M41:N41">' Intensive Therapeutic Care'!S36:T36</f>
        <v>C.257 Benchmark</v>
      </c>
      <c r="N41" s="380">
        <v>0</v>
      </c>
    </row>
    <row r="42" spans="3:14" x14ac:dyDescent="0.2">
      <c r="G42" s="393"/>
      <c r="I42" s="382"/>
      <c r="K42" s="1141"/>
      <c r="L42" s="1141"/>
      <c r="M42" s="362"/>
    </row>
    <row r="43" spans="3:14" x14ac:dyDescent="0.2">
      <c r="G43" s="393"/>
      <c r="I43" s="382" t="s">
        <v>283</v>
      </c>
      <c r="K43" s="1305">
        <f>43.99*(1+2.78%)</f>
        <v>45.212922000000006</v>
      </c>
      <c r="L43" s="1305"/>
      <c r="M43" s="362" t="s">
        <v>2227</v>
      </c>
    </row>
    <row r="44" spans="3:14" x14ac:dyDescent="0.2">
      <c r="I44" s="382" t="s">
        <v>27</v>
      </c>
      <c r="K44" s="1305">
        <f>25.7*(1+2.78%)</f>
        <v>26.414460000000002</v>
      </c>
      <c r="L44" s="1305"/>
      <c r="M44" s="362" t="s">
        <v>2316</v>
      </c>
    </row>
    <row r="45" spans="3:14" x14ac:dyDescent="0.2">
      <c r="I45" s="382" t="s">
        <v>30</v>
      </c>
      <c r="K45" s="1161">
        <f>'M2023 BLS Chart'!C41</f>
        <v>0.12</v>
      </c>
      <c r="L45" s="1161"/>
      <c r="M45" s="362" t="str">
        <f>' Intensive Therapeutic Care'!S45</f>
        <v>C.257 Benchmark</v>
      </c>
    </row>
    <row r="46" spans="3:14" x14ac:dyDescent="0.2">
      <c r="C46" s="1326"/>
      <c r="I46" s="382" t="s">
        <v>252</v>
      </c>
      <c r="K46" s="1308">
        <f>('M2023 BLS Chart'!C44+'M2023 BLS Chart'!C34)/2080</f>
        <v>186.68676153846155</v>
      </c>
      <c r="L46" s="1308"/>
      <c r="M46" s="743" t="s">
        <v>2226</v>
      </c>
    </row>
    <row r="47" spans="3:14" x14ac:dyDescent="0.2">
      <c r="C47" s="1326"/>
      <c r="I47" s="382" t="s">
        <v>253</v>
      </c>
      <c r="K47" s="448">
        <f>('FY26 Add on Rates'!E23*60%)+('FY26 Add on Rates'!F23*40%)</f>
        <v>58.551747775770423</v>
      </c>
      <c r="L47" s="1308"/>
      <c r="M47" s="361" t="s">
        <v>2306</v>
      </c>
    </row>
    <row r="48" spans="3:14" ht="12.75" thickBot="1" x14ac:dyDescent="0.25">
      <c r="C48" s="1326"/>
      <c r="I48" s="462" t="s">
        <v>365</v>
      </c>
      <c r="J48" s="1145"/>
      <c r="K48" s="744">
        <f>'CAF Fall 2024'!CQ28</f>
        <v>3.2549514448865162E-2</v>
      </c>
      <c r="L48" s="744"/>
      <c r="M48" s="364" t="str">
        <f>' Intensive Therapeutic Care'!S46</f>
        <v>BASELINE CAF  (FY26 &amp; FY27)</v>
      </c>
    </row>
    <row r="49" spans="3:13" x14ac:dyDescent="0.2">
      <c r="C49" s="1326"/>
    </row>
    <row r="51" spans="3:13" x14ac:dyDescent="0.2">
      <c r="L51" s="1173"/>
      <c r="M51" s="104" t="s">
        <v>2305</v>
      </c>
    </row>
    <row r="52" spans="3:13" x14ac:dyDescent="0.2">
      <c r="L52" s="1173"/>
    </row>
    <row r="53" spans="3:13" x14ac:dyDescent="0.2">
      <c r="C53" s="1173"/>
      <c r="D53" s="1173"/>
      <c r="E53" s="1173"/>
      <c r="L53" s="1173"/>
    </row>
    <row r="54" spans="3:13" x14ac:dyDescent="0.2">
      <c r="L54" s="1173"/>
    </row>
    <row r="55" spans="3:13" x14ac:dyDescent="0.2">
      <c r="L55" s="1173"/>
    </row>
    <row r="56" spans="3:13" x14ac:dyDescent="0.2">
      <c r="L56" s="1173"/>
    </row>
    <row r="57" spans="3:13" x14ac:dyDescent="0.2">
      <c r="L57" s="1173"/>
    </row>
    <row r="58" spans="3:13" x14ac:dyDescent="0.2">
      <c r="L58" s="1173"/>
    </row>
    <row r="59" spans="3:13" x14ac:dyDescent="0.2">
      <c r="L59" s="1173"/>
    </row>
  </sheetData>
  <mergeCells count="7">
    <mergeCell ref="I26:K26"/>
    <mergeCell ref="I40:K40"/>
    <mergeCell ref="C1:F1"/>
    <mergeCell ref="M13:O13"/>
    <mergeCell ref="C4:G5"/>
    <mergeCell ref="I4:K4"/>
    <mergeCell ref="I13:K13"/>
  </mergeCells>
  <pageMargins left="0.25" right="0.25" top="0.25" bottom="0.25" header="0.05" footer="0.05"/>
  <pageSetup paperSize="5" scale="71" orientation="landscape" r:id="rId1"/>
  <headerFooter>
    <oddFooter>&amp;R&amp;F
&amp;A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C2:Y62"/>
  <sheetViews>
    <sheetView topLeftCell="A12" zoomScaleNormal="100" workbookViewId="0">
      <selection activeCell="C54" sqref="C53:C54"/>
    </sheetView>
  </sheetViews>
  <sheetFormatPr defaultColWidth="8.85546875" defaultRowHeight="12" x14ac:dyDescent="0.2"/>
  <cols>
    <col min="1" max="2" width="8.85546875" style="380"/>
    <col min="3" max="3" width="33.7109375" style="380" customWidth="1"/>
    <col min="4" max="4" width="6.28515625" style="380" customWidth="1"/>
    <col min="5" max="5" width="9.7109375" style="380" bestFit="1" customWidth="1"/>
    <col min="6" max="6" width="8.7109375" style="380" customWidth="1"/>
    <col min="7" max="7" width="12.42578125" style="380" customWidth="1"/>
    <col min="8" max="8" width="12.140625" style="380" customWidth="1"/>
    <col min="9" max="9" width="28.5703125" style="380" customWidth="1"/>
    <col min="10" max="10" width="7.85546875" style="380" customWidth="1"/>
    <col min="11" max="11" width="13.7109375" style="380" customWidth="1"/>
    <col min="12" max="12" width="18.5703125" style="380" customWidth="1"/>
    <col min="13" max="13" width="38" style="104" customWidth="1"/>
    <col min="14" max="23" width="0" style="380" hidden="1" customWidth="1"/>
    <col min="24" max="16384" width="8.85546875" style="380"/>
  </cols>
  <sheetData>
    <row r="2" spans="3:13" ht="12.75" thickBot="1" x14ac:dyDescent="0.25">
      <c r="C2" s="379"/>
      <c r="L2" s="1324"/>
    </row>
    <row r="3" spans="3:13" x14ac:dyDescent="0.2">
      <c r="C3" s="2068" t="s">
        <v>371</v>
      </c>
      <c r="D3" s="2069"/>
      <c r="E3" s="2069"/>
      <c r="F3" s="2069"/>
      <c r="G3" s="2070"/>
      <c r="I3" s="2117" t="s">
        <v>261</v>
      </c>
      <c r="J3" s="2118"/>
      <c r="K3" s="2118"/>
      <c r="L3" s="1286"/>
      <c r="M3" s="381"/>
    </row>
    <row r="4" spans="3:13" ht="12.75" thickBot="1" x14ac:dyDescent="0.25">
      <c r="C4" s="2071"/>
      <c r="D4" s="2072"/>
      <c r="E4" s="2072"/>
      <c r="F4" s="2072"/>
      <c r="G4" s="2073"/>
      <c r="I4" s="1101"/>
      <c r="J4" s="1102" t="s">
        <v>3</v>
      </c>
      <c r="K4" s="1287" t="s">
        <v>4</v>
      </c>
      <c r="L4" s="1287"/>
      <c r="M4" s="362"/>
    </row>
    <row r="5" spans="3:13" x14ac:dyDescent="0.2">
      <c r="C5" s="1104" t="s">
        <v>0</v>
      </c>
      <c r="D5" s="1105">
        <v>9</v>
      </c>
      <c r="E5" s="1106"/>
      <c r="F5" s="1106" t="s">
        <v>1</v>
      </c>
      <c r="G5" s="1107">
        <f>D5*365</f>
        <v>3285</v>
      </c>
      <c r="I5" s="382" t="s">
        <v>8</v>
      </c>
      <c r="J5" s="1108">
        <v>15</v>
      </c>
      <c r="K5" s="1108">
        <f>J5*8</f>
        <v>120</v>
      </c>
      <c r="L5" s="1108"/>
      <c r="M5" s="362"/>
    </row>
    <row r="6" spans="3:13" x14ac:dyDescent="0.2">
      <c r="C6" s="1101"/>
      <c r="D6" s="457"/>
      <c r="E6" s="1118" t="s">
        <v>5</v>
      </c>
      <c r="F6" s="1118" t="s">
        <v>6</v>
      </c>
      <c r="G6" s="1119" t="s">
        <v>7</v>
      </c>
      <c r="I6" s="382" t="s">
        <v>10</v>
      </c>
      <c r="J6" s="1108">
        <v>8</v>
      </c>
      <c r="K6" s="1108">
        <f>J6*8</f>
        <v>64</v>
      </c>
      <c r="L6" s="1108"/>
      <c r="M6" s="362"/>
    </row>
    <row r="7" spans="3:13" x14ac:dyDescent="0.2">
      <c r="C7" s="1101" t="str">
        <f>I13</f>
        <v>Management</v>
      </c>
      <c r="E7" s="1102"/>
      <c r="F7" s="1102"/>
      <c r="G7" s="1120"/>
      <c r="I7" s="382" t="s">
        <v>11</v>
      </c>
      <c r="J7" s="1108">
        <v>11</v>
      </c>
      <c r="K7" s="1108">
        <f>J7*8</f>
        <v>88</v>
      </c>
      <c r="L7" s="1108"/>
      <c r="M7" s="362"/>
    </row>
    <row r="8" spans="3:13" x14ac:dyDescent="0.2">
      <c r="C8" s="382" t="str">
        <f>I14</f>
        <v xml:space="preserve">    Program Management</v>
      </c>
      <c r="E8" s="1124">
        <f>K14</f>
        <v>80829.631999999998</v>
      </c>
      <c r="F8" s="1125">
        <f>K28</f>
        <v>1</v>
      </c>
      <c r="G8" s="1126">
        <f>E8*F8</f>
        <v>80829.631999999998</v>
      </c>
      <c r="I8" s="382" t="s">
        <v>12</v>
      </c>
      <c r="J8" s="1108">
        <v>5</v>
      </c>
      <c r="K8" s="1108">
        <f>J8*8</f>
        <v>40</v>
      </c>
      <c r="L8" s="1108"/>
      <c r="M8" s="362"/>
    </row>
    <row r="9" spans="3:13" x14ac:dyDescent="0.2">
      <c r="C9" s="1101" t="str">
        <f t="shared" ref="C9:C13" si="0">I16</f>
        <v>Medical and Clinical</v>
      </c>
      <c r="E9" s="1124"/>
      <c r="F9" s="1125"/>
      <c r="G9" s="1126"/>
      <c r="I9" s="382"/>
      <c r="J9" s="1127" t="s">
        <v>14</v>
      </c>
      <c r="K9" s="1108">
        <f>SUM(K5:K8)</f>
        <v>312</v>
      </c>
      <c r="L9" s="1108"/>
      <c r="M9" s="362"/>
    </row>
    <row r="10" spans="3:13" x14ac:dyDescent="0.2">
      <c r="C10" s="382" t="str">
        <f t="shared" si="0"/>
        <v xml:space="preserve">    Clinician (LICSW)</v>
      </c>
      <c r="E10" s="1124">
        <f>K17</f>
        <v>83639.712</v>
      </c>
      <c r="F10" s="1125">
        <v>0.75</v>
      </c>
      <c r="G10" s="1126">
        <f>F10*E10</f>
        <v>62729.784</v>
      </c>
      <c r="I10" s="382"/>
      <c r="J10" s="1127" t="s">
        <v>15</v>
      </c>
      <c r="K10" s="1288">
        <f>K9/(52*40)</f>
        <v>0.15</v>
      </c>
      <c r="L10" s="1288"/>
      <c r="M10" s="362"/>
    </row>
    <row r="11" spans="3:13" x14ac:dyDescent="0.2">
      <c r="C11" s="382" t="str">
        <f t="shared" si="0"/>
        <v xml:space="preserve">    Clinicial Care Coordinator (MA Lvl)</v>
      </c>
      <c r="E11" s="1124">
        <f>K18</f>
        <v>70211.44</v>
      </c>
      <c r="F11" s="1125">
        <v>0.25</v>
      </c>
      <c r="G11" s="1126">
        <f>F11*E11</f>
        <v>17552.86</v>
      </c>
      <c r="I11" s="382"/>
      <c r="M11" s="362"/>
    </row>
    <row r="12" spans="3:13" x14ac:dyDescent="0.2">
      <c r="C12" s="382" t="str">
        <f t="shared" si="0"/>
        <v xml:space="preserve">    Registered Nurse</v>
      </c>
      <c r="E12" s="1124">
        <f>K19</f>
        <v>103622.27200000001</v>
      </c>
      <c r="F12" s="1125">
        <f>K34</f>
        <v>0.3</v>
      </c>
      <c r="G12" s="1126">
        <f>E12*F12</f>
        <v>31086.681600000004</v>
      </c>
      <c r="I12" s="2114" t="s">
        <v>2328</v>
      </c>
      <c r="J12" s="2115"/>
      <c r="K12" s="2115"/>
      <c r="L12" s="1290"/>
      <c r="M12" s="362"/>
    </row>
    <row r="13" spans="3:13" x14ac:dyDescent="0.2">
      <c r="C13" s="1101" t="str">
        <f t="shared" si="0"/>
        <v>Direct Care</v>
      </c>
      <c r="G13" s="414"/>
      <c r="I13" s="1101" t="s">
        <v>9</v>
      </c>
      <c r="K13" s="1124"/>
      <c r="L13" s="1124"/>
      <c r="M13" s="362"/>
    </row>
    <row r="14" spans="3:13" x14ac:dyDescent="0.2">
      <c r="C14" s="382" t="s">
        <v>664</v>
      </c>
      <c r="E14" s="1124">
        <f>E15</f>
        <v>56217.241600000001</v>
      </c>
      <c r="G14" s="1291">
        <f>F14*E14</f>
        <v>0</v>
      </c>
      <c r="I14" s="382" t="s">
        <v>422</v>
      </c>
      <c r="K14" s="1124">
        <f>'Therapeutic Grp Care 6 Bed'!K15</f>
        <v>80829.631999999998</v>
      </c>
      <c r="L14" s="1124"/>
      <c r="M14" s="414" t="s">
        <v>2225</v>
      </c>
    </row>
    <row r="15" spans="3:13" x14ac:dyDescent="0.2">
      <c r="C15" s="382" t="str">
        <f>I21</f>
        <v xml:space="preserve">    Direct Care III</v>
      </c>
      <c r="E15" s="1124">
        <f>K21</f>
        <v>56217.241600000001</v>
      </c>
      <c r="F15" s="1132">
        <f t="shared" ref="F15:F20" si="1">K37</f>
        <v>2.5499999999999998</v>
      </c>
      <c r="G15" s="416">
        <f>F15*E15</f>
        <v>143353.96607999998</v>
      </c>
      <c r="I15" s="1101"/>
      <c r="K15" s="1124"/>
      <c r="L15" s="1124"/>
      <c r="M15" s="414"/>
    </row>
    <row r="16" spans="3:13" x14ac:dyDescent="0.2">
      <c r="C16" s="382" t="str">
        <f>I22</f>
        <v xml:space="preserve">    Direct Care (GH)</v>
      </c>
      <c r="E16" s="1124">
        <f>K22</f>
        <v>43247.567999999999</v>
      </c>
      <c r="F16" s="1125">
        <f t="shared" si="1"/>
        <v>10.9</v>
      </c>
      <c r="G16" s="1126">
        <f>E16*F16</f>
        <v>471398.49119999999</v>
      </c>
      <c r="I16" s="1101" t="s">
        <v>13</v>
      </c>
      <c r="K16" s="1124"/>
      <c r="L16" s="1124"/>
      <c r="M16" s="362"/>
    </row>
    <row r="17" spans="3:25" x14ac:dyDescent="0.2">
      <c r="C17" s="382" t="str">
        <f>I23</f>
        <v xml:space="preserve">    Direct Care (Outreach, Transport &amp; Map)</v>
      </c>
      <c r="E17" s="1124">
        <f>K23</f>
        <v>43247.567999999999</v>
      </c>
      <c r="F17" s="1132">
        <f t="shared" si="1"/>
        <v>0.75</v>
      </c>
      <c r="G17" s="416">
        <f>F17*E17</f>
        <v>32435.675999999999</v>
      </c>
      <c r="I17" s="382" t="s">
        <v>268</v>
      </c>
      <c r="K17" s="1124">
        <f>'Therapeutic Grp Care 6 Bed'!K17</f>
        <v>83639.712</v>
      </c>
      <c r="L17" s="1124"/>
      <c r="M17" s="414" t="s">
        <v>2225</v>
      </c>
    </row>
    <row r="18" spans="3:25" x14ac:dyDescent="0.2">
      <c r="C18" s="1294" t="s">
        <v>376</v>
      </c>
      <c r="D18" s="379"/>
      <c r="E18" s="1124">
        <f>K24</f>
        <v>43247.567999999999</v>
      </c>
      <c r="F18" s="1132">
        <f t="shared" si="1"/>
        <v>1</v>
      </c>
      <c r="G18" s="416">
        <f>F18*E18</f>
        <v>43247.567999999999</v>
      </c>
      <c r="I18" s="382" t="s">
        <v>242</v>
      </c>
      <c r="K18" s="1124">
        <f>' Intensive Therapeutic Care'!R12</f>
        <v>70211.44</v>
      </c>
      <c r="L18" s="1124"/>
      <c r="M18" s="414" t="s">
        <v>2225</v>
      </c>
    </row>
    <row r="19" spans="3:25" x14ac:dyDescent="0.2">
      <c r="C19" s="382" t="str">
        <f>I24</f>
        <v xml:space="preserve">    Support Staff</v>
      </c>
      <c r="E19" s="1124">
        <f>K24</f>
        <v>43247.567999999999</v>
      </c>
      <c r="F19" s="1132">
        <f t="shared" si="1"/>
        <v>0.25</v>
      </c>
      <c r="G19" s="416">
        <f>F19*E19</f>
        <v>10811.892</v>
      </c>
      <c r="I19" s="382" t="s">
        <v>269</v>
      </c>
      <c r="K19" s="1319">
        <f>'Therapeutic Grp Care 6 Bed'!K18</f>
        <v>103622.27200000001</v>
      </c>
      <c r="L19" s="1319"/>
      <c r="M19" s="414" t="s">
        <v>2225</v>
      </c>
      <c r="O19" s="380" t="s">
        <v>39</v>
      </c>
    </row>
    <row r="20" spans="3:25" x14ac:dyDescent="0.2">
      <c r="C20" s="382" t="str">
        <f>I42</f>
        <v xml:space="preserve">    Relief staff</v>
      </c>
      <c r="E20" s="1124">
        <f>K25</f>
        <v>45423.401399999995</v>
      </c>
      <c r="F20" s="1132">
        <f t="shared" si="1"/>
        <v>2.13</v>
      </c>
      <c r="G20" s="416">
        <f>F20*E20</f>
        <v>96751.844981999981</v>
      </c>
      <c r="I20" s="1101" t="s">
        <v>18</v>
      </c>
      <c r="K20" s="1124"/>
      <c r="L20" s="1124"/>
      <c r="M20" s="362"/>
      <c r="O20" s="1312" t="s">
        <v>262</v>
      </c>
      <c r="P20" s="1312" t="s">
        <v>263</v>
      </c>
      <c r="Q20" s="1312" t="s">
        <v>264</v>
      </c>
      <c r="R20" s="1312" t="s">
        <v>265</v>
      </c>
      <c r="S20" s="1312" t="s">
        <v>266</v>
      </c>
      <c r="T20" s="1312" t="s">
        <v>267</v>
      </c>
      <c r="U20" s="1312" t="s">
        <v>262</v>
      </c>
    </row>
    <row r="21" spans="3:25" x14ac:dyDescent="0.2">
      <c r="C21" s="1137" t="s">
        <v>20</v>
      </c>
      <c r="D21" s="1138"/>
      <c r="E21" s="1138"/>
      <c r="F21" s="1139">
        <f>SUM(F8:F20)</f>
        <v>19.88</v>
      </c>
      <c r="G21" s="1140">
        <f>SUM(G8:G20)</f>
        <v>990198.39586199995</v>
      </c>
      <c r="I21" s="382" t="s">
        <v>243</v>
      </c>
      <c r="K21" s="1124">
        <f>'Therapeutic Grp Care 6 Bed'!K21</f>
        <v>56217.241600000001</v>
      </c>
      <c r="L21" s="1124"/>
      <c r="M21" s="414" t="s">
        <v>2225</v>
      </c>
      <c r="N21" s="380" t="s">
        <v>33</v>
      </c>
      <c r="O21" s="1108">
        <v>1</v>
      </c>
      <c r="P21" s="1108">
        <v>0.5</v>
      </c>
      <c r="Q21" s="1108">
        <v>0.5</v>
      </c>
      <c r="R21" s="1108">
        <v>0.5</v>
      </c>
      <c r="S21" s="1108">
        <v>0.5</v>
      </c>
      <c r="T21" s="1108">
        <v>0.5</v>
      </c>
      <c r="U21" s="1108">
        <v>1</v>
      </c>
    </row>
    <row r="22" spans="3:25" x14ac:dyDescent="0.2">
      <c r="C22" s="1101" t="s">
        <v>21</v>
      </c>
      <c r="E22" s="1141"/>
      <c r="G22" s="1126"/>
      <c r="I22" s="382" t="s">
        <v>272</v>
      </c>
      <c r="K22" s="1124">
        <f>'Therapeutic Grp Care 6 Bed'!K22</f>
        <v>43247.567999999999</v>
      </c>
      <c r="L22" s="1124"/>
      <c r="M22" s="414" t="s">
        <v>2225</v>
      </c>
      <c r="N22" s="380" t="s">
        <v>34</v>
      </c>
      <c r="O22" s="1108">
        <v>1</v>
      </c>
      <c r="P22" s="1108">
        <v>0.5</v>
      </c>
      <c r="Q22" s="1108">
        <v>0.5</v>
      </c>
      <c r="R22" s="1108">
        <v>0.5</v>
      </c>
      <c r="S22" s="1108">
        <v>0.5</v>
      </c>
      <c r="T22" s="1108">
        <v>0.5</v>
      </c>
      <c r="U22" s="1108">
        <v>1</v>
      </c>
      <c r="Y22" s="380">
        <v>19.02</v>
      </c>
    </row>
    <row r="23" spans="3:25" ht="12.75" thickBot="1" x14ac:dyDescent="0.25">
      <c r="C23" s="382" t="s">
        <v>23</v>
      </c>
      <c r="E23" s="1142">
        <f>K44</f>
        <v>0.24970000000000001</v>
      </c>
      <c r="G23" s="416">
        <f>G21*E23</f>
        <v>247252.5394467414</v>
      </c>
      <c r="I23" s="382" t="s">
        <v>273</v>
      </c>
      <c r="K23" s="1124">
        <f>'Therapeutic Grp Care 6 Bed'!K23</f>
        <v>43247.567999999999</v>
      </c>
      <c r="L23" s="1124"/>
      <c r="M23" s="414" t="s">
        <v>2225</v>
      </c>
      <c r="N23" s="380" t="s">
        <v>35</v>
      </c>
      <c r="O23" s="1314">
        <v>0</v>
      </c>
      <c r="P23" s="1314">
        <v>0</v>
      </c>
      <c r="Q23" s="1314">
        <v>0</v>
      </c>
      <c r="R23" s="1314">
        <v>0</v>
      </c>
      <c r="S23" s="1314">
        <v>0</v>
      </c>
      <c r="T23" s="1314">
        <v>0</v>
      </c>
      <c r="U23" s="1314">
        <v>0</v>
      </c>
      <c r="Y23" s="380">
        <v>16.79</v>
      </c>
    </row>
    <row r="24" spans="3:25" ht="12.75" thickTop="1" x14ac:dyDescent="0.2">
      <c r="C24" s="1137" t="s">
        <v>24</v>
      </c>
      <c r="D24" s="1138"/>
      <c r="E24" s="1138"/>
      <c r="F24" s="1143"/>
      <c r="G24" s="1140">
        <f>G21+G23</f>
        <v>1237450.9353087414</v>
      </c>
      <c r="I24" s="382" t="s">
        <v>247</v>
      </c>
      <c r="K24" s="1124">
        <f>'Therapeutic Grp Care 6 Bed'!K24</f>
        <v>43247.567999999999</v>
      </c>
      <c r="L24" s="1124"/>
      <c r="M24" s="414" t="s">
        <v>2225</v>
      </c>
      <c r="O24" s="1108">
        <f>SUM(O21:O23)</f>
        <v>2</v>
      </c>
      <c r="P24" s="1108">
        <f t="shared" ref="P24:U24" si="2">SUM(P21:P23)</f>
        <v>1</v>
      </c>
      <c r="Q24" s="1108">
        <f t="shared" si="2"/>
        <v>1</v>
      </c>
      <c r="R24" s="1108">
        <f t="shared" si="2"/>
        <v>1</v>
      </c>
      <c r="S24" s="1108">
        <f t="shared" si="2"/>
        <v>1</v>
      </c>
      <c r="T24" s="1108">
        <f t="shared" si="2"/>
        <v>1</v>
      </c>
      <c r="U24" s="1108">
        <f t="shared" si="2"/>
        <v>2</v>
      </c>
      <c r="V24" s="1108">
        <f>SUM(O24:U24)</f>
        <v>9</v>
      </c>
      <c r="Y24" s="1325">
        <f>Y22-Y23</f>
        <v>2.2300000000000004</v>
      </c>
    </row>
    <row r="25" spans="3:25" x14ac:dyDescent="0.2">
      <c r="C25" s="382"/>
      <c r="D25" s="1141"/>
      <c r="F25" s="393"/>
      <c r="G25" s="416"/>
      <c r="I25" s="382" t="s">
        <v>274</v>
      </c>
      <c r="K25" s="1124">
        <f>SUM(G15:G18)/SUM(F15:F18)</f>
        <v>45423.401399999995</v>
      </c>
      <c r="L25" s="1124"/>
      <c r="M25" s="414" t="s">
        <v>2225</v>
      </c>
      <c r="V25" s="1108">
        <f>V24*8</f>
        <v>72</v>
      </c>
    </row>
    <row r="26" spans="3:25" x14ac:dyDescent="0.2">
      <c r="C26" s="382" t="s">
        <v>252</v>
      </c>
      <c r="D26" s="1141"/>
      <c r="F26" s="393">
        <f>K49</f>
        <v>186.68676153846155</v>
      </c>
      <c r="G26" s="416">
        <f>F26*6*52</f>
        <v>58246.269600000014</v>
      </c>
      <c r="I26" s="2114" t="s">
        <v>248</v>
      </c>
      <c r="J26" s="2115"/>
      <c r="K26" s="2115"/>
      <c r="L26" s="1290"/>
      <c r="M26" s="362"/>
      <c r="O26" s="380" t="s">
        <v>271</v>
      </c>
      <c r="V26" s="1315">
        <f>V25/40</f>
        <v>1.8</v>
      </c>
    </row>
    <row r="27" spans="3:25" x14ac:dyDescent="0.2">
      <c r="C27" s="382" t="s">
        <v>253</v>
      </c>
      <c r="D27" s="1141"/>
      <c r="F27" s="393">
        <f>'3072 Therap Grp Care 6 FY24'!J22</f>
        <v>58.551747775770423</v>
      </c>
      <c r="G27" s="416">
        <f>F27*20*52</f>
        <v>60893.817686801238</v>
      </c>
      <c r="I27" s="1101" t="s">
        <v>9</v>
      </c>
      <c r="J27" s="1170"/>
      <c r="K27" s="1170"/>
      <c r="L27" s="1170"/>
      <c r="M27" s="362"/>
      <c r="O27" s="1312" t="s">
        <v>262</v>
      </c>
      <c r="P27" s="1312" t="s">
        <v>263</v>
      </c>
      <c r="Q27" s="1312" t="s">
        <v>264</v>
      </c>
      <c r="R27" s="1312" t="s">
        <v>265</v>
      </c>
      <c r="S27" s="1312" t="s">
        <v>266</v>
      </c>
      <c r="T27" s="1312" t="s">
        <v>267</v>
      </c>
      <c r="U27" s="1312" t="s">
        <v>262</v>
      </c>
    </row>
    <row r="28" spans="3:25" x14ac:dyDescent="0.2">
      <c r="C28" s="382" t="str">
        <f>I46</f>
        <v>Occupancy (per bed day)</v>
      </c>
      <c r="F28" s="393">
        <f>K46</f>
        <v>45.212922000000006</v>
      </c>
      <c r="G28" s="416">
        <f>F28*G5</f>
        <v>148524.44877000002</v>
      </c>
      <c r="I28" s="382" t="str">
        <f>I14</f>
        <v xml:space="preserve">    Program Management</v>
      </c>
      <c r="J28" s="1170"/>
      <c r="K28" s="1170">
        <f>1</f>
        <v>1</v>
      </c>
      <c r="L28" s="1170"/>
      <c r="M28" s="362"/>
      <c r="N28" s="380" t="s">
        <v>33</v>
      </c>
      <c r="O28" s="1108">
        <v>2</v>
      </c>
      <c r="P28" s="1108">
        <v>2.5</v>
      </c>
      <c r="Q28" s="1108">
        <v>2.5</v>
      </c>
      <c r="R28" s="1108">
        <v>2.5</v>
      </c>
      <c r="S28" s="1108">
        <v>2.5</v>
      </c>
      <c r="T28" s="1108">
        <v>2.5</v>
      </c>
      <c r="U28" s="1108">
        <v>2</v>
      </c>
    </row>
    <row r="29" spans="3:25" x14ac:dyDescent="0.2">
      <c r="C29" s="382" t="s">
        <v>27</v>
      </c>
      <c r="F29" s="393">
        <f>K47</f>
        <v>26.414460000000002</v>
      </c>
      <c r="G29" s="416">
        <f>F29*G5</f>
        <v>86771.501100000009</v>
      </c>
      <c r="I29" s="382"/>
      <c r="J29" s="1170"/>
      <c r="K29" s="1170"/>
      <c r="L29" s="1170"/>
      <c r="M29" s="362"/>
      <c r="N29" s="380" t="s">
        <v>34</v>
      </c>
      <c r="O29" s="1108">
        <v>2</v>
      </c>
      <c r="P29" s="1108">
        <v>2.5</v>
      </c>
      <c r="Q29" s="1108">
        <v>2.5</v>
      </c>
      <c r="R29" s="1108">
        <v>2.5</v>
      </c>
      <c r="S29" s="1108">
        <v>2.5</v>
      </c>
      <c r="T29" s="1108">
        <v>2.5</v>
      </c>
      <c r="U29" s="1108">
        <v>2</v>
      </c>
    </row>
    <row r="30" spans="3:25" ht="12.75" thickBot="1" x14ac:dyDescent="0.25">
      <c r="C30" s="1137" t="s">
        <v>29</v>
      </c>
      <c r="D30" s="1138"/>
      <c r="E30" s="1138"/>
      <c r="F30" s="1138"/>
      <c r="G30" s="1140">
        <f>SUM(G24:G29)</f>
        <v>1591886.9724655426</v>
      </c>
      <c r="I30" s="1101" t="s">
        <v>13</v>
      </c>
      <c r="J30" s="1170"/>
      <c r="K30" s="1170"/>
      <c r="L30" s="1170"/>
      <c r="M30" s="362"/>
      <c r="N30" s="380" t="s">
        <v>35</v>
      </c>
      <c r="O30" s="1314">
        <v>2</v>
      </c>
      <c r="P30" s="1314">
        <v>2</v>
      </c>
      <c r="Q30" s="1314">
        <v>2</v>
      </c>
      <c r="R30" s="1314">
        <v>2</v>
      </c>
      <c r="S30" s="1314">
        <v>2</v>
      </c>
      <c r="T30" s="1314">
        <v>2</v>
      </c>
      <c r="U30" s="1314">
        <v>2</v>
      </c>
    </row>
    <row r="31" spans="3:25" ht="12.75" thickTop="1" x14ac:dyDescent="0.2">
      <c r="C31" s="1101" t="s">
        <v>36</v>
      </c>
      <c r="D31" s="457"/>
      <c r="E31" s="1151">
        <f>K51</f>
        <v>3.2549514448865162E-2</v>
      </c>
      <c r="F31" s="457"/>
      <c r="G31" s="1144">
        <f>G30*E31</f>
        <v>51815.1480112274</v>
      </c>
      <c r="I31" s="382" t="s">
        <v>268</v>
      </c>
      <c r="J31" s="1170"/>
      <c r="K31" s="1170">
        <v>0.75</v>
      </c>
      <c r="L31" s="881"/>
      <c r="M31" s="362"/>
      <c r="O31" s="1108">
        <f>SUM(O28:O30)</f>
        <v>6</v>
      </c>
      <c r="P31" s="1108">
        <f t="shared" ref="P31:U31" si="3">SUM(P28:P30)</f>
        <v>7</v>
      </c>
      <c r="Q31" s="1108">
        <f t="shared" si="3"/>
        <v>7</v>
      </c>
      <c r="R31" s="1108">
        <f t="shared" si="3"/>
        <v>7</v>
      </c>
      <c r="S31" s="1108">
        <f t="shared" si="3"/>
        <v>7</v>
      </c>
      <c r="T31" s="1108">
        <f t="shared" si="3"/>
        <v>7</v>
      </c>
      <c r="U31" s="1108">
        <f t="shared" si="3"/>
        <v>6</v>
      </c>
      <c r="V31" s="1108">
        <f>SUM(O31:U31)</f>
        <v>47</v>
      </c>
      <c r="W31" s="380" t="s">
        <v>275</v>
      </c>
      <c r="Y31" s="380">
        <v>0.5</v>
      </c>
    </row>
    <row r="32" spans="3:25" x14ac:dyDescent="0.2">
      <c r="C32" s="382" t="s">
        <v>30</v>
      </c>
      <c r="E32" s="1141">
        <f>K48</f>
        <v>0.12</v>
      </c>
      <c r="G32" s="1126">
        <f>G30*E32</f>
        <v>191026.43669586509</v>
      </c>
      <c r="I32" s="382" t="s">
        <v>242</v>
      </c>
      <c r="J32" s="1170"/>
      <c r="K32" s="1170">
        <v>0.25</v>
      </c>
      <c r="L32" s="1170"/>
      <c r="M32" s="362"/>
      <c r="V32" s="1108">
        <f>V31*8</f>
        <v>376</v>
      </c>
      <c r="W32" s="380" t="s">
        <v>276</v>
      </c>
    </row>
    <row r="33" spans="3:25" ht="12.75" thickBot="1" x14ac:dyDescent="0.25">
      <c r="C33" s="1101" t="s">
        <v>31</v>
      </c>
      <c r="G33" s="1144">
        <f>SUM(G30:G32)</f>
        <v>1834728.5571726351</v>
      </c>
      <c r="I33" s="382" t="s">
        <v>239</v>
      </c>
      <c r="J33" s="1170"/>
      <c r="K33" s="1320"/>
      <c r="L33" s="1320"/>
      <c r="M33" s="362"/>
      <c r="V33" s="1315">
        <f>V32/40</f>
        <v>9.4</v>
      </c>
      <c r="W33" s="380" t="s">
        <v>277</v>
      </c>
    </row>
    <row r="34" spans="3:25" ht="12.75" thickBot="1" x14ac:dyDescent="0.25">
      <c r="C34" s="1152" t="s">
        <v>366</v>
      </c>
      <c r="D34" s="1153"/>
      <c r="E34" s="1300"/>
      <c r="F34" s="1153"/>
      <c r="G34" s="1301">
        <f>G33/12</f>
        <v>152894.04643105294</v>
      </c>
      <c r="I34" s="382" t="str">
        <f>I19</f>
        <v xml:space="preserve">    Registered Nurse</v>
      </c>
      <c r="J34" s="1170"/>
      <c r="K34" s="1170">
        <v>0.3</v>
      </c>
      <c r="L34" s="1170"/>
      <c r="M34" s="362" t="s">
        <v>286</v>
      </c>
      <c r="O34" s="380" t="s">
        <v>278</v>
      </c>
    </row>
    <row r="35" spans="3:25" x14ac:dyDescent="0.2">
      <c r="C35" s="1162"/>
      <c r="D35" s="1163"/>
      <c r="E35" s="1164"/>
      <c r="F35" s="1165"/>
      <c r="G35" s="1321">
        <v>135891</v>
      </c>
      <c r="H35" s="1318">
        <f>(G34-G35)/G35</f>
        <v>0.12512268237817761</v>
      </c>
      <c r="I35" s="382" t="s">
        <v>19</v>
      </c>
      <c r="J35" s="1170"/>
      <c r="K35" s="1170"/>
      <c r="L35" s="1170"/>
      <c r="M35" s="362"/>
      <c r="O35" s="1312" t="s">
        <v>262</v>
      </c>
      <c r="P35" s="1312" t="s">
        <v>263</v>
      </c>
      <c r="Q35" s="1312" t="s">
        <v>264</v>
      </c>
      <c r="R35" s="1312" t="s">
        <v>265</v>
      </c>
      <c r="S35" s="1312" t="s">
        <v>266</v>
      </c>
      <c r="T35" s="1312" t="s">
        <v>267</v>
      </c>
      <c r="U35" s="1312" t="s">
        <v>262</v>
      </c>
    </row>
    <row r="36" spans="3:25" x14ac:dyDescent="0.2">
      <c r="C36" s="1162"/>
      <c r="D36" s="1163"/>
      <c r="E36" s="1166"/>
      <c r="F36" s="1165"/>
      <c r="I36" s="1101" t="s">
        <v>18</v>
      </c>
      <c r="J36" s="1170"/>
      <c r="K36" s="1170"/>
      <c r="L36" s="1170"/>
      <c r="M36" s="362"/>
      <c r="N36" s="380" t="s">
        <v>4</v>
      </c>
      <c r="O36" s="1108">
        <v>4</v>
      </c>
      <c r="P36" s="1108">
        <v>4</v>
      </c>
      <c r="Q36" s="1108">
        <v>4</v>
      </c>
      <c r="R36" s="1108">
        <v>4</v>
      </c>
      <c r="S36" s="1108">
        <v>4</v>
      </c>
      <c r="T36" s="1108">
        <v>4</v>
      </c>
      <c r="U36" s="1108">
        <v>4</v>
      </c>
      <c r="V36" s="380">
        <f>SUM(O36:U36)</f>
        <v>28</v>
      </c>
      <c r="W36" s="380" t="s">
        <v>279</v>
      </c>
    </row>
    <row r="37" spans="3:25" x14ac:dyDescent="0.2">
      <c r="C37" s="1162"/>
      <c r="D37" s="1163"/>
      <c r="E37" s="1166"/>
      <c r="F37" s="1165"/>
      <c r="G37" s="1302"/>
      <c r="I37" s="382" t="str">
        <f>I21</f>
        <v xml:space="preserve">    Direct Care III</v>
      </c>
      <c r="J37" s="1170"/>
      <c r="K37" s="1170">
        <f>V26+0.75</f>
        <v>2.5499999999999998</v>
      </c>
      <c r="L37" s="881"/>
      <c r="M37" s="362"/>
      <c r="V37" s="1132">
        <f>V36/40</f>
        <v>0.7</v>
      </c>
      <c r="W37" s="380" t="s">
        <v>281</v>
      </c>
      <c r="Y37" s="380">
        <v>0.75</v>
      </c>
    </row>
    <row r="38" spans="3:25" x14ac:dyDescent="0.2">
      <c r="I38" s="382" t="str">
        <f>I22</f>
        <v xml:space="preserve">    Direct Care (GH)</v>
      </c>
      <c r="J38" s="1170"/>
      <c r="K38" s="1170">
        <f>V33+0.75+0.75</f>
        <v>10.9</v>
      </c>
      <c r="L38" s="881"/>
      <c r="M38" s="362"/>
      <c r="Y38" s="380">
        <v>0.75</v>
      </c>
    </row>
    <row r="39" spans="3:25" x14ac:dyDescent="0.2">
      <c r="F39" s="457"/>
      <c r="G39" s="1303"/>
      <c r="H39" s="396"/>
      <c r="I39" s="382" t="str">
        <f>I23</f>
        <v xml:space="preserve">    Direct Care (Outreach, Transport &amp; Map)</v>
      </c>
      <c r="J39" s="1170"/>
      <c r="K39" s="1170">
        <v>0.75</v>
      </c>
      <c r="L39" s="1170"/>
      <c r="M39" s="362" t="s">
        <v>287</v>
      </c>
    </row>
    <row r="40" spans="3:25" x14ac:dyDescent="0.2">
      <c r="G40" s="393"/>
      <c r="I40" s="382" t="s">
        <v>376</v>
      </c>
      <c r="J40" s="1170"/>
      <c r="K40" s="1170">
        <v>1</v>
      </c>
      <c r="L40" s="1170"/>
      <c r="M40" s="362"/>
    </row>
    <row r="41" spans="3:25" x14ac:dyDescent="0.2">
      <c r="G41" s="393"/>
      <c r="I41" s="382" t="str">
        <f>I24</f>
        <v xml:space="preserve">    Support Staff</v>
      </c>
      <c r="J41" s="1170"/>
      <c r="K41" s="1170">
        <f>0.25</f>
        <v>0.25</v>
      </c>
      <c r="L41" s="1170"/>
      <c r="M41" s="362"/>
    </row>
    <row r="42" spans="3:25" x14ac:dyDescent="0.2">
      <c r="G42" s="397"/>
      <c r="I42" s="382" t="str">
        <f>I25</f>
        <v xml:space="preserve">    Relief staff</v>
      </c>
      <c r="J42" s="1170"/>
      <c r="K42" s="1170">
        <f>(K38+K39+K37)*K10</f>
        <v>2.13</v>
      </c>
      <c r="L42" s="1322"/>
      <c r="M42" s="362"/>
      <c r="Y42" s="380">
        <f>2.02-1.79</f>
        <v>0.22999999999999998</v>
      </c>
    </row>
    <row r="43" spans="3:25" ht="15" customHeight="1" x14ac:dyDescent="0.2">
      <c r="E43" s="398"/>
      <c r="I43" s="2114" t="s">
        <v>28</v>
      </c>
      <c r="J43" s="2115"/>
      <c r="K43" s="2115"/>
      <c r="L43" s="1290"/>
      <c r="M43" s="362"/>
      <c r="Y43" s="1325">
        <f>SUM(Y31:Y42)</f>
        <v>2.23</v>
      </c>
    </row>
    <row r="44" spans="3:25" ht="15.6" customHeight="1" x14ac:dyDescent="0.2">
      <c r="I44" s="382" t="s">
        <v>23</v>
      </c>
      <c r="K44" s="1304">
        <f>'Therapeutic Grp Care 6 Bed'!K41</f>
        <v>0.24970000000000001</v>
      </c>
      <c r="L44" s="1304"/>
      <c r="M44" s="362" t="str">
        <f>'Therapeutic Grp Care 6 Bed'!M41</f>
        <v>C.257 Benchmark</v>
      </c>
    </row>
    <row r="45" spans="3:25" x14ac:dyDescent="0.2">
      <c r="I45" s="382"/>
      <c r="K45" s="1141"/>
      <c r="L45" s="1141"/>
      <c r="M45" s="362"/>
    </row>
    <row r="46" spans="3:25" x14ac:dyDescent="0.2">
      <c r="I46" s="382" t="s">
        <v>283</v>
      </c>
      <c r="K46" s="446">
        <f>'Therapeutic Grp Care 6 Bed'!K43</f>
        <v>45.212922000000006</v>
      </c>
      <c r="L46" s="446"/>
      <c r="M46" s="362" t="s">
        <v>284</v>
      </c>
    </row>
    <row r="47" spans="3:25" x14ac:dyDescent="0.2">
      <c r="I47" s="382" t="s">
        <v>27</v>
      </c>
      <c r="K47" s="446">
        <f>'Therapeutic Grp Care 6 Bed'!K44</f>
        <v>26.414460000000002</v>
      </c>
      <c r="L47" s="446"/>
      <c r="M47" s="362" t="s">
        <v>2316</v>
      </c>
    </row>
    <row r="48" spans="3:25" x14ac:dyDescent="0.2">
      <c r="I48" s="382" t="s">
        <v>30</v>
      </c>
      <c r="K48" s="1142">
        <v>0.12</v>
      </c>
      <c r="L48" s="1142"/>
      <c r="M48" s="362" t="str">
        <f>'Therapeutic Grp Care 6 Bed'!M45</f>
        <v>C.257 Benchmark</v>
      </c>
    </row>
    <row r="49" spans="9:13" x14ac:dyDescent="0.2">
      <c r="I49" s="382" t="s">
        <v>252</v>
      </c>
      <c r="K49" s="448">
        <f>'Therapeutic Grp Care 6 Bed'!K46</f>
        <v>186.68676153846155</v>
      </c>
      <c r="L49" s="448"/>
      <c r="M49" s="414" t="s">
        <v>256</v>
      </c>
    </row>
    <row r="50" spans="9:13" x14ac:dyDescent="0.2">
      <c r="I50" s="382" t="str">
        <f>'Therapeutic Grp Care 6 Bed'!I47</f>
        <v>Occupational Therapy Consulting</v>
      </c>
      <c r="K50" s="448">
        <f>'Therapeutic Grp Care 6 Bed'!K47</f>
        <v>58.551747775770423</v>
      </c>
      <c r="L50" s="448"/>
      <c r="M50" s="414" t="str">
        <f>'Therapeutic Grp Care 6 Bed'!M47</f>
        <v>60/40 OT /OT Assistant BLS M2023</v>
      </c>
    </row>
    <row r="51" spans="9:13" ht="12.75" thickBot="1" x14ac:dyDescent="0.25">
      <c r="I51" s="462" t="s">
        <v>365</v>
      </c>
      <c r="J51" s="1145"/>
      <c r="K51" s="1323">
        <f>'Therapeutic Grp Care 6 Bed'!K48</f>
        <v>3.2549514448865162E-2</v>
      </c>
      <c r="L51" s="1323"/>
      <c r="M51" s="364" t="str">
        <f>'Therapeutic Grp Care 6 Bed'!M48</f>
        <v>BASELINE CAF  (FY26 &amp; FY27)</v>
      </c>
    </row>
    <row r="54" spans="9:13" x14ac:dyDescent="0.2">
      <c r="I54" s="1173"/>
      <c r="J54" s="1173"/>
      <c r="K54" s="1173"/>
      <c r="L54" s="1173"/>
    </row>
    <row r="55" spans="9:13" x14ac:dyDescent="0.2">
      <c r="I55" s="1173"/>
      <c r="J55" s="1173"/>
      <c r="K55" s="1173"/>
      <c r="L55" s="1173"/>
    </row>
    <row r="56" spans="9:13" x14ac:dyDescent="0.2">
      <c r="I56" s="1173"/>
      <c r="J56" s="1173"/>
      <c r="K56" s="1173"/>
      <c r="L56" s="1173"/>
    </row>
    <row r="57" spans="9:13" x14ac:dyDescent="0.2">
      <c r="I57" s="1173"/>
      <c r="J57" s="1173"/>
      <c r="K57" s="1173"/>
      <c r="L57" s="1173"/>
    </row>
    <row r="58" spans="9:13" x14ac:dyDescent="0.2">
      <c r="I58" s="1173"/>
      <c r="J58" s="1173"/>
      <c r="K58" s="1173"/>
      <c r="L58" s="1173"/>
    </row>
    <row r="59" spans="9:13" x14ac:dyDescent="0.2">
      <c r="I59" s="1173"/>
      <c r="J59" s="1173"/>
      <c r="K59" s="1173"/>
      <c r="L59" s="1173"/>
    </row>
    <row r="60" spans="9:13" x14ac:dyDescent="0.2">
      <c r="I60" s="1173"/>
      <c r="J60" s="1173"/>
      <c r="K60" s="1173"/>
      <c r="L60" s="1173"/>
    </row>
    <row r="61" spans="9:13" x14ac:dyDescent="0.2">
      <c r="I61" s="1173"/>
      <c r="J61" s="1173"/>
      <c r="K61" s="1173"/>
      <c r="L61" s="1173"/>
    </row>
    <row r="62" spans="9:13" x14ac:dyDescent="0.2">
      <c r="I62" s="1173"/>
      <c r="J62" s="1173"/>
      <c r="K62" s="1173"/>
      <c r="L62" s="1173"/>
    </row>
  </sheetData>
  <mergeCells count="5">
    <mergeCell ref="C3:G4"/>
    <mergeCell ref="I3:K3"/>
    <mergeCell ref="I12:K12"/>
    <mergeCell ref="I26:K26"/>
    <mergeCell ref="I43:K43"/>
  </mergeCells>
  <pageMargins left="0.25" right="0.25" top="0.25" bottom="0.25" header="0.05" footer="0.05"/>
  <pageSetup paperSize="5" scale="63" orientation="landscape" r:id="rId1"/>
  <headerFooter>
    <oddFooter>&amp;R&amp;F
&amp;A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2:P89"/>
  <sheetViews>
    <sheetView tabSelected="1" zoomScaleNormal="100" workbookViewId="0">
      <selection activeCell="I61" sqref="I61"/>
    </sheetView>
  </sheetViews>
  <sheetFormatPr defaultColWidth="8.85546875" defaultRowHeight="12" x14ac:dyDescent="0.2"/>
  <cols>
    <col min="1" max="2" width="8.85546875" style="380"/>
    <col min="3" max="3" width="33.7109375" style="380" customWidth="1"/>
    <col min="4" max="4" width="6.5703125" style="380" customWidth="1"/>
    <col min="5" max="5" width="12.28515625" style="380" customWidth="1"/>
    <col min="6" max="6" width="10.140625" style="380" customWidth="1"/>
    <col min="7" max="7" width="11" style="380" customWidth="1"/>
    <col min="8" max="8" width="12.28515625" style="380" customWidth="1"/>
    <col min="9" max="9" width="28.5703125" style="380" customWidth="1"/>
    <col min="10" max="10" width="8" style="380" customWidth="1"/>
    <col min="11" max="11" width="13" style="380" customWidth="1"/>
    <col min="12" max="12" width="23.7109375" style="881" customWidth="1"/>
    <col min="13" max="13" width="35.85546875" style="104" customWidth="1"/>
    <col min="14" max="14" width="8.85546875" style="380"/>
    <col min="15" max="16" width="0" style="380" hidden="1" customWidth="1"/>
    <col min="17" max="16384" width="8.85546875" style="380"/>
  </cols>
  <sheetData>
    <row r="2" spans="3:13" ht="12.75" thickBot="1" x14ac:dyDescent="0.25">
      <c r="C2" s="379"/>
      <c r="L2" s="1324"/>
    </row>
    <row r="3" spans="3:13" x14ac:dyDescent="0.2">
      <c r="C3" s="2068" t="s">
        <v>370</v>
      </c>
      <c r="D3" s="2069"/>
      <c r="E3" s="2069"/>
      <c r="F3" s="2069"/>
      <c r="G3" s="2070"/>
      <c r="I3" s="2117" t="s">
        <v>261</v>
      </c>
      <c r="J3" s="2118"/>
      <c r="K3" s="2118"/>
      <c r="L3" s="1327"/>
      <c r="M3" s="381"/>
    </row>
    <row r="4" spans="3:13" ht="12.75" thickBot="1" x14ac:dyDescent="0.25">
      <c r="C4" s="2071"/>
      <c r="D4" s="2072"/>
      <c r="E4" s="2072"/>
      <c r="F4" s="2072"/>
      <c r="G4" s="2073"/>
      <c r="I4" s="1101"/>
      <c r="J4" s="1102" t="s">
        <v>3</v>
      </c>
      <c r="K4" s="1287" t="s">
        <v>4</v>
      </c>
      <c r="L4" s="1328"/>
      <c r="M4" s="362"/>
    </row>
    <row r="5" spans="3:13" x14ac:dyDescent="0.2">
      <c r="C5" s="1104" t="s">
        <v>0</v>
      </c>
      <c r="D5" s="1105">
        <v>12</v>
      </c>
      <c r="E5" s="1106"/>
      <c r="F5" s="1106" t="s">
        <v>1</v>
      </c>
      <c r="G5" s="1107">
        <f>D5*365</f>
        <v>4380</v>
      </c>
      <c r="I5" s="382" t="s">
        <v>8</v>
      </c>
      <c r="J5" s="1108">
        <v>15</v>
      </c>
      <c r="K5" s="1108">
        <f>J5*8</f>
        <v>120</v>
      </c>
      <c r="L5" s="1324"/>
      <c r="M5" s="362"/>
    </row>
    <row r="6" spans="3:13" x14ac:dyDescent="0.2">
      <c r="C6" s="382"/>
      <c r="G6" s="414"/>
      <c r="I6" s="382" t="s">
        <v>10</v>
      </c>
      <c r="J6" s="1108">
        <v>8</v>
      </c>
      <c r="K6" s="1108">
        <f>J6*8</f>
        <v>64</v>
      </c>
      <c r="L6" s="1324"/>
      <c r="M6" s="362"/>
    </row>
    <row r="7" spans="3:13" x14ac:dyDescent="0.2">
      <c r="C7" s="1101"/>
      <c r="D7" s="457"/>
      <c r="E7" s="1118" t="s">
        <v>5</v>
      </c>
      <c r="F7" s="1118" t="s">
        <v>6</v>
      </c>
      <c r="G7" s="1119" t="s">
        <v>7</v>
      </c>
      <c r="I7" s="382" t="s">
        <v>11</v>
      </c>
      <c r="J7" s="1108">
        <v>11</v>
      </c>
      <c r="K7" s="1108">
        <f>J7*8</f>
        <v>88</v>
      </c>
      <c r="L7" s="1324"/>
      <c r="M7" s="362"/>
    </row>
    <row r="8" spans="3:13" x14ac:dyDescent="0.2">
      <c r="C8" s="1101" t="str">
        <f>I13</f>
        <v>Management</v>
      </c>
      <c r="E8" s="1102"/>
      <c r="F8" s="1102"/>
      <c r="G8" s="1120"/>
      <c r="I8" s="382" t="s">
        <v>12</v>
      </c>
      <c r="J8" s="1108">
        <v>5</v>
      </c>
      <c r="K8" s="1108">
        <f>J8*8</f>
        <v>40</v>
      </c>
      <c r="L8" s="1324"/>
      <c r="M8" s="362"/>
    </row>
    <row r="9" spans="3:13" x14ac:dyDescent="0.2">
      <c r="C9" s="382" t="str">
        <f>I14</f>
        <v xml:space="preserve">    Program Management</v>
      </c>
      <c r="E9" s="1124">
        <f>K14</f>
        <v>80829.631999999998</v>
      </c>
      <c r="F9" s="1125">
        <f>K30</f>
        <v>1</v>
      </c>
      <c r="G9" s="1126">
        <f>E9*F9</f>
        <v>80829.631999999998</v>
      </c>
      <c r="I9" s="382"/>
      <c r="J9" s="1127" t="s">
        <v>14</v>
      </c>
      <c r="K9" s="1108">
        <f>SUM(K5:K8)</f>
        <v>312</v>
      </c>
      <c r="L9" s="1324"/>
      <c r="M9" s="362"/>
    </row>
    <row r="10" spans="3:13" x14ac:dyDescent="0.2">
      <c r="C10" s="1101" t="str">
        <f>I16</f>
        <v>Medical and Clinical</v>
      </c>
      <c r="E10" s="1124"/>
      <c r="F10" s="1125"/>
      <c r="G10" s="1126"/>
      <c r="I10" s="382"/>
      <c r="J10" s="1127" t="s">
        <v>15</v>
      </c>
      <c r="K10" s="1288">
        <f>K9/(52*40)</f>
        <v>0.15</v>
      </c>
      <c r="L10" s="1329"/>
      <c r="M10" s="362"/>
    </row>
    <row r="11" spans="3:13" x14ac:dyDescent="0.2">
      <c r="C11" s="382" t="str">
        <f>I17</f>
        <v xml:space="preserve">    Clinician (LICSW)</v>
      </c>
      <c r="E11" s="1124">
        <f>K17</f>
        <v>83639.712</v>
      </c>
      <c r="F11" s="1125">
        <v>1</v>
      </c>
      <c r="G11" s="1126">
        <f>F11*E11</f>
        <v>83639.712</v>
      </c>
      <c r="I11" s="382"/>
      <c r="M11" s="362"/>
    </row>
    <row r="12" spans="3:13" x14ac:dyDescent="0.2">
      <c r="C12" s="382" t="str">
        <f>I18</f>
        <v xml:space="preserve">    Clinicial Care Coordinator (MA Lvl)</v>
      </c>
      <c r="E12" s="1124">
        <f>K18</f>
        <v>70211.44</v>
      </c>
      <c r="F12" s="1125">
        <f>K33</f>
        <v>0.5</v>
      </c>
      <c r="G12" s="1126">
        <f>F12*E12</f>
        <v>35105.72</v>
      </c>
      <c r="I12" s="2114" t="s">
        <v>2328</v>
      </c>
      <c r="J12" s="2115"/>
      <c r="K12" s="2115"/>
      <c r="L12" s="1330"/>
      <c r="M12" s="362"/>
    </row>
    <row r="13" spans="3:13" x14ac:dyDescent="0.2">
      <c r="C13" s="382" t="str">
        <f>I20</f>
        <v xml:space="preserve">    Registered Nurse</v>
      </c>
      <c r="E13" s="1124">
        <f>K20</f>
        <v>103622.27200000001</v>
      </c>
      <c r="F13" s="1289">
        <f>K35</f>
        <v>0.37500000000000006</v>
      </c>
      <c r="G13" s="1126">
        <f>E13*F13</f>
        <v>38858.352000000014</v>
      </c>
      <c r="I13" s="1101" t="s">
        <v>9</v>
      </c>
      <c r="K13" s="1124"/>
      <c r="L13" s="1331"/>
      <c r="M13" s="362"/>
    </row>
    <row r="14" spans="3:13" x14ac:dyDescent="0.2">
      <c r="C14" s="382" t="str">
        <f>I21</f>
        <v xml:space="preserve">    Occupational Therapy</v>
      </c>
      <c r="E14" s="1124">
        <f>K21</f>
        <v>82681.040000000008</v>
      </c>
      <c r="F14" s="1125">
        <f>K36</f>
        <v>0.75</v>
      </c>
      <c r="G14" s="1126">
        <f>F14*E14</f>
        <v>62010.780000000006</v>
      </c>
      <c r="I14" s="382" t="s">
        <v>422</v>
      </c>
      <c r="K14" s="1124">
        <f>'Therapeutic Grp Care 9 Bed '!K14</f>
        <v>80829.631999999998</v>
      </c>
      <c r="L14" s="1331"/>
      <c r="M14" s="414" t="s">
        <v>2225</v>
      </c>
    </row>
    <row r="15" spans="3:13" x14ac:dyDescent="0.2">
      <c r="C15" s="1101" t="str">
        <f>I22</f>
        <v>Direct Care</v>
      </c>
      <c r="G15" s="414"/>
      <c r="I15" s="1101" t="s">
        <v>2333</v>
      </c>
      <c r="K15" s="1124">
        <f>'Therapeutic Grp Care 9 Bed '!K15</f>
        <v>0</v>
      </c>
      <c r="L15" s="1331"/>
      <c r="M15" s="414" t="s">
        <v>2307</v>
      </c>
    </row>
    <row r="16" spans="3:13" x14ac:dyDescent="0.2">
      <c r="C16" s="382" t="s">
        <v>664</v>
      </c>
      <c r="E16" s="392">
        <f>E17</f>
        <v>56217.241600000001</v>
      </c>
      <c r="G16" s="1291">
        <f>F16*E16</f>
        <v>0</v>
      </c>
      <c r="I16" s="1101" t="s">
        <v>13</v>
      </c>
      <c r="K16" s="1124"/>
      <c r="L16" s="1331"/>
      <c r="M16" s="362"/>
    </row>
    <row r="17" spans="3:16" x14ac:dyDescent="0.2">
      <c r="C17" s="382" t="str">
        <f>I38</f>
        <v xml:space="preserve">    Direct Care III</v>
      </c>
      <c r="E17" s="442">
        <f>K23</f>
        <v>56217.241600000001</v>
      </c>
      <c r="F17" s="1132">
        <f>K38</f>
        <v>2.8</v>
      </c>
      <c r="G17" s="416">
        <f>F17*E17</f>
        <v>157408.27648</v>
      </c>
      <c r="I17" s="382" t="s">
        <v>268</v>
      </c>
      <c r="K17" s="1124">
        <f>'Therapeutic Grp Care 9 Bed '!K17</f>
        <v>83639.712</v>
      </c>
      <c r="L17" s="1331"/>
      <c r="M17" s="414" t="s">
        <v>2225</v>
      </c>
    </row>
    <row r="18" spans="3:16" x14ac:dyDescent="0.2">
      <c r="C18" s="382" t="str">
        <f>I24</f>
        <v xml:space="preserve">    Direct Care (GH)</v>
      </c>
      <c r="E18" s="1124">
        <f>K24</f>
        <v>43247.567999999999</v>
      </c>
      <c r="F18" s="1125">
        <f>K39</f>
        <v>13.8</v>
      </c>
      <c r="G18" s="1126">
        <f>E18*F18</f>
        <v>596816.43839999998</v>
      </c>
      <c r="I18" s="382" t="s">
        <v>242</v>
      </c>
      <c r="K18" s="1124">
        <f>'Therapeutic Grp Care 9 Bed '!K18</f>
        <v>70211.44</v>
      </c>
      <c r="L18" s="1331"/>
      <c r="M18" s="414" t="s">
        <v>2225</v>
      </c>
    </row>
    <row r="19" spans="3:16" x14ac:dyDescent="0.2">
      <c r="C19" s="382" t="str">
        <f>I25</f>
        <v xml:space="preserve">    Direct Care (Outreach, Transport &amp; Map)</v>
      </c>
      <c r="E19" s="1124">
        <f>K25</f>
        <v>43247.567999999999</v>
      </c>
      <c r="F19" s="1132">
        <f>K40</f>
        <v>1</v>
      </c>
      <c r="G19" s="416">
        <f>F19*E19</f>
        <v>43247.567999999999</v>
      </c>
      <c r="I19" s="382" t="s">
        <v>239</v>
      </c>
      <c r="K19" s="1124">
        <f>'M2021 BLS  SALARY CHART 53_PCT'!D44</f>
        <v>247150</v>
      </c>
      <c r="L19" s="1331"/>
      <c r="M19" s="414" t="s">
        <v>2301</v>
      </c>
    </row>
    <row r="20" spans="3:16" x14ac:dyDescent="0.2">
      <c r="C20" s="1294" t="s">
        <v>376</v>
      </c>
      <c r="D20" s="379"/>
      <c r="E20" s="1124">
        <f>K26</f>
        <v>43247.567999999999</v>
      </c>
      <c r="F20" s="1132">
        <v>1</v>
      </c>
      <c r="G20" s="416">
        <f>F20*E20</f>
        <v>43247.567999999999</v>
      </c>
      <c r="I20" s="382" t="s">
        <v>269</v>
      </c>
      <c r="K20" s="1319">
        <f>'Therapeutic Grp Care 9 Bed '!K19</f>
        <v>103622.27200000001</v>
      </c>
      <c r="L20" s="1332"/>
      <c r="M20" s="414" t="s">
        <v>2225</v>
      </c>
    </row>
    <row r="21" spans="3:16" x14ac:dyDescent="0.2">
      <c r="C21" s="382" t="str">
        <f>I42</f>
        <v xml:space="preserve">    Relief staff</v>
      </c>
      <c r="E21" s="1124">
        <f>K27</f>
        <v>45199.991982795691</v>
      </c>
      <c r="F21" s="1132">
        <f>K42</f>
        <v>2.64</v>
      </c>
      <c r="G21" s="416">
        <f>F21*E21</f>
        <v>119327.97883458063</v>
      </c>
      <c r="I21" s="382" t="s">
        <v>19</v>
      </c>
      <c r="K21" s="1124">
        <f>'Therapeutic Grp Care 6 Bed'!K19</f>
        <v>82681.040000000008</v>
      </c>
      <c r="L21" s="1331"/>
      <c r="M21" s="414" t="s">
        <v>2225</v>
      </c>
    </row>
    <row r="22" spans="3:16" x14ac:dyDescent="0.2">
      <c r="C22" s="382" t="str">
        <f>I26</f>
        <v xml:space="preserve">    Support Staff</v>
      </c>
      <c r="E22" s="1124">
        <f>K26</f>
        <v>43247.567999999999</v>
      </c>
      <c r="F22" s="1132">
        <f>K43</f>
        <v>0.5</v>
      </c>
      <c r="G22" s="416">
        <f>F22*E22</f>
        <v>21623.784</v>
      </c>
      <c r="I22" s="1101" t="s">
        <v>18</v>
      </c>
      <c r="K22" s="1124"/>
      <c r="L22" s="1331"/>
      <c r="M22" s="414"/>
    </row>
    <row r="23" spans="3:16" x14ac:dyDescent="0.2">
      <c r="C23" s="1137" t="s">
        <v>20</v>
      </c>
      <c r="D23" s="1138"/>
      <c r="E23" s="1138"/>
      <c r="F23" s="1139">
        <f>SUM(F9:F22)</f>
        <v>25.365000000000002</v>
      </c>
      <c r="G23" s="1140">
        <f>SUM(G9:G22)-1</f>
        <v>1282114.8097145804</v>
      </c>
      <c r="I23" s="382" t="s">
        <v>243</v>
      </c>
      <c r="K23" s="1124">
        <f>'Therapeutic Grp Care 9 Bed '!K21</f>
        <v>56217.241600000001</v>
      </c>
      <c r="L23" s="1331"/>
      <c r="M23" s="414" t="s">
        <v>2225</v>
      </c>
    </row>
    <row r="24" spans="3:16" x14ac:dyDescent="0.2">
      <c r="C24" s="382"/>
      <c r="F24" s="457"/>
      <c r="G24" s="414"/>
      <c r="I24" s="382" t="s">
        <v>272</v>
      </c>
      <c r="K24" s="1124">
        <f>'Therapeutic Grp Care 9 Bed '!K22</f>
        <v>43247.567999999999</v>
      </c>
      <c r="L24" s="1331"/>
      <c r="M24" s="414" t="s">
        <v>2225</v>
      </c>
    </row>
    <row r="25" spans="3:16" x14ac:dyDescent="0.2">
      <c r="C25" s="1101" t="s">
        <v>21</v>
      </c>
      <c r="E25" s="1141"/>
      <c r="G25" s="1126"/>
      <c r="I25" s="382" t="s">
        <v>273</v>
      </c>
      <c r="K25" s="1124">
        <f>'Therapeutic Grp Care 9 Bed '!K23</f>
        <v>43247.567999999999</v>
      </c>
      <c r="L25" s="1331"/>
      <c r="M25" s="414" t="s">
        <v>2225</v>
      </c>
    </row>
    <row r="26" spans="3:16" x14ac:dyDescent="0.2">
      <c r="C26" s="382" t="s">
        <v>23</v>
      </c>
      <c r="E26" s="1142">
        <f>K45</f>
        <v>0.24970000000000001</v>
      </c>
      <c r="G26" s="416">
        <f>G23*E26</f>
        <v>320144.06798573071</v>
      </c>
      <c r="I26" s="382" t="s">
        <v>247</v>
      </c>
      <c r="K26" s="1124">
        <f>'Therapeutic Grp Care 9 Bed '!K24</f>
        <v>43247.567999999999</v>
      </c>
      <c r="L26" s="1331"/>
      <c r="M26" s="414" t="s">
        <v>2225</v>
      </c>
    </row>
    <row r="27" spans="3:16" x14ac:dyDescent="0.2">
      <c r="C27" s="1137" t="s">
        <v>24</v>
      </c>
      <c r="D27" s="1138"/>
      <c r="E27" s="1138"/>
      <c r="F27" s="1143">
        <f>G27/G5</f>
        <v>365.81252915532218</v>
      </c>
      <c r="G27" s="1140">
        <f>G23+G26</f>
        <v>1602258.8777003111</v>
      </c>
      <c r="I27" s="382" t="s">
        <v>274</v>
      </c>
      <c r="K27" s="1124">
        <f>SUM(G17:G20)/SUM(F17:F20)</f>
        <v>45199.991982795691</v>
      </c>
      <c r="L27" s="1331"/>
      <c r="M27" s="414" t="s">
        <v>2225</v>
      </c>
    </row>
    <row r="28" spans="3:16" x14ac:dyDescent="0.2">
      <c r="C28" s="1101"/>
      <c r="D28" s="457"/>
      <c r="E28" s="457"/>
      <c r="F28" s="457" t="s">
        <v>22</v>
      </c>
      <c r="G28" s="1144"/>
      <c r="I28" s="2114" t="s">
        <v>248</v>
      </c>
      <c r="J28" s="2115"/>
      <c r="K28" s="2115"/>
      <c r="L28" s="1330"/>
      <c r="M28" s="362"/>
      <c r="O28" s="380">
        <v>21.42</v>
      </c>
      <c r="P28" s="380" t="s">
        <v>667</v>
      </c>
    </row>
    <row r="29" spans="3:16" x14ac:dyDescent="0.2">
      <c r="C29" s="382" t="str">
        <f>I50</f>
        <v>Psychiatric Consultation Services</v>
      </c>
      <c r="D29" s="1141"/>
      <c r="F29" s="393">
        <f>'Therapeutic Grp Care 9 Bed '!F26</f>
        <v>186.68676153846155</v>
      </c>
      <c r="G29" s="416">
        <f>F29*8*52</f>
        <v>77661.692800000004</v>
      </c>
      <c r="I29" s="1101" t="s">
        <v>9</v>
      </c>
      <c r="J29" s="1170"/>
      <c r="K29" s="1170"/>
      <c r="L29" s="1322"/>
      <c r="M29" s="362"/>
      <c r="O29" s="380">
        <v>24.22</v>
      </c>
      <c r="P29" s="380" t="s">
        <v>668</v>
      </c>
    </row>
    <row r="30" spans="3:16" x14ac:dyDescent="0.2">
      <c r="C30" s="382" t="str">
        <f>I47</f>
        <v>Occupancy (per bed day)</v>
      </c>
      <c r="F30" s="393">
        <f>K47</f>
        <v>45.212922000000006</v>
      </c>
      <c r="G30" s="416">
        <f>F30*G5</f>
        <v>198032.59836000003</v>
      </c>
      <c r="I30" s="382" t="str">
        <f>I14</f>
        <v xml:space="preserve">    Program Management</v>
      </c>
      <c r="J30" s="1170"/>
      <c r="K30" s="1170">
        <f>1</f>
        <v>1</v>
      </c>
      <c r="L30" s="1322"/>
      <c r="M30" s="362"/>
      <c r="O30" s="1325">
        <f>O29-O28</f>
        <v>2.7999999999999972</v>
      </c>
    </row>
    <row r="31" spans="3:16" x14ac:dyDescent="0.2">
      <c r="C31" s="382" t="s">
        <v>27</v>
      </c>
      <c r="F31" s="393">
        <f>K48</f>
        <v>26.414460000000002</v>
      </c>
      <c r="G31" s="416">
        <f>F31*G5</f>
        <v>115695.33480000001</v>
      </c>
      <c r="I31" s="1101" t="s">
        <v>13</v>
      </c>
      <c r="J31" s="1170"/>
      <c r="K31" s="1170"/>
      <c r="L31" s="1322"/>
      <c r="M31" s="362"/>
    </row>
    <row r="32" spans="3:16" x14ac:dyDescent="0.2">
      <c r="C32" s="382"/>
      <c r="F32" s="1333">
        <f>SUM(F29:F31)</f>
        <v>258.31414353846156</v>
      </c>
      <c r="G32" s="414"/>
      <c r="I32" s="382" t="s">
        <v>268</v>
      </c>
      <c r="J32" s="1170"/>
      <c r="K32" s="1170">
        <v>1</v>
      </c>
      <c r="L32" s="1331"/>
      <c r="M32" s="362"/>
      <c r="O32" s="380">
        <v>0.5</v>
      </c>
    </row>
    <row r="33" spans="3:15" x14ac:dyDescent="0.2">
      <c r="C33" s="1137" t="s">
        <v>29</v>
      </c>
      <c r="D33" s="1138"/>
      <c r="E33" s="1138"/>
      <c r="F33" s="1138"/>
      <c r="G33" s="1140">
        <f>SUM(G27:G31)</f>
        <v>1993648.5036603112</v>
      </c>
      <c r="I33" s="382" t="s">
        <v>242</v>
      </c>
      <c r="J33" s="1170"/>
      <c r="K33" s="1170">
        <v>0.5</v>
      </c>
      <c r="L33" s="1322"/>
      <c r="M33" s="362"/>
    </row>
    <row r="34" spans="3:15" x14ac:dyDescent="0.2">
      <c r="C34" s="1101" t="s">
        <v>36</v>
      </c>
      <c r="D34" s="457"/>
      <c r="E34" s="1151">
        <f>K51</f>
        <v>3.2549514448865162E-2</v>
      </c>
      <c r="F34" s="457"/>
      <c r="G34" s="1144">
        <f>G33*E34</f>
        <v>64892.290775849709</v>
      </c>
      <c r="I34" s="382" t="s">
        <v>239</v>
      </c>
      <c r="J34" s="1170"/>
      <c r="K34" s="1170">
        <v>0.25</v>
      </c>
      <c r="L34" s="1322"/>
      <c r="M34" s="362" t="s">
        <v>288</v>
      </c>
    </row>
    <row r="35" spans="3:15" x14ac:dyDescent="0.2">
      <c r="C35" s="382" t="s">
        <v>30</v>
      </c>
      <c r="E35" s="1141">
        <f>K49</f>
        <v>0.12</v>
      </c>
      <c r="G35" s="1126">
        <f>G33*E35</f>
        <v>239237.82043923734</v>
      </c>
      <c r="I35" s="382" t="str">
        <f>I20</f>
        <v xml:space="preserve">    Registered Nurse</v>
      </c>
      <c r="J35" s="1170"/>
      <c r="K35" s="1320">
        <v>0.37500000000000006</v>
      </c>
      <c r="L35" s="1334"/>
      <c r="M35" s="362" t="s">
        <v>289</v>
      </c>
    </row>
    <row r="36" spans="3:15" ht="12.75" thickBot="1" x14ac:dyDescent="0.25">
      <c r="C36" s="1101" t="s">
        <v>31</v>
      </c>
      <c r="G36" s="1144">
        <f>SUM(G33:G35)</f>
        <v>2297778.6148753981</v>
      </c>
      <c r="I36" s="382" t="s">
        <v>19</v>
      </c>
      <c r="J36" s="1170"/>
      <c r="K36" s="1170">
        <v>0.75</v>
      </c>
      <c r="L36" s="1322"/>
      <c r="M36" s="362"/>
      <c r="O36" s="393"/>
    </row>
    <row r="37" spans="3:15" ht="12.75" thickBot="1" x14ac:dyDescent="0.25">
      <c r="C37" s="1152" t="s">
        <v>367</v>
      </c>
      <c r="D37" s="1153"/>
      <c r="E37" s="1300"/>
      <c r="F37" s="1153"/>
      <c r="G37" s="1301">
        <f>G36/12</f>
        <v>191481.5512396165</v>
      </c>
      <c r="I37" s="1101" t="s">
        <v>18</v>
      </c>
      <c r="J37" s="1170"/>
      <c r="K37" s="1170"/>
      <c r="L37" s="1322"/>
      <c r="M37" s="362"/>
    </row>
    <row r="38" spans="3:15" x14ac:dyDescent="0.2">
      <c r="C38" s="1162"/>
      <c r="D38" s="1163"/>
      <c r="E38" s="1164"/>
      <c r="F38" s="1165"/>
      <c r="G38" s="1321">
        <v>170267</v>
      </c>
      <c r="H38" s="1099">
        <f>(G37-G38)/G38</f>
        <v>0.12459578919941328</v>
      </c>
      <c r="I38" s="382" t="s">
        <v>243</v>
      </c>
      <c r="J38" s="1170"/>
      <c r="K38" s="1170">
        <f>1.8+1</f>
        <v>2.8</v>
      </c>
      <c r="L38" s="1331"/>
      <c r="M38" s="362"/>
      <c r="O38" s="380">
        <v>1</v>
      </c>
    </row>
    <row r="39" spans="3:15" ht="12.75" customHeight="1" x14ac:dyDescent="0.2">
      <c r="C39" s="1162"/>
      <c r="D39" s="1163"/>
      <c r="E39" s="1166"/>
      <c r="F39" s="1165"/>
      <c r="I39" s="382" t="str">
        <f>I24</f>
        <v xml:space="preserve">    Direct Care (GH)</v>
      </c>
      <c r="J39" s="1170"/>
      <c r="K39" s="1170">
        <f>11.8+1+1</f>
        <v>13.8</v>
      </c>
      <c r="L39" s="1331"/>
      <c r="M39" s="362" t="s">
        <v>290</v>
      </c>
      <c r="O39" s="380">
        <v>1</v>
      </c>
    </row>
    <row r="40" spans="3:15" ht="20.25" customHeight="1" x14ac:dyDescent="0.2">
      <c r="C40" s="1162"/>
      <c r="D40" s="1163"/>
      <c r="E40" s="1166"/>
      <c r="F40" s="1165"/>
      <c r="G40" s="1302"/>
      <c r="I40" s="382" t="str">
        <f>I25</f>
        <v xml:space="preserve">    Direct Care (Outreach, Transport &amp; Map)</v>
      </c>
      <c r="J40" s="1170"/>
      <c r="K40" s="1170">
        <v>1</v>
      </c>
      <c r="M40" s="362" t="s">
        <v>291</v>
      </c>
    </row>
    <row r="41" spans="3:15" x14ac:dyDescent="0.2">
      <c r="I41" s="382" t="s">
        <v>626</v>
      </c>
      <c r="J41" s="1170"/>
      <c r="K41" s="1170">
        <v>1</v>
      </c>
      <c r="L41" s="1322"/>
      <c r="M41" s="362"/>
    </row>
    <row r="42" spans="3:15" x14ac:dyDescent="0.2">
      <c r="E42" s="457"/>
      <c r="F42" s="457"/>
      <c r="G42" s="1303"/>
      <c r="H42" s="399"/>
      <c r="I42" s="382" t="str">
        <f>I27</f>
        <v xml:space="preserve">    Relief staff</v>
      </c>
      <c r="J42" s="1170"/>
      <c r="K42" s="1170">
        <f>(K40+K39+K38)*K10</f>
        <v>2.64</v>
      </c>
      <c r="L42" s="1322"/>
      <c r="M42" s="362"/>
      <c r="O42" s="380">
        <v>0.3</v>
      </c>
    </row>
    <row r="43" spans="3:15" x14ac:dyDescent="0.2">
      <c r="E43" s="457"/>
      <c r="F43" s="457"/>
      <c r="G43" s="1303"/>
      <c r="I43" s="382" t="str">
        <f>I26</f>
        <v xml:space="preserve">    Support Staff</v>
      </c>
      <c r="J43" s="1170"/>
      <c r="K43" s="1170">
        <v>0.5</v>
      </c>
      <c r="L43" s="1322"/>
      <c r="M43" s="362"/>
      <c r="O43" s="1325">
        <f>SUM(O32:O42)</f>
        <v>2.8</v>
      </c>
    </row>
    <row r="44" spans="3:15" x14ac:dyDescent="0.2">
      <c r="E44" s="457"/>
      <c r="F44" s="457"/>
      <c r="G44" s="1303"/>
      <c r="I44" s="2114" t="s">
        <v>28</v>
      </c>
      <c r="J44" s="2115"/>
      <c r="K44" s="2115"/>
      <c r="L44" s="1330"/>
      <c r="M44" s="362"/>
    </row>
    <row r="45" spans="3:15" x14ac:dyDescent="0.2">
      <c r="E45" s="457"/>
      <c r="F45" s="457"/>
      <c r="G45" s="1303"/>
      <c r="I45" s="382" t="s">
        <v>23</v>
      </c>
      <c r="K45" s="1304">
        <f>'Therapeutic Grp Care 9 Bed '!K44</f>
        <v>0.24970000000000001</v>
      </c>
      <c r="L45" s="1335"/>
      <c r="M45" s="362" t="s">
        <v>2330</v>
      </c>
    </row>
    <row r="46" spans="3:15" x14ac:dyDescent="0.2">
      <c r="E46" s="457"/>
      <c r="F46" s="457"/>
      <c r="G46" s="457"/>
      <c r="I46" s="382"/>
      <c r="K46" s="1141"/>
      <c r="L46" s="1336"/>
      <c r="M46" s="362"/>
    </row>
    <row r="47" spans="3:15" x14ac:dyDescent="0.2">
      <c r="E47" s="457"/>
      <c r="F47" s="457"/>
      <c r="G47" s="457"/>
      <c r="I47" s="382" t="s">
        <v>283</v>
      </c>
      <c r="K47" s="446">
        <f>'Therapeutic Grp Care 6 Bed'!K43</f>
        <v>45.212922000000006</v>
      </c>
      <c r="L47" s="1337"/>
      <c r="M47" s="362" t="s">
        <v>284</v>
      </c>
    </row>
    <row r="48" spans="3:15" x14ac:dyDescent="0.2">
      <c r="E48" s="457"/>
      <c r="F48" s="457"/>
      <c r="G48" s="457"/>
      <c r="I48" s="382" t="s">
        <v>27</v>
      </c>
      <c r="K48" s="446">
        <f>'Therapeutic Grp Care 6 Bed'!K44</f>
        <v>26.414460000000002</v>
      </c>
      <c r="L48" s="1337"/>
      <c r="M48" s="362" t="s">
        <v>2316</v>
      </c>
    </row>
    <row r="49" spans="1:13" x14ac:dyDescent="0.2">
      <c r="I49" s="382" t="s">
        <v>30</v>
      </c>
      <c r="K49" s="1142">
        <v>0.12</v>
      </c>
      <c r="L49" s="1338"/>
      <c r="M49" s="362" t="str">
        <f>'Therapeutic Grp Care 9 Bed '!M48</f>
        <v>C.257 Benchmark</v>
      </c>
    </row>
    <row r="50" spans="1:13" x14ac:dyDescent="0.2">
      <c r="I50" s="382" t="s">
        <v>252</v>
      </c>
      <c r="K50" s="448">
        <f>'Therapeutic Grp Care 9 Bed '!K49</f>
        <v>186.68676153846155</v>
      </c>
      <c r="L50" s="1339"/>
      <c r="M50" s="414" t="s">
        <v>256</v>
      </c>
    </row>
    <row r="51" spans="1:13" ht="12.75" thickBot="1" x14ac:dyDescent="0.25">
      <c r="I51" s="462" t="s">
        <v>36</v>
      </c>
      <c r="J51" s="1145"/>
      <c r="K51" s="1323">
        <f>'Therapeutic Grp Care 9 Bed '!K51</f>
        <v>3.2549514448865162E-2</v>
      </c>
      <c r="L51" s="1340"/>
      <c r="M51" s="364" t="str">
        <f>'Therapeutic Grp Care 9 Bed '!M51</f>
        <v>BASELINE CAF  (FY26 &amp; FY27)</v>
      </c>
    </row>
    <row r="52" spans="1:13" hidden="1" x14ac:dyDescent="0.2">
      <c r="C52" s="1312" t="s">
        <v>263</v>
      </c>
      <c r="D52" s="1312" t="s">
        <v>264</v>
      </c>
      <c r="E52" s="1312" t="s">
        <v>265</v>
      </c>
      <c r="F52" s="1312" t="s">
        <v>266</v>
      </c>
      <c r="G52" s="1312" t="s">
        <v>267</v>
      </c>
      <c r="H52" s="1312" t="s">
        <v>262</v>
      </c>
    </row>
    <row r="53" spans="1:13" hidden="1" x14ac:dyDescent="0.2">
      <c r="B53" s="380" t="s">
        <v>39</v>
      </c>
      <c r="C53" s="1108">
        <v>0.5</v>
      </c>
      <c r="D53" s="1108">
        <v>0.5</v>
      </c>
      <c r="E53" s="1108">
        <v>0.5</v>
      </c>
      <c r="F53" s="1108">
        <v>0.5</v>
      </c>
      <c r="G53" s="1108">
        <v>0.5</v>
      </c>
      <c r="H53" s="1108">
        <v>1</v>
      </c>
    </row>
    <row r="54" spans="1:13" hidden="1" x14ac:dyDescent="0.2">
      <c r="A54" s="380" t="s">
        <v>33</v>
      </c>
      <c r="B54" s="1312" t="s">
        <v>262</v>
      </c>
      <c r="C54" s="1108">
        <v>0.5</v>
      </c>
      <c r="D54" s="1108">
        <v>0.5</v>
      </c>
      <c r="E54" s="1108">
        <v>0.5</v>
      </c>
      <c r="F54" s="1108">
        <v>0.5</v>
      </c>
      <c r="G54" s="1108">
        <v>0.5</v>
      </c>
      <c r="H54" s="1108">
        <v>1</v>
      </c>
    </row>
    <row r="55" spans="1:13" hidden="1" x14ac:dyDescent="0.2">
      <c r="A55" s="380" t="s">
        <v>34</v>
      </c>
      <c r="B55" s="1108">
        <v>1</v>
      </c>
      <c r="C55" s="1108">
        <v>0</v>
      </c>
      <c r="D55" s="1108">
        <v>0</v>
      </c>
      <c r="E55" s="1108">
        <v>0</v>
      </c>
      <c r="F55" s="1108">
        <v>0</v>
      </c>
      <c r="G55" s="1108">
        <v>0</v>
      </c>
      <c r="H55" s="1108">
        <v>0</v>
      </c>
    </row>
    <row r="56" spans="1:13" hidden="1" x14ac:dyDescent="0.2">
      <c r="A56" s="380" t="s">
        <v>35</v>
      </c>
      <c r="B56" s="1108">
        <v>1</v>
      </c>
      <c r="C56" s="1108">
        <f t="shared" ref="C56:H56" si="0">SUM(C53:C55)</f>
        <v>1</v>
      </c>
      <c r="D56" s="1108">
        <f t="shared" si="0"/>
        <v>1</v>
      </c>
      <c r="E56" s="1108">
        <f t="shared" si="0"/>
        <v>1</v>
      </c>
      <c r="F56" s="1108">
        <f t="shared" si="0"/>
        <v>1</v>
      </c>
      <c r="G56" s="1108">
        <f t="shared" si="0"/>
        <v>1</v>
      </c>
      <c r="H56" s="1108">
        <f t="shared" si="0"/>
        <v>2</v>
      </c>
    </row>
    <row r="57" spans="1:13" hidden="1" x14ac:dyDescent="0.2">
      <c r="B57" s="1108">
        <v>0</v>
      </c>
    </row>
    <row r="58" spans="1:13" hidden="1" x14ac:dyDescent="0.2">
      <c r="B58" s="1108">
        <f>SUM(B55:B57)</f>
        <v>2</v>
      </c>
      <c r="K58" s="1142">
        <f>(G40-353.8)/353.8</f>
        <v>-1</v>
      </c>
      <c r="L58" s="1338"/>
    </row>
    <row r="59" spans="1:13" hidden="1" x14ac:dyDescent="0.2">
      <c r="C59" s="1312" t="s">
        <v>263</v>
      </c>
      <c r="D59" s="1312" t="s">
        <v>264</v>
      </c>
      <c r="E59" s="1312" t="s">
        <v>265</v>
      </c>
      <c r="F59" s="1312" t="s">
        <v>266</v>
      </c>
      <c r="G59" s="1312" t="s">
        <v>267</v>
      </c>
      <c r="H59" s="1312" t="s">
        <v>262</v>
      </c>
      <c r="I59" s="1108">
        <f>SUM(B58:H58)</f>
        <v>2</v>
      </c>
    </row>
    <row r="60" spans="1:13" hidden="1" x14ac:dyDescent="0.2">
      <c r="B60" s="380" t="s">
        <v>271</v>
      </c>
      <c r="C60" s="1108">
        <v>3.5</v>
      </c>
      <c r="D60" s="1108">
        <v>3.5</v>
      </c>
      <c r="E60" s="1108">
        <v>3.5</v>
      </c>
      <c r="F60" s="1108">
        <v>3.5</v>
      </c>
      <c r="G60" s="1108">
        <v>3.5</v>
      </c>
      <c r="H60" s="1108">
        <v>2</v>
      </c>
      <c r="I60" s="1108">
        <f>I59*8</f>
        <v>16</v>
      </c>
    </row>
    <row r="61" spans="1:13" hidden="1" x14ac:dyDescent="0.2">
      <c r="A61" s="380" t="s">
        <v>33</v>
      </c>
      <c r="B61" s="1312" t="s">
        <v>262</v>
      </c>
      <c r="C61" s="1108">
        <v>3.5</v>
      </c>
      <c r="D61" s="1108">
        <v>3.5</v>
      </c>
      <c r="E61" s="1108">
        <v>3.5</v>
      </c>
      <c r="F61" s="1108">
        <v>3.5</v>
      </c>
      <c r="G61" s="1108">
        <v>3.5</v>
      </c>
      <c r="H61" s="1108">
        <v>2</v>
      </c>
      <c r="I61" s="1315">
        <f>I60/40</f>
        <v>0.4</v>
      </c>
    </row>
    <row r="62" spans="1:13" hidden="1" x14ac:dyDescent="0.2">
      <c r="A62" s="380" t="s">
        <v>34</v>
      </c>
      <c r="B62" s="1108">
        <v>3</v>
      </c>
      <c r="C62" s="1108">
        <v>2</v>
      </c>
      <c r="D62" s="1108">
        <v>2</v>
      </c>
      <c r="E62" s="1108">
        <v>2</v>
      </c>
      <c r="F62" s="1108">
        <v>2</v>
      </c>
      <c r="G62" s="1108">
        <v>2</v>
      </c>
      <c r="H62" s="1108">
        <v>2</v>
      </c>
    </row>
    <row r="63" spans="1:13" hidden="1" x14ac:dyDescent="0.2">
      <c r="A63" s="380" t="s">
        <v>35</v>
      </c>
      <c r="B63" s="1108">
        <v>3</v>
      </c>
      <c r="C63" s="1108">
        <f t="shared" ref="C63:H63" si="1">SUM(C60:C62)</f>
        <v>9</v>
      </c>
      <c r="D63" s="1108">
        <f t="shared" si="1"/>
        <v>9</v>
      </c>
      <c r="E63" s="1108">
        <f t="shared" si="1"/>
        <v>9</v>
      </c>
      <c r="F63" s="1108">
        <f t="shared" si="1"/>
        <v>9</v>
      </c>
      <c r="G63" s="1108">
        <f t="shared" si="1"/>
        <v>9</v>
      </c>
      <c r="H63" s="1108">
        <f t="shared" si="1"/>
        <v>6</v>
      </c>
    </row>
    <row r="64" spans="1:13" hidden="1" x14ac:dyDescent="0.2">
      <c r="B64" s="1108">
        <v>2</v>
      </c>
    </row>
    <row r="65" spans="1:10" hidden="1" x14ac:dyDescent="0.2">
      <c r="B65" s="1108">
        <f>SUM(B62:B64)</f>
        <v>8</v>
      </c>
    </row>
    <row r="66" spans="1:10" hidden="1" x14ac:dyDescent="0.2">
      <c r="I66" s="1108">
        <f>SUM(B65:H65)</f>
        <v>8</v>
      </c>
      <c r="J66" s="380" t="s">
        <v>275</v>
      </c>
    </row>
    <row r="67" spans="1:10" hidden="1" x14ac:dyDescent="0.2">
      <c r="C67" s="1312" t="s">
        <v>263</v>
      </c>
      <c r="D67" s="1312" t="s">
        <v>264</v>
      </c>
      <c r="E67" s="1312" t="s">
        <v>265</v>
      </c>
      <c r="F67" s="1312" t="s">
        <v>266</v>
      </c>
      <c r="G67" s="1312" t="s">
        <v>267</v>
      </c>
      <c r="H67" s="1312" t="s">
        <v>262</v>
      </c>
      <c r="I67" s="1108">
        <f>I66*8</f>
        <v>64</v>
      </c>
      <c r="J67" s="380" t="s">
        <v>276</v>
      </c>
    </row>
    <row r="68" spans="1:10" hidden="1" x14ac:dyDescent="0.2">
      <c r="B68" s="380" t="s">
        <v>278</v>
      </c>
      <c r="C68" s="1108">
        <v>5.5</v>
      </c>
      <c r="D68" s="1108">
        <v>5.5</v>
      </c>
      <c r="E68" s="1108">
        <v>5.5</v>
      </c>
      <c r="F68" s="1108">
        <v>5.5</v>
      </c>
      <c r="G68" s="1108">
        <v>6</v>
      </c>
      <c r="H68" s="1108">
        <v>6</v>
      </c>
      <c r="I68" s="1315">
        <f>I67/40</f>
        <v>1.6</v>
      </c>
      <c r="J68" s="380" t="s">
        <v>277</v>
      </c>
    </row>
    <row r="69" spans="1:10" hidden="1" x14ac:dyDescent="0.2">
      <c r="A69" s="380" t="s">
        <v>4</v>
      </c>
      <c r="B69" s="1312" t="s">
        <v>262</v>
      </c>
    </row>
    <row r="70" spans="1:10" hidden="1" x14ac:dyDescent="0.2">
      <c r="B70" s="1108">
        <v>6</v>
      </c>
      <c r="C70" s="1312"/>
      <c r="D70" s="1312"/>
      <c r="E70" s="1312"/>
      <c r="F70" s="1312"/>
      <c r="G70" s="1312"/>
      <c r="H70" s="1312"/>
    </row>
    <row r="71" spans="1:10" hidden="1" x14ac:dyDescent="0.2">
      <c r="I71" s="380">
        <f>SUM(B70:H70)</f>
        <v>6</v>
      </c>
      <c r="J71" s="380" t="s">
        <v>279</v>
      </c>
    </row>
    <row r="72" spans="1:10" hidden="1" x14ac:dyDescent="0.2">
      <c r="B72" s="1312"/>
      <c r="I72" s="1132">
        <f>I71/40</f>
        <v>0.15</v>
      </c>
      <c r="J72" s="380" t="s">
        <v>281</v>
      </c>
    </row>
    <row r="73" spans="1:10" hidden="1" x14ac:dyDescent="0.2"/>
    <row r="74" spans="1:10" hidden="1" x14ac:dyDescent="0.2"/>
    <row r="75" spans="1:10" hidden="1" x14ac:dyDescent="0.2"/>
    <row r="76" spans="1:10" hidden="1" x14ac:dyDescent="0.2"/>
    <row r="77" spans="1:10" hidden="1" x14ac:dyDescent="0.2"/>
    <row r="78" spans="1:10" hidden="1" x14ac:dyDescent="0.2"/>
    <row r="81" spans="9:12" x14ac:dyDescent="0.2">
      <c r="I81" s="1173"/>
      <c r="J81" s="1173"/>
      <c r="K81" s="1173"/>
      <c r="L81" s="1341"/>
    </row>
    <row r="82" spans="9:12" x14ac:dyDescent="0.2">
      <c r="I82" s="1173"/>
      <c r="J82" s="1173"/>
      <c r="K82" s="1173"/>
      <c r="L82" s="1341"/>
    </row>
    <row r="83" spans="9:12" x14ac:dyDescent="0.2">
      <c r="I83" s="1173"/>
      <c r="J83" s="1173"/>
      <c r="K83" s="1173"/>
      <c r="L83" s="1341"/>
    </row>
    <row r="84" spans="9:12" x14ac:dyDescent="0.2">
      <c r="I84" s="1173"/>
      <c r="J84" s="1173"/>
      <c r="K84" s="1173"/>
      <c r="L84" s="1341"/>
    </row>
    <row r="85" spans="9:12" x14ac:dyDescent="0.2">
      <c r="I85" s="1173"/>
      <c r="J85" s="1173"/>
      <c r="K85" s="1173"/>
      <c r="L85" s="1341"/>
    </row>
    <row r="86" spans="9:12" x14ac:dyDescent="0.2">
      <c r="I86" s="1173"/>
      <c r="J86" s="1173"/>
      <c r="K86" s="1173"/>
      <c r="L86" s="1341"/>
    </row>
    <row r="87" spans="9:12" x14ac:dyDescent="0.2">
      <c r="I87" s="1173"/>
      <c r="J87" s="1173"/>
      <c r="K87" s="1173"/>
      <c r="L87" s="1341"/>
    </row>
    <row r="88" spans="9:12" x14ac:dyDescent="0.2">
      <c r="I88" s="1173"/>
      <c r="J88" s="1173"/>
      <c r="K88" s="1173"/>
      <c r="L88" s="1341"/>
    </row>
    <row r="89" spans="9:12" x14ac:dyDescent="0.2">
      <c r="I89" s="1173"/>
      <c r="J89" s="1173"/>
      <c r="K89" s="1173"/>
      <c r="L89" s="1341"/>
    </row>
  </sheetData>
  <mergeCells count="5">
    <mergeCell ref="C3:G4"/>
    <mergeCell ref="I3:K3"/>
    <mergeCell ref="I12:K12"/>
    <mergeCell ref="I28:K28"/>
    <mergeCell ref="I44:K44"/>
  </mergeCells>
  <pageMargins left="0.25" right="0.25" top="0.25" bottom="0.25" header="0.05" footer="0.05"/>
  <pageSetup paperSize="5" scale="63" orientation="landscape" r:id="rId1"/>
  <headerFooter>
    <oddFooter>&amp;R&amp;F
&amp;A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44"/>
  <sheetViews>
    <sheetView zoomScaleNormal="100" workbookViewId="0">
      <selection activeCell="N31" sqref="N31"/>
    </sheetView>
  </sheetViews>
  <sheetFormatPr defaultRowHeight="12.75" x14ac:dyDescent="0.2"/>
  <cols>
    <col min="1" max="1" width="38.42578125" style="1343" customWidth="1"/>
    <col min="2" max="2" width="16.28515625" style="1342" customWidth="1"/>
    <col min="3" max="3" width="13.28515625" style="1418" customWidth="1"/>
    <col min="4" max="4" width="15.140625" style="1342" bestFit="1" customWidth="1"/>
    <col min="5" max="7" width="15.140625" style="1342" customWidth="1"/>
    <col min="8" max="8" width="17.7109375" style="1342" customWidth="1"/>
    <col min="9" max="9" width="17.140625" style="1342" customWidth="1"/>
    <col min="10" max="10" width="15.140625" style="1342" customWidth="1"/>
    <col min="11" max="11" width="17.7109375" style="1342" customWidth="1"/>
    <col min="12" max="12" width="15" style="1342" bestFit="1" customWidth="1"/>
    <col min="13" max="13" width="22.5703125" style="1342" customWidth="1"/>
    <col min="14" max="14" width="17.42578125" style="1342" customWidth="1"/>
    <col min="15" max="15" width="38.5703125" style="1343" customWidth="1"/>
    <col min="16" max="16" width="1.28515625" style="1343" customWidth="1"/>
    <col min="17" max="17" width="14.7109375" style="1343" customWidth="1"/>
    <col min="18" max="18" width="12" style="1343" bestFit="1" customWidth="1"/>
    <col min="19" max="19" width="9.140625" style="1343"/>
    <col min="20" max="20" width="8.85546875" style="1343" customWidth="1"/>
    <col min="21" max="22" width="9.140625" style="1343"/>
    <col min="23" max="24" width="10" style="1343" bestFit="1" customWidth="1"/>
    <col min="25" max="16384" width="9.140625" style="1343"/>
  </cols>
  <sheetData>
    <row r="1" spans="1:20" ht="13.5" thickBot="1" x14ac:dyDescent="0.25">
      <c r="A1" s="1183" t="s">
        <v>37</v>
      </c>
      <c r="B1" s="1183"/>
      <c r="C1" s="1183"/>
      <c r="D1" s="1183"/>
      <c r="E1" s="1183"/>
      <c r="F1" s="1183"/>
      <c r="G1" s="1183"/>
      <c r="H1" s="1183"/>
      <c r="I1" s="1183"/>
      <c r="J1" s="1183"/>
      <c r="K1" s="1183"/>
      <c r="L1" s="1183"/>
      <c r="M1" s="1183"/>
    </row>
    <row r="2" spans="1:20" ht="64.5" thickBot="1" x14ac:dyDescent="0.25">
      <c r="A2" s="383"/>
      <c r="B2" s="1344" t="s">
        <v>18</v>
      </c>
      <c r="C2" s="1345" t="s">
        <v>38</v>
      </c>
      <c r="D2" s="1345" t="s">
        <v>39</v>
      </c>
      <c r="E2" s="1345" t="s">
        <v>40</v>
      </c>
      <c r="F2" s="1345" t="s">
        <v>373</v>
      </c>
      <c r="G2" s="1345" t="s">
        <v>369</v>
      </c>
      <c r="H2" s="1346" t="s">
        <v>16</v>
      </c>
      <c r="I2" s="1346" t="s">
        <v>42</v>
      </c>
      <c r="J2" s="1345" t="s">
        <v>368</v>
      </c>
      <c r="K2" s="1345" t="s">
        <v>44</v>
      </c>
      <c r="L2" s="2119" t="s">
        <v>45</v>
      </c>
      <c r="M2" s="2120"/>
    </row>
    <row r="3" spans="1:20" s="1342" customFormat="1" x14ac:dyDescent="0.2">
      <c r="A3" s="1347" t="s">
        <v>5</v>
      </c>
      <c r="B3" s="1348">
        <f>'M2023 BLS Chart'!C6</f>
        <v>43247.567999999999</v>
      </c>
      <c r="C3" s="1348">
        <f>'M2023 BLS Chart'!C10</f>
        <v>44549.439999999995</v>
      </c>
      <c r="D3" s="1348">
        <f>'M2023 BLS Chart'!C8</f>
        <v>56217.241600000001</v>
      </c>
      <c r="E3" s="1348">
        <f>'M2023 BLS Chart'!C24</f>
        <v>82681.040000000008</v>
      </c>
      <c r="F3" s="1348">
        <f>'M2023 BLS Chart'!C53</f>
        <v>75624.640000000014</v>
      </c>
      <c r="G3" s="1348">
        <f>'M2023 BLS Chart'!C14</f>
        <v>70211.44</v>
      </c>
      <c r="H3" s="1348">
        <f>'M2023 BLS Chart'!C16</f>
        <v>73854.144</v>
      </c>
      <c r="I3" s="1348">
        <f>'M2023 BLS Chart'!C32</f>
        <v>103622.27200000001</v>
      </c>
      <c r="J3" s="1348">
        <f>'M2023 BLS Chart'!C18</f>
        <v>83639.712</v>
      </c>
      <c r="K3" s="1348">
        <f>'M2023 BLS Chart'!C12</f>
        <v>64438.399999999994</v>
      </c>
      <c r="L3" s="2121" t="s">
        <v>2325</v>
      </c>
      <c r="M3" s="2122"/>
      <c r="O3" s="1343"/>
      <c r="P3" s="1343"/>
      <c r="Q3" s="1343"/>
      <c r="R3" s="1343"/>
      <c r="S3" s="1343"/>
      <c r="T3" s="1343"/>
    </row>
    <row r="4" spans="1:20" s="1342" customFormat="1" x14ac:dyDescent="0.2">
      <c r="A4" s="1349" t="s">
        <v>46</v>
      </c>
      <c r="B4" s="1350">
        <f>'M2023 BLS Chart'!C38</f>
        <v>0.24970000000000001</v>
      </c>
      <c r="C4" s="1350">
        <f>$B$4</f>
        <v>0.24970000000000001</v>
      </c>
      <c r="D4" s="1350">
        <f t="shared" ref="D4:K4" si="0">$B$4</f>
        <v>0.24970000000000001</v>
      </c>
      <c r="E4" s="1350">
        <f t="shared" si="0"/>
        <v>0.24970000000000001</v>
      </c>
      <c r="F4" s="1350">
        <f t="shared" si="0"/>
        <v>0.24970000000000001</v>
      </c>
      <c r="G4" s="1350">
        <f t="shared" si="0"/>
        <v>0.24970000000000001</v>
      </c>
      <c r="H4" s="1350">
        <f t="shared" si="0"/>
        <v>0.24970000000000001</v>
      </c>
      <c r="I4" s="1350">
        <f t="shared" si="0"/>
        <v>0.24970000000000001</v>
      </c>
      <c r="J4" s="1350">
        <f t="shared" si="0"/>
        <v>0.24970000000000001</v>
      </c>
      <c r="K4" s="1350">
        <f t="shared" si="0"/>
        <v>0.24970000000000001</v>
      </c>
      <c r="L4" s="2123" t="s">
        <v>2317</v>
      </c>
      <c r="M4" s="2124"/>
      <c r="O4" s="1343"/>
      <c r="P4" s="1343"/>
      <c r="Q4" s="1343"/>
      <c r="R4" s="1343"/>
      <c r="S4" s="1343"/>
      <c r="T4" s="1343"/>
    </row>
    <row r="5" spans="1:20" s="1342" customFormat="1" x14ac:dyDescent="0.2">
      <c r="A5" s="1349" t="s">
        <v>47</v>
      </c>
      <c r="B5" s="1351">
        <f>B3*B4</f>
        <v>10798.9177296</v>
      </c>
      <c r="C5" s="1351">
        <f t="shared" ref="C5:K5" si="1">C3*C4</f>
        <v>11123.995167999999</v>
      </c>
      <c r="D5" s="1351">
        <f t="shared" si="1"/>
        <v>14037.44522752</v>
      </c>
      <c r="E5" s="1351">
        <f t="shared" si="1"/>
        <v>20645.455688000002</v>
      </c>
      <c r="F5" s="1351">
        <f>F3*F4</f>
        <v>18883.472608000004</v>
      </c>
      <c r="G5" s="1351">
        <f t="shared" si="1"/>
        <v>17531.796568000002</v>
      </c>
      <c r="H5" s="1351">
        <f t="shared" si="1"/>
        <v>18441.379756800001</v>
      </c>
      <c r="I5" s="1351">
        <f t="shared" si="1"/>
        <v>25874.481318400005</v>
      </c>
      <c r="J5" s="1351">
        <f t="shared" si="1"/>
        <v>20884.836086399999</v>
      </c>
      <c r="K5" s="1351">
        <f t="shared" si="1"/>
        <v>16090.268479999999</v>
      </c>
      <c r="L5" s="384"/>
      <c r="M5" s="1352"/>
      <c r="O5" s="1343"/>
      <c r="P5" s="1343"/>
      <c r="Q5" s="1343"/>
      <c r="R5" s="1343"/>
      <c r="S5" s="1343"/>
      <c r="T5" s="1343"/>
    </row>
    <row r="6" spans="1:20" s="1342" customFormat="1" x14ac:dyDescent="0.2">
      <c r="A6" s="1349" t="s">
        <v>49</v>
      </c>
      <c r="B6" s="1351">
        <f>B3+B5</f>
        <v>54046.485729599997</v>
      </c>
      <c r="C6" s="1351">
        <f t="shared" ref="C6:K6" si="2">C3+C5</f>
        <v>55673.435167999996</v>
      </c>
      <c r="D6" s="1351">
        <f t="shared" si="2"/>
        <v>70254.686827519996</v>
      </c>
      <c r="E6" s="1351">
        <f t="shared" si="2"/>
        <v>103326.49568800001</v>
      </c>
      <c r="F6" s="1351">
        <f t="shared" si="2"/>
        <v>94508.112608000025</v>
      </c>
      <c r="G6" s="1351">
        <f t="shared" si="2"/>
        <v>87743.236568000008</v>
      </c>
      <c r="H6" s="1351">
        <f t="shared" si="2"/>
        <v>92295.523756800001</v>
      </c>
      <c r="I6" s="1351">
        <f t="shared" si="2"/>
        <v>129496.75331840002</v>
      </c>
      <c r="J6" s="1351">
        <f t="shared" si="2"/>
        <v>104524.5480864</v>
      </c>
      <c r="K6" s="1351">
        <f t="shared" si="2"/>
        <v>80528.668479999993</v>
      </c>
      <c r="L6" s="383"/>
      <c r="M6" s="736"/>
      <c r="O6" s="1343"/>
      <c r="P6" s="1343"/>
      <c r="Q6" s="1343"/>
      <c r="R6" s="1343"/>
      <c r="S6" s="1343"/>
      <c r="T6" s="1343"/>
    </row>
    <row r="7" spans="1:20" ht="13.5" thickBot="1" x14ac:dyDescent="0.25">
      <c r="A7" s="1349" t="s">
        <v>36</v>
      </c>
      <c r="B7" s="1353">
        <f t="shared" ref="B7:K7" si="3">B6*$O$21</f>
        <v>1759.1868681659998</v>
      </c>
      <c r="C7" s="1353">
        <f t="shared" si="3"/>
        <v>1812.1432824187737</v>
      </c>
      <c r="D7" s="1353">
        <f t="shared" si="3"/>
        <v>2286.7559439928591</v>
      </c>
      <c r="E7" s="1353">
        <f t="shared" si="3"/>
        <v>3363.2272643471601</v>
      </c>
      <c r="F7" s="1353">
        <f t="shared" si="3"/>
        <v>3076.1931768690724</v>
      </c>
      <c r="G7" s="1353">
        <f t="shared" si="3"/>
        <v>2855.9997464603102</v>
      </c>
      <c r="H7" s="1353">
        <f t="shared" si="3"/>
        <v>3004.1744840875394</v>
      </c>
      <c r="I7" s="1353">
        <f t="shared" si="3"/>
        <v>4215.0564432183892</v>
      </c>
      <c r="J7" s="1353">
        <f t="shared" si="3"/>
        <v>3402.2232881993782</v>
      </c>
      <c r="K7" s="1353">
        <f t="shared" si="3"/>
        <v>2621.1690582376323</v>
      </c>
      <c r="L7" s="1354">
        <f>O21</f>
        <v>3.2549514448865162E-2</v>
      </c>
      <c r="M7" s="1355"/>
    </row>
    <row r="8" spans="1:20" ht="14.25" thickTop="1" thickBot="1" x14ac:dyDescent="0.25">
      <c r="A8" s="1356" t="s">
        <v>721</v>
      </c>
      <c r="B8" s="1357">
        <f>SUM(B6+B7)/12</f>
        <v>4650.4727164804999</v>
      </c>
      <c r="C8" s="1357">
        <f t="shared" ref="C8:K8" si="4">SUM(C6+C7)/12</f>
        <v>4790.4648708682307</v>
      </c>
      <c r="D8" s="1357">
        <f t="shared" si="4"/>
        <v>6045.1202309594046</v>
      </c>
      <c r="E8" s="1357">
        <f t="shared" si="4"/>
        <v>8890.8102460289319</v>
      </c>
      <c r="F8" s="1357">
        <f>SUM(F6+F7)/12</f>
        <v>8132.0254820724249</v>
      </c>
      <c r="G8" s="1357">
        <f t="shared" si="4"/>
        <v>7549.9363595383593</v>
      </c>
      <c r="H8" s="1357">
        <f t="shared" si="4"/>
        <v>7941.6415200739611</v>
      </c>
      <c r="I8" s="1357">
        <f t="shared" si="4"/>
        <v>11142.650813468201</v>
      </c>
      <c r="J8" s="1357">
        <f t="shared" si="4"/>
        <v>8993.8976145499491</v>
      </c>
      <c r="K8" s="1357">
        <f t="shared" si="4"/>
        <v>6929.1531281864691</v>
      </c>
      <c r="L8" s="734"/>
      <c r="M8" s="1358"/>
    </row>
    <row r="9" spans="1:20" ht="13.5" thickBot="1" x14ac:dyDescent="0.25">
      <c r="A9" s="1356" t="s">
        <v>722</v>
      </c>
      <c r="B9" s="1357">
        <f>B8*0.75</f>
        <v>3487.8545373603747</v>
      </c>
      <c r="C9" s="1357">
        <f t="shared" ref="C9:K9" si="5">C8*0.75</f>
        <v>3592.848653151173</v>
      </c>
      <c r="D9" s="1357">
        <f t="shared" si="5"/>
        <v>4533.8401732195534</v>
      </c>
      <c r="E9" s="1357">
        <f t="shared" si="5"/>
        <v>6668.1076845216994</v>
      </c>
      <c r="F9" s="1357">
        <f>F8*0.75</f>
        <v>6099.0191115543184</v>
      </c>
      <c r="G9" s="1357">
        <f t="shared" si="5"/>
        <v>5662.4522696537697</v>
      </c>
      <c r="H9" s="1357">
        <f t="shared" si="5"/>
        <v>5956.2311400554709</v>
      </c>
      <c r="I9" s="1357">
        <f t="shared" si="5"/>
        <v>8356.9881101011506</v>
      </c>
      <c r="J9" s="1357">
        <f t="shared" si="5"/>
        <v>6745.4232109124623</v>
      </c>
      <c r="K9" s="1357">
        <f t="shared" si="5"/>
        <v>5196.8648461398516</v>
      </c>
      <c r="L9" s="734"/>
      <c r="M9" s="1358"/>
    </row>
    <row r="10" spans="1:20" ht="13.5" thickBot="1" x14ac:dyDescent="0.25">
      <c r="A10" s="1356" t="s">
        <v>723</v>
      </c>
      <c r="B10" s="1357">
        <f>B8*0.5</f>
        <v>2325.23635824025</v>
      </c>
      <c r="C10" s="1357">
        <f t="shared" ref="C10:K10" si="6">C8*0.5</f>
        <v>2395.2324354341154</v>
      </c>
      <c r="D10" s="1357">
        <f t="shared" si="6"/>
        <v>3022.5601154797023</v>
      </c>
      <c r="E10" s="1357">
        <f t="shared" si="6"/>
        <v>4445.405123014466</v>
      </c>
      <c r="F10" s="1357">
        <f>F8*0.5</f>
        <v>4066.0127410362124</v>
      </c>
      <c r="G10" s="1357">
        <f t="shared" si="6"/>
        <v>3774.9681797691796</v>
      </c>
      <c r="H10" s="1357">
        <f t="shared" si="6"/>
        <v>3970.8207600369806</v>
      </c>
      <c r="I10" s="1357">
        <f t="shared" si="6"/>
        <v>5571.3254067341004</v>
      </c>
      <c r="J10" s="1357">
        <f t="shared" si="6"/>
        <v>4496.9488072749746</v>
      </c>
      <c r="K10" s="1357">
        <f t="shared" si="6"/>
        <v>3464.5765640932345</v>
      </c>
      <c r="L10" s="734"/>
      <c r="M10" s="1358"/>
    </row>
    <row r="11" spans="1:20" ht="13.5" thickBot="1" x14ac:dyDescent="0.25">
      <c r="A11" s="1356" t="s">
        <v>724</v>
      </c>
      <c r="B11" s="1357">
        <f>B8*0.25</f>
        <v>1162.618179120125</v>
      </c>
      <c r="C11" s="1357">
        <f t="shared" ref="C11:K11" si="7">C8*0.25</f>
        <v>1197.6162177170577</v>
      </c>
      <c r="D11" s="1357">
        <f t="shared" si="7"/>
        <v>1511.2800577398511</v>
      </c>
      <c r="E11" s="1357">
        <f t="shared" si="7"/>
        <v>2222.702561507233</v>
      </c>
      <c r="F11" s="1357">
        <f>F8*0.25</f>
        <v>2033.0063705181062</v>
      </c>
      <c r="G11" s="1357">
        <f t="shared" si="7"/>
        <v>1887.4840898845898</v>
      </c>
      <c r="H11" s="1357">
        <f t="shared" si="7"/>
        <v>1985.4103800184903</v>
      </c>
      <c r="I11" s="1357">
        <f t="shared" si="7"/>
        <v>2785.6627033670502</v>
      </c>
      <c r="J11" s="1357">
        <f t="shared" si="7"/>
        <v>2248.4744036374873</v>
      </c>
      <c r="K11" s="1357">
        <f t="shared" si="7"/>
        <v>1732.2882820466173</v>
      </c>
      <c r="L11" s="734"/>
      <c r="M11" s="1358"/>
    </row>
    <row r="12" spans="1:20" x14ac:dyDescent="0.2">
      <c r="A12" s="1359" t="s">
        <v>611</v>
      </c>
      <c r="B12" s="1360">
        <f>(B8-B13)/B13</f>
        <v>9.5775852139608833E-2</v>
      </c>
      <c r="C12" s="1360">
        <f t="shared" ref="C12:K12" si="8">(C8-C13)/C13</f>
        <v>0.19076929427497658</v>
      </c>
      <c r="D12" s="1360">
        <f t="shared" si="8"/>
        <v>0.11636569362131202</v>
      </c>
      <c r="E12" s="1360">
        <f t="shared" si="8"/>
        <v>2.9744063704995591E-2</v>
      </c>
      <c r="F12" s="1360">
        <f t="shared" si="8"/>
        <v>0.13941789016007075</v>
      </c>
      <c r="G12" s="1360">
        <f t="shared" si="8"/>
        <v>0.10556982860424063</v>
      </c>
      <c r="H12" s="1360">
        <f t="shared" si="8"/>
        <v>0.22235516701153782</v>
      </c>
      <c r="I12" s="1360">
        <f t="shared" si="8"/>
        <v>5.8885376172973562E-2</v>
      </c>
      <c r="J12" s="1360">
        <f t="shared" si="8"/>
        <v>0.14455301788622413</v>
      </c>
      <c r="K12" s="1360">
        <f t="shared" si="8"/>
        <v>0.27187098534993925</v>
      </c>
    </row>
    <row r="13" spans="1:20" ht="13.5" thickBot="1" x14ac:dyDescent="0.25">
      <c r="A13" s="1361" t="s">
        <v>419</v>
      </c>
      <c r="B13" s="1362">
        <v>4244</v>
      </c>
      <c r="C13" s="1362">
        <v>4023</v>
      </c>
      <c r="D13" s="1362">
        <v>5415</v>
      </c>
      <c r="E13" s="1362">
        <v>8634</v>
      </c>
      <c r="F13" s="1362">
        <v>7137</v>
      </c>
      <c r="G13" s="1362">
        <v>6829</v>
      </c>
      <c r="H13" s="1362">
        <v>6497</v>
      </c>
      <c r="I13" s="1362">
        <v>10523</v>
      </c>
      <c r="J13" s="1362">
        <v>7858</v>
      </c>
      <c r="K13" s="1362">
        <v>5448</v>
      </c>
      <c r="L13" s="1363"/>
      <c r="M13" s="1363"/>
      <c r="N13" s="1363"/>
      <c r="O13" s="1364"/>
      <c r="P13" s="1364"/>
    </row>
    <row r="14" spans="1:20" ht="13.5" thickBot="1" x14ac:dyDescent="0.25">
      <c r="A14" s="2127"/>
      <c r="B14" s="2128"/>
      <c r="C14" s="2128"/>
      <c r="D14" s="2128"/>
      <c r="E14" s="2128"/>
      <c r="F14" s="2128"/>
      <c r="G14" s="2128"/>
      <c r="H14" s="2128"/>
      <c r="I14" s="2128"/>
      <c r="J14" s="2128"/>
      <c r="K14" s="2128"/>
      <c r="L14" s="2128"/>
      <c r="M14" s="2128"/>
      <c r="N14" s="1364"/>
      <c r="O14" s="1364"/>
      <c r="P14" s="1364"/>
    </row>
    <row r="15" spans="1:20" ht="15" customHeight="1" thickBot="1" x14ac:dyDescent="0.25">
      <c r="A15" s="1364"/>
      <c r="B15" s="1348"/>
      <c r="C15" s="1348"/>
      <c r="D15" s="1348"/>
      <c r="E15" s="1348"/>
      <c r="F15" s="1348"/>
      <c r="G15" s="1348"/>
      <c r="H15" s="1348"/>
      <c r="I15" s="1348"/>
      <c r="J15" s="1348"/>
      <c r="K15" s="1348"/>
      <c r="L15" s="1364"/>
      <c r="M15" s="1364"/>
      <c r="N15" s="1343"/>
    </row>
    <row r="16" spans="1:20" ht="51.75" thickBot="1" x14ac:dyDescent="0.25">
      <c r="A16" s="383"/>
      <c r="B16" s="1365" t="s">
        <v>18</v>
      </c>
      <c r="C16" s="1366" t="s">
        <v>38</v>
      </c>
      <c r="D16" s="1366" t="s">
        <v>39</v>
      </c>
      <c r="E16" s="1366" t="s">
        <v>569</v>
      </c>
      <c r="F16" s="1366" t="s">
        <v>570</v>
      </c>
      <c r="G16" s="1366" t="s">
        <v>41</v>
      </c>
      <c r="H16" s="1367" t="s">
        <v>16</v>
      </c>
      <c r="I16" s="1367" t="s">
        <v>42</v>
      </c>
      <c r="J16" s="1366" t="s">
        <v>43</v>
      </c>
      <c r="K16" s="1366" t="s">
        <v>44</v>
      </c>
      <c r="L16" s="1366" t="s">
        <v>50</v>
      </c>
      <c r="M16" s="1366" t="s">
        <v>51</v>
      </c>
      <c r="N16" s="1366" t="s">
        <v>2308</v>
      </c>
      <c r="O16" s="2129" t="s">
        <v>45</v>
      </c>
      <c r="P16" s="2130"/>
    </row>
    <row r="17" spans="1:19" x14ac:dyDescent="0.2">
      <c r="A17" s="1347" t="s">
        <v>5</v>
      </c>
      <c r="B17" s="1348">
        <f t="shared" ref="B17:K17" si="9">B3</f>
        <v>43247.567999999999</v>
      </c>
      <c r="C17" s="1348">
        <f t="shared" si="9"/>
        <v>44549.439999999995</v>
      </c>
      <c r="D17" s="1348">
        <f t="shared" si="9"/>
        <v>56217.241600000001</v>
      </c>
      <c r="E17" s="1348">
        <f t="shared" si="9"/>
        <v>82681.040000000008</v>
      </c>
      <c r="F17" s="1348">
        <f t="shared" si="9"/>
        <v>75624.640000000014</v>
      </c>
      <c r="G17" s="1348">
        <f t="shared" si="9"/>
        <v>70211.44</v>
      </c>
      <c r="H17" s="1348">
        <f t="shared" si="9"/>
        <v>73854.144</v>
      </c>
      <c r="I17" s="1348">
        <f t="shared" si="9"/>
        <v>103622.27200000001</v>
      </c>
      <c r="J17" s="1348">
        <f t="shared" si="9"/>
        <v>83639.712</v>
      </c>
      <c r="K17" s="1348">
        <f t="shared" si="9"/>
        <v>64438.399999999994</v>
      </c>
      <c r="L17" s="1348">
        <f>'M2023 BLS Chart'!C34</f>
        <v>140838.46400000001</v>
      </c>
      <c r="M17" s="1348">
        <f>('M2023 BLS Chart'!C44*75%)+('M2023 BLS Chart'!C28*25%)</f>
        <v>211054.10800000001</v>
      </c>
      <c r="N17" s="1348">
        <f>'M2023 BLS Chart'!C44</f>
        <v>247470</v>
      </c>
      <c r="O17" s="2121" t="s">
        <v>2326</v>
      </c>
      <c r="P17" s="2122"/>
    </row>
    <row r="18" spans="1:19" x14ac:dyDescent="0.2">
      <c r="A18" s="1349" t="s">
        <v>46</v>
      </c>
      <c r="B18" s="1350">
        <f t="shared" ref="B18:K18" si="10">B4</f>
        <v>0.24970000000000001</v>
      </c>
      <c r="C18" s="1350">
        <f t="shared" si="10"/>
        <v>0.24970000000000001</v>
      </c>
      <c r="D18" s="1350">
        <f t="shared" si="10"/>
        <v>0.24970000000000001</v>
      </c>
      <c r="E18" s="1350">
        <f t="shared" si="10"/>
        <v>0.24970000000000001</v>
      </c>
      <c r="F18" s="1350">
        <f t="shared" si="10"/>
        <v>0.24970000000000001</v>
      </c>
      <c r="G18" s="1350">
        <f t="shared" si="10"/>
        <v>0.24970000000000001</v>
      </c>
      <c r="H18" s="1350">
        <f t="shared" si="10"/>
        <v>0.24970000000000001</v>
      </c>
      <c r="I18" s="1350">
        <f t="shared" si="10"/>
        <v>0.24970000000000001</v>
      </c>
      <c r="J18" s="1350">
        <f t="shared" si="10"/>
        <v>0.24970000000000001</v>
      </c>
      <c r="K18" s="1350">
        <f t="shared" si="10"/>
        <v>0.24970000000000001</v>
      </c>
      <c r="L18" s="1350">
        <f>K18</f>
        <v>0.24970000000000001</v>
      </c>
      <c r="M18" s="1350">
        <f>L18</f>
        <v>0.24970000000000001</v>
      </c>
      <c r="N18" s="1350">
        <f>M18</f>
        <v>0.24970000000000001</v>
      </c>
      <c r="O18" s="2123" t="str">
        <f>L4</f>
        <v>Commonwealth FY25 Rate</v>
      </c>
      <c r="P18" s="2124"/>
    </row>
    <row r="19" spans="1:19" x14ac:dyDescent="0.2">
      <c r="A19" s="1349" t="s">
        <v>47</v>
      </c>
      <c r="B19" s="1351">
        <f t="shared" ref="B19:M19" si="11">B17*B18</f>
        <v>10798.9177296</v>
      </c>
      <c r="C19" s="1351">
        <f t="shared" si="11"/>
        <v>11123.995167999999</v>
      </c>
      <c r="D19" s="1351">
        <f t="shared" si="11"/>
        <v>14037.44522752</v>
      </c>
      <c r="E19" s="1351">
        <f t="shared" si="11"/>
        <v>20645.455688000002</v>
      </c>
      <c r="F19" s="1351">
        <f>F17*F18</f>
        <v>18883.472608000004</v>
      </c>
      <c r="G19" s="1351">
        <f t="shared" si="11"/>
        <v>17531.796568000002</v>
      </c>
      <c r="H19" s="1351">
        <f t="shared" si="11"/>
        <v>18441.379756800001</v>
      </c>
      <c r="I19" s="1351">
        <f t="shared" si="11"/>
        <v>25874.481318400005</v>
      </c>
      <c r="J19" s="1351">
        <f t="shared" si="11"/>
        <v>20884.836086399999</v>
      </c>
      <c r="K19" s="1351">
        <f t="shared" si="11"/>
        <v>16090.268479999999</v>
      </c>
      <c r="L19" s="1351">
        <f t="shared" si="11"/>
        <v>35167.364460800003</v>
      </c>
      <c r="M19" s="1351">
        <f t="shared" si="11"/>
        <v>52700.210767600001</v>
      </c>
      <c r="N19" s="1351">
        <f>N17*N18</f>
        <v>61793.258999999998</v>
      </c>
      <c r="O19" s="2125"/>
      <c r="P19" s="2126"/>
      <c r="S19" s="1368"/>
    </row>
    <row r="20" spans="1:19" x14ac:dyDescent="0.2">
      <c r="A20" s="1349" t="s">
        <v>49</v>
      </c>
      <c r="B20" s="1351">
        <f>B17+B19</f>
        <v>54046.485729599997</v>
      </c>
      <c r="C20" s="1351">
        <f t="shared" ref="C20:M20" si="12">C17+C19</f>
        <v>55673.435167999996</v>
      </c>
      <c r="D20" s="1351">
        <f t="shared" si="12"/>
        <v>70254.686827519996</v>
      </c>
      <c r="E20" s="1351">
        <f t="shared" si="12"/>
        <v>103326.49568800001</v>
      </c>
      <c r="F20" s="1351">
        <f t="shared" si="12"/>
        <v>94508.112608000025</v>
      </c>
      <c r="G20" s="1351">
        <f t="shared" si="12"/>
        <v>87743.236568000008</v>
      </c>
      <c r="H20" s="1351">
        <f t="shared" si="12"/>
        <v>92295.523756800001</v>
      </c>
      <c r="I20" s="1351">
        <f t="shared" si="12"/>
        <v>129496.75331840002</v>
      </c>
      <c r="J20" s="1351">
        <f t="shared" si="12"/>
        <v>104524.5480864</v>
      </c>
      <c r="K20" s="1351">
        <f t="shared" si="12"/>
        <v>80528.668479999993</v>
      </c>
      <c r="L20" s="1351">
        <f t="shared" si="12"/>
        <v>176005.8284608</v>
      </c>
      <c r="M20" s="1351">
        <f t="shared" si="12"/>
        <v>263754.31876759999</v>
      </c>
      <c r="N20" s="1351">
        <f>N17+N19</f>
        <v>309263.25900000002</v>
      </c>
      <c r="O20" s="383"/>
      <c r="P20" s="736"/>
    </row>
    <row r="21" spans="1:19" x14ac:dyDescent="0.2">
      <c r="A21" s="1349" t="s">
        <v>36</v>
      </c>
      <c r="B21" s="1351">
        <f t="shared" ref="B21:N21" si="13">B20*$O$21</f>
        <v>1759.1868681659998</v>
      </c>
      <c r="C21" s="1351">
        <f t="shared" si="13"/>
        <v>1812.1432824187737</v>
      </c>
      <c r="D21" s="1351">
        <f t="shared" si="13"/>
        <v>2286.7559439928591</v>
      </c>
      <c r="E21" s="1351">
        <f t="shared" si="13"/>
        <v>3363.2272643471601</v>
      </c>
      <c r="F21" s="1351">
        <f t="shared" si="13"/>
        <v>3076.1931768690724</v>
      </c>
      <c r="G21" s="1351">
        <f t="shared" si="13"/>
        <v>2855.9997464603102</v>
      </c>
      <c r="H21" s="1351">
        <f t="shared" si="13"/>
        <v>3004.1744840875394</v>
      </c>
      <c r="I21" s="1351">
        <f t="shared" si="13"/>
        <v>4215.0564432183892</v>
      </c>
      <c r="J21" s="1351">
        <f t="shared" si="13"/>
        <v>3402.2232881993782</v>
      </c>
      <c r="K21" s="1351">
        <f t="shared" si="13"/>
        <v>2621.1690582376323</v>
      </c>
      <c r="L21" s="1351">
        <f t="shared" si="13"/>
        <v>5728.9042565692926</v>
      </c>
      <c r="M21" s="1351">
        <f t="shared" si="13"/>
        <v>8585.0750096765842</v>
      </c>
      <c r="N21" s="1351">
        <f t="shared" si="13"/>
        <v>10066.368917323629</v>
      </c>
      <c r="O21" s="726">
        <f>'CAF Fall 2024'!CQ28</f>
        <v>3.2549514448865162E-2</v>
      </c>
      <c r="P21" s="1369"/>
    </row>
    <row r="22" spans="1:19" ht="13.5" thickBot="1" x14ac:dyDescent="0.25">
      <c r="A22" s="1349" t="s">
        <v>52</v>
      </c>
      <c r="B22" s="1370">
        <f>D35</f>
        <v>1952</v>
      </c>
      <c r="C22" s="1371">
        <f>$D$35</f>
        <v>1952</v>
      </c>
      <c r="D22" s="1371">
        <f>$D$35</f>
        <v>1952</v>
      </c>
      <c r="E22" s="1371">
        <f>M35</f>
        <v>1760</v>
      </c>
      <c r="F22" s="1371">
        <f>M35</f>
        <v>1760</v>
      </c>
      <c r="G22" s="1371">
        <f>M35</f>
        <v>1760</v>
      </c>
      <c r="H22" s="1371">
        <f t="shared" ref="H22:M22" si="14">$M$35</f>
        <v>1760</v>
      </c>
      <c r="I22" s="1371">
        <f t="shared" si="14"/>
        <v>1760</v>
      </c>
      <c r="J22" s="1371">
        <f t="shared" si="14"/>
        <v>1760</v>
      </c>
      <c r="K22" s="1371">
        <f t="shared" si="14"/>
        <v>1760</v>
      </c>
      <c r="L22" s="1371">
        <f t="shared" si="14"/>
        <v>1760</v>
      </c>
      <c r="M22" s="1371">
        <f t="shared" si="14"/>
        <v>1760</v>
      </c>
      <c r="N22" s="1353">
        <v>1760</v>
      </c>
      <c r="O22" s="726"/>
      <c r="P22" s="1369"/>
    </row>
    <row r="23" spans="1:19" ht="14.25" thickTop="1" thickBot="1" x14ac:dyDescent="0.25">
      <c r="A23" s="1356" t="s">
        <v>725</v>
      </c>
      <c r="B23" s="1372">
        <f>(B20+B21)/B22+0.01</f>
        <v>28.598971617707992</v>
      </c>
      <c r="C23" s="1372">
        <f>(C20+C21)/C22</f>
        <v>29.449579124189942</v>
      </c>
      <c r="D23" s="1372">
        <f>(D20+D21)/D22</f>
        <v>37.162624370652075</v>
      </c>
      <c r="E23" s="1372">
        <f>(E20+E21)/E22-0.01</f>
        <v>60.609160768379077</v>
      </c>
      <c r="F23" s="1372">
        <f>(F20+F21)/F22+0.02</f>
        <v>55.465628286857445</v>
      </c>
      <c r="G23" s="1372">
        <f>(G20+G21)/G22+0.01</f>
        <v>51.486838815034268</v>
      </c>
      <c r="H23" s="1372">
        <f>(H20+H21)/H22</f>
        <v>54.147555818686101</v>
      </c>
      <c r="I23" s="1372">
        <f>(I20+I21)/I22+0.02</f>
        <v>75.992619182737727</v>
      </c>
      <c r="J23" s="1372">
        <f>(J20+J21)/J22+0.02</f>
        <v>61.342029190113287</v>
      </c>
      <c r="K23" s="1372">
        <f>(K20+K21)/K22+0.02</f>
        <v>47.264225873998654</v>
      </c>
      <c r="L23" s="1372">
        <f>(L20+L21)/L22+0.01</f>
        <v>103.26837086214164</v>
      </c>
      <c r="M23" s="1372">
        <f>(M20+M21)/M22+0.02</f>
        <v>154.75829191890716</v>
      </c>
      <c r="N23" s="1372">
        <f>(N20+N21)/N22+0.02</f>
        <v>181.45728858938847</v>
      </c>
      <c r="O23" s="734"/>
      <c r="P23" s="1358"/>
    </row>
    <row r="24" spans="1:19" ht="13.5" hidden="1" thickBot="1" x14ac:dyDescent="0.25">
      <c r="A24" s="1373" t="s">
        <v>53</v>
      </c>
      <c r="B24" s="1374">
        <f>(B20+B21)/12</f>
        <v>4650.4727164804999</v>
      </c>
      <c r="C24" s="1374"/>
      <c r="D24" s="1374"/>
      <c r="E24" s="1374"/>
      <c r="F24" s="1374"/>
      <c r="G24" s="1374"/>
      <c r="N24" s="1371">
        <f t="shared" ref="N24" si="15">$M$38</f>
        <v>1.7009212846863207E-2</v>
      </c>
    </row>
    <row r="25" spans="1:19" ht="13.5" hidden="1" thickBot="1" x14ac:dyDescent="0.25">
      <c r="A25" s="1373" t="s">
        <v>54</v>
      </c>
      <c r="B25" s="1374">
        <f>B24*0.75</f>
        <v>3487.8545373603747</v>
      </c>
      <c r="C25" s="1374"/>
      <c r="D25" s="1374"/>
      <c r="E25" s="1374"/>
      <c r="F25" s="1374"/>
      <c r="G25" s="1374"/>
      <c r="N25" s="1372">
        <f>(N22+N23)/N24+0.02</f>
        <v>114141.53295939758</v>
      </c>
    </row>
    <row r="26" spans="1:19" hidden="1" x14ac:dyDescent="0.2">
      <c r="A26" s="1373" t="s">
        <v>55</v>
      </c>
      <c r="B26" s="1374">
        <f>B24*0.5</f>
        <v>2325.23635824025</v>
      </c>
      <c r="C26" s="1374"/>
      <c r="D26" s="1374"/>
      <c r="E26" s="1374"/>
      <c r="F26" s="1374"/>
      <c r="G26" s="1374"/>
    </row>
    <row r="27" spans="1:19" hidden="1" x14ac:dyDescent="0.2">
      <c r="A27" s="1373" t="s">
        <v>56</v>
      </c>
      <c r="B27" s="1374">
        <f>B24*0.25</f>
        <v>1162.618179120125</v>
      </c>
      <c r="C27" s="1374"/>
      <c r="D27" s="1374"/>
      <c r="E27" s="1374"/>
      <c r="F27" s="1374"/>
      <c r="G27" s="1374"/>
    </row>
    <row r="28" spans="1:19" hidden="1" x14ac:dyDescent="0.2">
      <c r="B28" s="1375">
        <f>20.32*0.25</f>
        <v>5.08</v>
      </c>
      <c r="C28" s="1376">
        <f>20.4*0.25</f>
        <v>5.0999999999999996</v>
      </c>
      <c r="D28" s="1377">
        <f>26.2*0.25</f>
        <v>6.55</v>
      </c>
      <c r="E28" s="1377">
        <f>55.04*0.25</f>
        <v>13.76</v>
      </c>
      <c r="F28" s="1377"/>
      <c r="G28" s="1377">
        <f>36.88*0.25</f>
        <v>9.2200000000000006</v>
      </c>
      <c r="H28" s="1377">
        <f>40.2*0.25</f>
        <v>10.050000000000001</v>
      </c>
      <c r="I28" s="1377">
        <f>60.8*0.25</f>
        <v>15.2</v>
      </c>
      <c r="J28" s="1378">
        <f>42.64*0.25</f>
        <v>10.66</v>
      </c>
      <c r="K28" s="1378">
        <f>30.76*0.25</f>
        <v>7.69</v>
      </c>
      <c r="L28" s="1377">
        <f>83.56*0.25</f>
        <v>20.89</v>
      </c>
      <c r="M28" s="1343"/>
      <c r="N28" s="1343"/>
    </row>
    <row r="29" spans="1:19" x14ac:dyDescent="0.2">
      <c r="C29" s="1379"/>
    </row>
    <row r="30" spans="1:19" ht="13.5" thickBot="1" x14ac:dyDescent="0.25">
      <c r="A30" s="1380" t="s">
        <v>57</v>
      </c>
      <c r="B30" s="1381"/>
      <c r="C30" s="1382"/>
      <c r="D30" s="1381"/>
      <c r="I30" s="1383" t="s">
        <v>58</v>
      </c>
      <c r="J30" s="1384"/>
      <c r="K30" s="1384"/>
      <c r="L30" s="1384"/>
      <c r="M30" s="1384"/>
      <c r="N30" s="1385"/>
    </row>
    <row r="31" spans="1:19" x14ac:dyDescent="0.2">
      <c r="A31" s="1386"/>
      <c r="B31" s="1387"/>
      <c r="C31" s="1388" t="s">
        <v>3</v>
      </c>
      <c r="D31" s="1389" t="s">
        <v>4</v>
      </c>
      <c r="E31" s="1390"/>
      <c r="F31" s="1391"/>
      <c r="G31" s="1390"/>
      <c r="I31" s="1386"/>
      <c r="J31" s="1387"/>
      <c r="K31" s="1387"/>
      <c r="L31" s="1388" t="s">
        <v>3</v>
      </c>
      <c r="M31" s="1389" t="s">
        <v>4</v>
      </c>
      <c r="N31" s="1343"/>
    </row>
    <row r="32" spans="1:19" x14ac:dyDescent="0.2">
      <c r="A32" s="1392"/>
      <c r="B32" s="1393" t="s">
        <v>59</v>
      </c>
      <c r="C32" s="1394">
        <v>15</v>
      </c>
      <c r="D32" s="1395">
        <f>C32*8</f>
        <v>120</v>
      </c>
      <c r="E32" s="1396"/>
      <c r="F32" s="1396"/>
      <c r="G32" s="1396"/>
      <c r="H32" s="1343"/>
      <c r="I32" s="1392"/>
      <c r="J32" s="1393" t="s">
        <v>59</v>
      </c>
      <c r="K32" s="1393"/>
      <c r="L32" s="1394">
        <v>15</v>
      </c>
      <c r="M32" s="1395">
        <f>L32*8</f>
        <v>120</v>
      </c>
      <c r="N32" s="1343"/>
    </row>
    <row r="33" spans="1:15" x14ac:dyDescent="0.2">
      <c r="A33" s="1397"/>
      <c r="B33" s="1398" t="s">
        <v>60</v>
      </c>
      <c r="C33" s="1399">
        <v>1</v>
      </c>
      <c r="D33" s="1400">
        <f>C33*8</f>
        <v>8</v>
      </c>
      <c r="E33" s="1401"/>
      <c r="F33" s="1401"/>
      <c r="G33" s="1401"/>
      <c r="H33" s="1402"/>
      <c r="I33" s="1403"/>
      <c r="J33" s="1398" t="s">
        <v>61</v>
      </c>
      <c r="K33" s="1398"/>
      <c r="L33" s="1399">
        <v>25</v>
      </c>
      <c r="M33" s="1404">
        <f>L33*8</f>
        <v>200</v>
      </c>
      <c r="N33" s="1343"/>
    </row>
    <row r="34" spans="1:15" x14ac:dyDescent="0.2">
      <c r="A34" s="1392"/>
      <c r="B34" s="1405"/>
      <c r="C34" s="1393" t="s">
        <v>14</v>
      </c>
      <c r="D34" s="1406">
        <f>SUM(D32:D33)</f>
        <v>128</v>
      </c>
      <c r="E34" s="1401"/>
      <c r="F34" s="1401"/>
      <c r="G34" s="1401"/>
      <c r="I34" s="1392"/>
      <c r="J34" s="1405"/>
      <c r="K34" s="1405"/>
      <c r="L34" s="1393" t="s">
        <v>14</v>
      </c>
      <c r="M34" s="1395">
        <f>SUM(M32:M33)</f>
        <v>320</v>
      </c>
      <c r="N34" s="1343"/>
    </row>
    <row r="35" spans="1:15" ht="13.5" thickBot="1" x14ac:dyDescent="0.25">
      <c r="A35" s="1407"/>
      <c r="B35" s="1408"/>
      <c r="C35" s="1409" t="s">
        <v>52</v>
      </c>
      <c r="D35" s="1410">
        <f>2080-D34</f>
        <v>1952</v>
      </c>
      <c r="E35" s="1401"/>
      <c r="F35" s="1401"/>
      <c r="G35" s="1401"/>
      <c r="I35" s="1407"/>
      <c r="J35" s="1408"/>
      <c r="K35" s="1408"/>
      <c r="L35" s="1409" t="s">
        <v>52</v>
      </c>
      <c r="M35" s="1411">
        <f>2080-M34</f>
        <v>1760</v>
      </c>
      <c r="N35" s="1343"/>
    </row>
    <row r="37" spans="1:15" s="1416" customFormat="1" x14ac:dyDescent="0.2">
      <c r="A37" s="1412" t="s">
        <v>726</v>
      </c>
      <c r="B37" s="1413">
        <v>26.1</v>
      </c>
      <c r="C37" s="1414">
        <v>24.73</v>
      </c>
      <c r="D37" s="1413">
        <v>33.29</v>
      </c>
      <c r="E37" s="1413">
        <v>58.86</v>
      </c>
      <c r="F37" s="1413">
        <v>48.68</v>
      </c>
      <c r="G37" s="1413">
        <v>46.57</v>
      </c>
      <c r="H37" s="1413">
        <v>44.3</v>
      </c>
      <c r="I37" s="1413">
        <v>71.77</v>
      </c>
      <c r="J37" s="1415">
        <v>53.6</v>
      </c>
      <c r="K37" s="1415">
        <v>37.17</v>
      </c>
      <c r="L37" s="1415">
        <v>94.45</v>
      </c>
      <c r="M37" s="1415">
        <v>152.16999999999999</v>
      </c>
      <c r="N37" s="1415">
        <v>181</v>
      </c>
    </row>
    <row r="38" spans="1:15" x14ac:dyDescent="0.2">
      <c r="A38" s="1359" t="s">
        <v>611</v>
      </c>
      <c r="B38" s="1417">
        <f>(B23-B37)/B37</f>
        <v>9.5746038992643306E-2</v>
      </c>
      <c r="C38" s="1417">
        <f t="shared" ref="C38:M38" si="16">(C23-C37)/C37</f>
        <v>0.19084428322644323</v>
      </c>
      <c r="D38" s="1417">
        <f t="shared" si="16"/>
        <v>0.11632996006765023</v>
      </c>
      <c r="E38" s="1417">
        <f t="shared" si="16"/>
        <v>2.9717308331278926E-2</v>
      </c>
      <c r="F38" s="1417">
        <f t="shared" si="16"/>
        <v>0.1393925284892655</v>
      </c>
      <c r="G38" s="1417">
        <f t="shared" si="16"/>
        <v>0.10557953221031281</v>
      </c>
      <c r="H38" s="1417">
        <f t="shared" si="16"/>
        <v>0.22229245640374953</v>
      </c>
      <c r="I38" s="1417">
        <f t="shared" si="16"/>
        <v>5.8835435178176548E-2</v>
      </c>
      <c r="J38" s="1417">
        <f t="shared" si="16"/>
        <v>0.14444084309912847</v>
      </c>
      <c r="K38" s="1417">
        <f t="shared" si="16"/>
        <v>0.27156916529455616</v>
      </c>
      <c r="L38" s="1417">
        <f t="shared" si="16"/>
        <v>9.3365493511293113E-2</v>
      </c>
      <c r="M38" s="1417">
        <f t="shared" si="16"/>
        <v>1.7009212846863207E-2</v>
      </c>
      <c r="N38" s="1417">
        <f t="shared" ref="N38" si="17">(N23-N37)/N37</f>
        <v>2.5264562949639164E-3</v>
      </c>
    </row>
    <row r="41" spans="1:15" x14ac:dyDescent="0.2">
      <c r="O41" s="1342"/>
    </row>
    <row r="42" spans="1:15" x14ac:dyDescent="0.2">
      <c r="O42" s="1342"/>
    </row>
    <row r="43" spans="1:15" x14ac:dyDescent="0.2">
      <c r="O43" s="1342"/>
    </row>
    <row r="44" spans="1:15" x14ac:dyDescent="0.2">
      <c r="O44" s="1342"/>
    </row>
  </sheetData>
  <mergeCells count="8">
    <mergeCell ref="L2:M2"/>
    <mergeCell ref="L3:M3"/>
    <mergeCell ref="L4:M4"/>
    <mergeCell ref="O19:P19"/>
    <mergeCell ref="A14:M14"/>
    <mergeCell ref="O16:P16"/>
    <mergeCell ref="O17:P17"/>
    <mergeCell ref="O18:P18"/>
  </mergeCells>
  <pageMargins left="0.7" right="0.7" top="0.75" bottom="0.75" header="0.3" footer="0.3"/>
  <pageSetup paperSize="5" scale="55" fitToHeight="0" orientation="landscape" r:id="rId1"/>
  <headerFooter>
    <oddFooter>&amp;R
&amp;A
Caring Together rate review</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33D80-5697-4B1F-93AB-D4E6BC2084C2}">
  <sheetPr>
    <tabColor rgb="FF00B050"/>
  </sheetPr>
  <dimension ref="B9:S24"/>
  <sheetViews>
    <sheetView topLeftCell="C1" workbookViewId="0">
      <selection activeCell="E23" sqref="E23"/>
    </sheetView>
  </sheetViews>
  <sheetFormatPr defaultRowHeight="15" x14ac:dyDescent="0.25"/>
  <cols>
    <col min="2" max="2" width="23.42578125" customWidth="1"/>
    <col min="3" max="3" width="12.42578125" customWidth="1"/>
    <col min="5" max="5" width="14.140625" bestFit="1" customWidth="1"/>
    <col min="6" max="6" width="17.7109375" bestFit="1" customWidth="1"/>
    <col min="7" max="7" width="16.5703125" bestFit="1" customWidth="1"/>
    <col min="8" max="8" width="12.85546875" customWidth="1"/>
    <col min="9" max="9" width="7.7109375" customWidth="1"/>
    <col min="10" max="10" width="18.7109375" customWidth="1"/>
    <col min="11" max="11" width="18.85546875" customWidth="1"/>
    <col min="12" max="19" width="18.7109375" customWidth="1"/>
    <col min="20" max="20" width="16" customWidth="1"/>
  </cols>
  <sheetData>
    <row r="9" spans="2:19" x14ac:dyDescent="0.25">
      <c r="E9" s="1053" t="s">
        <v>2241</v>
      </c>
      <c r="F9" s="1053" t="s">
        <v>2243</v>
      </c>
      <c r="G9" s="1053" t="s">
        <v>2244</v>
      </c>
      <c r="H9" s="1053" t="s">
        <v>2245</v>
      </c>
      <c r="I9" s="1048"/>
      <c r="J9" s="1058" t="s">
        <v>2242</v>
      </c>
      <c r="K9" s="1058" t="s">
        <v>2240</v>
      </c>
      <c r="L9" s="1058" t="s">
        <v>2246</v>
      </c>
      <c r="M9" s="1058" t="s">
        <v>2247</v>
      </c>
      <c r="N9" s="1058" t="s">
        <v>2248</v>
      </c>
      <c r="O9" s="1058" t="s">
        <v>2249</v>
      </c>
      <c r="P9" s="1058" t="s">
        <v>2250</v>
      </c>
      <c r="Q9" s="1058" t="s">
        <v>2251</v>
      </c>
      <c r="R9" s="1058" t="s">
        <v>2252</v>
      </c>
      <c r="S9" s="1058" t="s">
        <v>2253</v>
      </c>
    </row>
    <row r="10" spans="2:19" ht="45" x14ac:dyDescent="0.25">
      <c r="E10" s="1054" t="s">
        <v>2261</v>
      </c>
      <c r="F10" s="1054" t="s">
        <v>2263</v>
      </c>
      <c r="G10" s="1054" t="s">
        <v>2264</v>
      </c>
      <c r="H10" s="1054" t="s">
        <v>2265</v>
      </c>
      <c r="I10" s="1056"/>
      <c r="J10" s="1059" t="s">
        <v>2262</v>
      </c>
      <c r="K10" s="1059" t="s">
        <v>2260</v>
      </c>
      <c r="L10" s="1059" t="s">
        <v>2266</v>
      </c>
      <c r="M10" s="1059" t="s">
        <v>2267</v>
      </c>
      <c r="N10" s="1059" t="s">
        <v>2268</v>
      </c>
      <c r="O10" s="1059" t="s">
        <v>2269</v>
      </c>
      <c r="P10" s="1059" t="s">
        <v>2270</v>
      </c>
      <c r="Q10" s="1059" t="s">
        <v>2271</v>
      </c>
      <c r="R10" s="1059" t="s">
        <v>2272</v>
      </c>
      <c r="S10" s="1059" t="s">
        <v>2273</v>
      </c>
    </row>
    <row r="11" spans="2:19" x14ac:dyDescent="0.25">
      <c r="B11" s="1048" t="s">
        <v>2275</v>
      </c>
      <c r="C11" s="1051" t="s">
        <v>2276</v>
      </c>
      <c r="E11" s="1053" t="s">
        <v>2277</v>
      </c>
      <c r="F11" s="1053" t="s">
        <v>2277</v>
      </c>
      <c r="G11" s="1053" t="s">
        <v>2277</v>
      </c>
      <c r="H11" s="1053" t="s">
        <v>2277</v>
      </c>
      <c r="I11" s="1048"/>
      <c r="J11" s="1058" t="s">
        <v>2277</v>
      </c>
      <c r="K11" s="1058" t="s">
        <v>2277</v>
      </c>
      <c r="L11" s="1058" t="s">
        <v>2277</v>
      </c>
      <c r="M11" s="1058" t="s">
        <v>2277</v>
      </c>
      <c r="N11" s="1058" t="s">
        <v>2277</v>
      </c>
      <c r="O11" s="1058" t="s">
        <v>2277</v>
      </c>
      <c r="P11" s="1058" t="s">
        <v>2277</v>
      </c>
      <c r="Q11" s="1058" t="s">
        <v>2277</v>
      </c>
      <c r="R11" s="1058" t="s">
        <v>2277</v>
      </c>
      <c r="S11" s="1058" t="s">
        <v>2277</v>
      </c>
    </row>
    <row r="12" spans="2:19" x14ac:dyDescent="0.25">
      <c r="B12" s="1048" t="s">
        <v>2309</v>
      </c>
      <c r="C12" s="1051">
        <v>9.07</v>
      </c>
      <c r="E12" s="1055">
        <v>29836</v>
      </c>
      <c r="F12" s="1055"/>
      <c r="G12" s="1055"/>
      <c r="H12" s="1055"/>
      <c r="I12" s="1057"/>
      <c r="J12" s="1060">
        <v>140</v>
      </c>
      <c r="K12" s="1060">
        <v>2489</v>
      </c>
      <c r="L12" s="1060">
        <v>164</v>
      </c>
      <c r="M12" s="1060"/>
      <c r="N12" s="1060">
        <v>1705</v>
      </c>
      <c r="O12" s="1060"/>
      <c r="P12" s="1060"/>
      <c r="Q12" s="1060">
        <v>4948</v>
      </c>
      <c r="R12" s="1060"/>
      <c r="S12" s="1060"/>
    </row>
    <row r="13" spans="2:19" x14ac:dyDescent="0.25">
      <c r="B13" s="1048" t="s">
        <v>2310</v>
      </c>
      <c r="C13" s="1051">
        <v>9.65</v>
      </c>
      <c r="E13" s="1055">
        <v>26636</v>
      </c>
      <c r="F13" s="1055"/>
      <c r="G13" s="1055">
        <v>132</v>
      </c>
      <c r="H13" s="1055"/>
      <c r="I13" s="1057"/>
      <c r="J13" s="1060">
        <v>50</v>
      </c>
      <c r="K13" s="1060">
        <v>153</v>
      </c>
      <c r="L13" s="1060"/>
      <c r="M13" s="1060"/>
      <c r="N13" s="1060">
        <v>4805</v>
      </c>
      <c r="O13" s="1060"/>
      <c r="P13" s="1060"/>
      <c r="Q13" s="1060">
        <v>628</v>
      </c>
      <c r="R13" s="1060"/>
      <c r="S13" s="1060"/>
    </row>
    <row r="14" spans="2:19" x14ac:dyDescent="0.25">
      <c r="B14" s="1048" t="s">
        <v>2311</v>
      </c>
      <c r="C14" s="1051">
        <v>93.854439903846099</v>
      </c>
      <c r="E14" s="1055">
        <v>116201.93</v>
      </c>
      <c r="F14" s="1055"/>
      <c r="G14" s="1055">
        <v>229.44</v>
      </c>
      <c r="H14" s="1055"/>
      <c r="I14" s="1057"/>
      <c r="J14" s="1060"/>
      <c r="K14" s="1060">
        <v>2248.25</v>
      </c>
      <c r="L14" s="1060"/>
      <c r="M14" s="1060"/>
      <c r="N14" s="1060">
        <v>13949.66</v>
      </c>
      <c r="O14" s="1060"/>
      <c r="P14" s="1060"/>
      <c r="Q14" s="1060">
        <v>4811.76</v>
      </c>
      <c r="R14" s="1060"/>
      <c r="S14" s="1060"/>
    </row>
    <row r="15" spans="2:19" x14ac:dyDescent="0.25">
      <c r="B15" s="1048" t="s">
        <v>2282</v>
      </c>
      <c r="C15" s="1051">
        <v>3.3211394694629202</v>
      </c>
      <c r="E15" s="1055">
        <v>7837</v>
      </c>
      <c r="F15" s="1055"/>
      <c r="G15" s="1055"/>
      <c r="H15" s="1055"/>
      <c r="I15" s="1057"/>
      <c r="J15" s="1060">
        <v>1395</v>
      </c>
      <c r="K15" s="1060"/>
      <c r="L15" s="1060"/>
      <c r="M15" s="1060">
        <v>4591</v>
      </c>
      <c r="N15" s="1060"/>
      <c r="O15" s="1060"/>
      <c r="P15" s="1060"/>
      <c r="Q15" s="1060">
        <v>7428</v>
      </c>
      <c r="R15" s="1060"/>
      <c r="S15" s="1060"/>
    </row>
    <row r="16" spans="2:19" x14ac:dyDescent="0.25">
      <c r="B16" s="1048" t="s">
        <v>2312</v>
      </c>
      <c r="C16" s="1051">
        <v>6.3</v>
      </c>
      <c r="E16" s="1055">
        <v>11785.1</v>
      </c>
      <c r="F16" s="1055"/>
      <c r="G16" s="1055">
        <v>12.3</v>
      </c>
      <c r="H16" s="1055"/>
      <c r="I16" s="1057"/>
      <c r="J16" s="1060">
        <v>129.13999999999999</v>
      </c>
      <c r="K16" s="1060">
        <v>976.5</v>
      </c>
      <c r="L16" s="1060"/>
      <c r="M16" s="1060"/>
      <c r="N16" s="1060">
        <v>6223.38</v>
      </c>
      <c r="O16" s="1060"/>
      <c r="P16" s="1060"/>
      <c r="Q16" s="1060">
        <v>2655.32</v>
      </c>
      <c r="R16" s="1060"/>
      <c r="S16" s="1060"/>
    </row>
    <row r="17" spans="2:19" x14ac:dyDescent="0.25">
      <c r="B17" s="1048" t="s">
        <v>2313</v>
      </c>
      <c r="C17" s="1051">
        <v>7.27</v>
      </c>
      <c r="E17" s="1055">
        <v>21923</v>
      </c>
      <c r="F17" s="1055"/>
      <c r="G17" s="1055"/>
      <c r="H17" s="1055"/>
      <c r="I17" s="1057"/>
      <c r="J17" s="1060">
        <v>21</v>
      </c>
      <c r="K17" s="1060"/>
      <c r="L17" s="1060"/>
      <c r="M17" s="1060"/>
      <c r="N17" s="1060"/>
      <c r="O17" s="1060"/>
      <c r="P17" s="1060"/>
      <c r="Q17" s="1060">
        <v>822</v>
      </c>
      <c r="R17" s="1060"/>
      <c r="S17" s="1060"/>
    </row>
    <row r="18" spans="2:19" x14ac:dyDescent="0.25">
      <c r="B18" s="1048" t="s">
        <v>2283</v>
      </c>
      <c r="C18" s="1051">
        <v>50.68</v>
      </c>
      <c r="E18" s="1055">
        <v>15880</v>
      </c>
      <c r="F18" s="1055">
        <v>1512</v>
      </c>
      <c r="G18" s="1055">
        <v>51469</v>
      </c>
      <c r="H18" s="1055">
        <v>748</v>
      </c>
      <c r="I18" s="1057"/>
      <c r="J18" s="1060">
        <v>68747</v>
      </c>
      <c r="K18" s="1060">
        <v>1140</v>
      </c>
      <c r="L18" s="1060">
        <v>673</v>
      </c>
      <c r="M18" s="1060">
        <v>5420</v>
      </c>
      <c r="N18" s="1060">
        <v>-2529</v>
      </c>
      <c r="O18" s="1060"/>
      <c r="P18" s="1060">
        <v>2439</v>
      </c>
      <c r="Q18" s="1060">
        <v>23415</v>
      </c>
      <c r="R18" s="1060"/>
      <c r="S18" s="1060">
        <v>118821</v>
      </c>
    </row>
    <row r="19" spans="2:19" x14ac:dyDescent="0.25">
      <c r="B19" s="1052"/>
      <c r="C19">
        <v>1</v>
      </c>
      <c r="E19" s="1049"/>
      <c r="F19" s="1049"/>
      <c r="G19" s="1049"/>
      <c r="H19" s="1049"/>
      <c r="I19" s="1049"/>
      <c r="J19" s="1049"/>
      <c r="K19" s="1049"/>
      <c r="L19" s="1049"/>
      <c r="M19" s="1049"/>
      <c r="N19" s="1049">
        <v>37049</v>
      </c>
      <c r="O19" s="1049"/>
      <c r="P19" s="1049"/>
      <c r="Q19" s="1049"/>
      <c r="R19" s="1049"/>
      <c r="S19" s="1049"/>
    </row>
    <row r="20" spans="2:19" x14ac:dyDescent="0.25">
      <c r="C20" s="1061">
        <f>SUM(C12:C19)</f>
        <v>181.14557937330903</v>
      </c>
      <c r="D20" t="s">
        <v>2314</v>
      </c>
    </row>
    <row r="21" spans="2:19" x14ac:dyDescent="0.25">
      <c r="E21" s="1050">
        <v>230099.03</v>
      </c>
      <c r="F21" s="1050">
        <v>1512</v>
      </c>
      <c r="G21" s="1050">
        <v>51842.74</v>
      </c>
      <c r="H21" s="1050">
        <v>748</v>
      </c>
      <c r="J21" s="1050">
        <v>70482.14</v>
      </c>
      <c r="K21" s="1050">
        <v>7006.75</v>
      </c>
      <c r="L21" s="1050">
        <v>837</v>
      </c>
      <c r="M21" s="1050">
        <v>10011</v>
      </c>
      <c r="N21" s="1050">
        <v>61203.040000000001</v>
      </c>
      <c r="O21" s="1050">
        <v>0</v>
      </c>
      <c r="P21" s="1050">
        <v>2439</v>
      </c>
      <c r="Q21" s="1050">
        <v>44708.08</v>
      </c>
      <c r="R21" s="1050">
        <v>0</v>
      </c>
      <c r="S21" s="1050">
        <v>118821</v>
      </c>
    </row>
    <row r="23" spans="2:19" x14ac:dyDescent="0.25">
      <c r="F23" s="1050">
        <f>SUM(E21:H21)</f>
        <v>284201.77</v>
      </c>
      <c r="S23" s="1050">
        <f>SUM(J21:S21)</f>
        <v>315508.01</v>
      </c>
    </row>
    <row r="24" spans="2:19" x14ac:dyDescent="0.25">
      <c r="F24" s="1050">
        <f>F23/C20</f>
        <v>1568.9136383191023</v>
      </c>
      <c r="S24" s="1050">
        <f>S23/C20</f>
        <v>1741.7372871672112</v>
      </c>
    </row>
  </sheetData>
  <conditionalFormatting sqref="F24">
    <cfRule type="expression" dxfId="7" priority="7">
      <formula>OR(AND(LEN(F24)&gt;0,F24&lt;I$8),AND(LEN(F24)&gt;0,F24&gt;#REF!))</formula>
    </cfRule>
    <cfRule type="expression" dxfId="6" priority="8">
      <formula>AND(F24&gt;=I$8,F24&lt;=#REF!)</formula>
    </cfRule>
  </conditionalFormatting>
  <conditionalFormatting sqref="H11:J20 N11:N20 Q11:Q20 H22 J22 N22:N301 Q22:Q301 H23:J301">
    <cfRule type="expression" dxfId="5" priority="3">
      <formula>OR(AND(LEN(H11)&gt;0,H11&lt;H$8),AND(LEN(H11)&gt;0,H11&gt;#REF!))</formula>
    </cfRule>
    <cfRule type="expression" dxfId="4" priority="4">
      <formula>AND(H11&gt;=H$8,H11&lt;=#REF!)</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8DEE7-381B-4D27-8ED7-0BAEAA33E439}">
  <sheetPr>
    <tabColor theme="4" tint="0.79998168889431442"/>
    <pageSetUpPr fitToPage="1"/>
  </sheetPr>
  <dimension ref="B1:L59"/>
  <sheetViews>
    <sheetView topLeftCell="A9" zoomScale="90" zoomScaleNormal="90" workbookViewId="0">
      <selection activeCell="B60" sqref="B60"/>
    </sheetView>
  </sheetViews>
  <sheetFormatPr defaultRowHeight="12.75" x14ac:dyDescent="0.2"/>
  <cols>
    <col min="1" max="1" width="5.5703125" style="921" customWidth="1"/>
    <col min="2" max="2" width="41.28515625" style="921" customWidth="1"/>
    <col min="3" max="3" width="17.140625" style="921" customWidth="1"/>
    <col min="4" max="4" width="45.5703125" style="921" customWidth="1"/>
    <col min="5" max="5" width="31.140625" style="961" customWidth="1"/>
    <col min="6" max="6" width="33.42578125" style="961" customWidth="1"/>
    <col min="7" max="8" width="4.28515625" style="921" customWidth="1"/>
    <col min="9" max="9" width="17.5703125" style="921" customWidth="1"/>
    <col min="10" max="10" width="12" style="962" customWidth="1"/>
    <col min="11" max="11" width="8.28515625" style="921" customWidth="1"/>
    <col min="12" max="12" width="9.140625" style="921"/>
    <col min="13" max="14" width="13.7109375" style="921" customWidth="1"/>
    <col min="15" max="225" width="9.140625" style="921"/>
    <col min="226" max="226" width="5.5703125" style="921" customWidth="1"/>
    <col min="227" max="227" width="58" style="921" customWidth="1"/>
    <col min="228" max="228" width="24.140625" style="921" customWidth="1"/>
    <col min="229" max="230" width="0" style="921" hidden="1" customWidth="1"/>
    <col min="231" max="231" width="61.42578125" style="921" customWidth="1"/>
    <col min="232" max="232" width="62.140625" style="921" customWidth="1"/>
    <col min="233" max="236" width="0" style="921" hidden="1" customWidth="1"/>
    <col min="237" max="16384" width="9.140625" style="921"/>
  </cols>
  <sheetData>
    <row r="1" spans="2:12" ht="15" x14ac:dyDescent="0.25">
      <c r="B1" s="917"/>
      <c r="C1" s="918" t="s">
        <v>379</v>
      </c>
      <c r="D1" s="917"/>
      <c r="E1" s="919"/>
      <c r="F1" s="919"/>
      <c r="G1" s="917"/>
      <c r="H1" s="917"/>
      <c r="I1" s="918" t="s">
        <v>379</v>
      </c>
      <c r="J1" s="920"/>
      <c r="K1" s="917"/>
      <c r="L1" s="917"/>
    </row>
    <row r="2" spans="2:12" ht="15" x14ac:dyDescent="0.25">
      <c r="B2" s="917"/>
      <c r="C2" s="922">
        <v>45047</v>
      </c>
      <c r="D2" s="917"/>
      <c r="E2" s="919"/>
      <c r="F2" s="919"/>
      <c r="G2" s="917"/>
      <c r="H2" s="917"/>
      <c r="I2" s="922">
        <v>44317</v>
      </c>
      <c r="J2" s="920"/>
      <c r="K2" s="917"/>
      <c r="L2" s="917"/>
    </row>
    <row r="3" spans="2:12" ht="15" x14ac:dyDescent="0.25">
      <c r="B3" s="923"/>
      <c r="C3" s="924" t="s">
        <v>381</v>
      </c>
      <c r="D3" s="917"/>
      <c r="E3" s="919"/>
      <c r="F3" s="919"/>
      <c r="G3" s="917"/>
      <c r="H3" s="917"/>
      <c r="I3" s="924" t="s">
        <v>381</v>
      </c>
      <c r="J3" s="920"/>
      <c r="K3" s="917"/>
      <c r="L3" s="917"/>
    </row>
    <row r="4" spans="2:12" ht="24.95" customHeight="1" thickBot="1" x14ac:dyDescent="0.3">
      <c r="B4" s="925" t="s">
        <v>182</v>
      </c>
      <c r="C4" s="926" t="s">
        <v>606</v>
      </c>
      <c r="D4" s="925" t="s">
        <v>384</v>
      </c>
      <c r="E4" s="927" t="s">
        <v>385</v>
      </c>
      <c r="F4" s="927" t="s">
        <v>454</v>
      </c>
      <c r="G4" s="917"/>
      <c r="H4" s="917"/>
      <c r="I4" s="926" t="s">
        <v>606</v>
      </c>
      <c r="J4" s="928" t="s">
        <v>383</v>
      </c>
      <c r="K4" s="917"/>
      <c r="L4" s="917"/>
    </row>
    <row r="5" spans="2:12" ht="39.950000000000003" customHeight="1" thickBot="1" x14ac:dyDescent="0.3">
      <c r="B5" s="929" t="s">
        <v>386</v>
      </c>
      <c r="C5" s="930">
        <f>'[23]DC  CNA  DC III'!I8</f>
        <v>20.792100000000001</v>
      </c>
      <c r="D5" s="1865" t="s">
        <v>387</v>
      </c>
      <c r="E5" s="1863" t="s">
        <v>190</v>
      </c>
      <c r="F5" s="1863" t="s">
        <v>692</v>
      </c>
      <c r="G5" s="931"/>
      <c r="H5" s="931"/>
      <c r="I5" s="932">
        <v>19.000800000000002</v>
      </c>
      <c r="J5" s="933">
        <f t="shared" ref="J5:J34" si="0">C5-I5</f>
        <v>1.7912999999999997</v>
      </c>
      <c r="K5" s="934">
        <f>J5/I5</f>
        <v>9.4274977895667522E-2</v>
      </c>
      <c r="L5" s="917"/>
    </row>
    <row r="6" spans="2:12" ht="15.75" thickBot="1" x14ac:dyDescent="0.3">
      <c r="B6" s="935" t="s">
        <v>388</v>
      </c>
      <c r="C6" s="936">
        <f>C5*2080</f>
        <v>43247.567999999999</v>
      </c>
      <c r="D6" s="1866"/>
      <c r="E6" s="1864"/>
      <c r="F6" s="1864"/>
      <c r="G6" s="937"/>
      <c r="H6" s="937"/>
      <c r="I6" s="932">
        <v>39521.664000000004</v>
      </c>
      <c r="J6" s="938">
        <f t="shared" si="0"/>
        <v>3725.903999999995</v>
      </c>
      <c r="K6" s="934">
        <f t="shared" ref="K6:K34" si="1">J6/I6</f>
        <v>9.4274977895667411E-2</v>
      </c>
      <c r="L6" s="917"/>
    </row>
    <row r="7" spans="2:12" ht="16.5" customHeight="1" thickBot="1" x14ac:dyDescent="0.3">
      <c r="B7" s="939" t="s">
        <v>192</v>
      </c>
      <c r="C7" s="930">
        <f>'[23]DC  CNA  DC III'!I21</f>
        <v>27.027519999999999</v>
      </c>
      <c r="D7" s="931" t="s">
        <v>193</v>
      </c>
      <c r="E7" s="1863" t="s">
        <v>194</v>
      </c>
      <c r="F7" s="1863" t="s">
        <v>456</v>
      </c>
      <c r="G7" s="931"/>
      <c r="H7" s="931"/>
      <c r="I7" s="932">
        <v>24.241120000000002</v>
      </c>
      <c r="J7" s="933">
        <f t="shared" si="0"/>
        <v>2.7863999999999969</v>
      </c>
      <c r="K7" s="934">
        <f t="shared" si="1"/>
        <v>0.1149451840509018</v>
      </c>
      <c r="L7" s="917"/>
    </row>
    <row r="8" spans="2:12" ht="30.75" thickBot="1" x14ac:dyDescent="0.3">
      <c r="B8" s="940" t="s">
        <v>195</v>
      </c>
      <c r="C8" s="941">
        <f>C7*2080</f>
        <v>56217.241600000001</v>
      </c>
      <c r="D8" s="919" t="s">
        <v>693</v>
      </c>
      <c r="E8" s="1867"/>
      <c r="F8" s="1867"/>
      <c r="G8" s="937"/>
      <c r="H8" s="937"/>
      <c r="I8" s="932">
        <v>50421.529600000002</v>
      </c>
      <c r="J8" s="938">
        <f t="shared" si="0"/>
        <v>5795.7119999999995</v>
      </c>
      <c r="K8" s="934">
        <f t="shared" si="1"/>
        <v>0.11494518405090193</v>
      </c>
      <c r="L8" s="917"/>
    </row>
    <row r="9" spans="2:12" ht="26.1" customHeight="1" thickBot="1" x14ac:dyDescent="0.3">
      <c r="B9" s="939" t="s">
        <v>196</v>
      </c>
      <c r="C9" s="930">
        <f>'[23]DC  CNA  DC III'!I13</f>
        <v>21.417999999999999</v>
      </c>
      <c r="D9" s="931"/>
      <c r="E9" s="1863" t="s">
        <v>197</v>
      </c>
      <c r="F9" s="1863" t="s">
        <v>694</v>
      </c>
      <c r="G9" s="931"/>
      <c r="H9" s="931"/>
      <c r="I9" s="932">
        <v>18.008399999999998</v>
      </c>
      <c r="J9" s="933">
        <f t="shared" si="0"/>
        <v>3.4096000000000011</v>
      </c>
      <c r="K9" s="934">
        <f t="shared" si="1"/>
        <v>0.18933386641789396</v>
      </c>
      <c r="L9" s="917"/>
    </row>
    <row r="10" spans="2:12" ht="15.75" thickBot="1" x14ac:dyDescent="0.3">
      <c r="B10" s="942" t="s">
        <v>198</v>
      </c>
      <c r="C10" s="936">
        <f>'[23]DC  CNA  DC III'!J13</f>
        <v>44549.439999999995</v>
      </c>
      <c r="D10" s="937"/>
      <c r="E10" s="1864"/>
      <c r="F10" s="1864"/>
      <c r="G10" s="917"/>
      <c r="H10" s="917"/>
      <c r="I10" s="932">
        <v>37457.471999999994</v>
      </c>
      <c r="J10" s="938">
        <f t="shared" si="0"/>
        <v>7091.9680000000008</v>
      </c>
      <c r="K10" s="934">
        <f t="shared" si="1"/>
        <v>0.18933386641789393</v>
      </c>
      <c r="L10" s="917"/>
    </row>
    <row r="11" spans="2:12" ht="15.75" thickBot="1" x14ac:dyDescent="0.3">
      <c r="B11" s="939" t="s">
        <v>199</v>
      </c>
      <c r="C11" s="930">
        <f>'[23]Case Social Worker.Manager'!J6</f>
        <v>30.979999999999997</v>
      </c>
      <c r="D11" s="931" t="s">
        <v>200</v>
      </c>
      <c r="E11" s="1863" t="s">
        <v>201</v>
      </c>
      <c r="F11" s="1863" t="s">
        <v>458</v>
      </c>
      <c r="G11" s="939"/>
      <c r="H11" s="931"/>
      <c r="I11" s="932">
        <v>24.3888</v>
      </c>
      <c r="J11" s="933">
        <f t="shared" si="0"/>
        <v>6.5911999999999971</v>
      </c>
      <c r="K11" s="934">
        <f t="shared" si="1"/>
        <v>0.27025519910778706</v>
      </c>
      <c r="L11" s="917"/>
    </row>
    <row r="12" spans="2:12" ht="15.75" thickBot="1" x14ac:dyDescent="0.3">
      <c r="B12" s="940" t="s">
        <v>203</v>
      </c>
      <c r="C12" s="941">
        <f>C11*2080</f>
        <v>64438.399999999994</v>
      </c>
      <c r="D12" s="917" t="s">
        <v>390</v>
      </c>
      <c r="E12" s="1867"/>
      <c r="F12" s="1867"/>
      <c r="G12" s="942"/>
      <c r="H12" s="937"/>
      <c r="I12" s="932">
        <v>50728.703999999998</v>
      </c>
      <c r="J12" s="933">
        <f t="shared" si="0"/>
        <v>13709.695999999996</v>
      </c>
      <c r="K12" s="934">
        <f t="shared" si="1"/>
        <v>0.27025519910778711</v>
      </c>
      <c r="L12" s="917"/>
    </row>
    <row r="13" spans="2:12" ht="40.5" customHeight="1" thickBot="1" x14ac:dyDescent="0.3">
      <c r="B13" s="943" t="s">
        <v>204</v>
      </c>
      <c r="C13" s="930">
        <f>'[23]Case Social Worker.Manager'!J13</f>
        <v>33.755499999999998</v>
      </c>
      <c r="D13" s="931" t="s">
        <v>391</v>
      </c>
      <c r="E13" s="1863" t="s">
        <v>206</v>
      </c>
      <c r="F13" s="1863" t="s">
        <v>459</v>
      </c>
      <c r="G13" s="939"/>
      <c r="H13" s="931"/>
      <c r="I13" s="932">
        <v>30.569499999999998</v>
      </c>
      <c r="J13" s="933">
        <f t="shared" si="0"/>
        <v>3.1859999999999999</v>
      </c>
      <c r="K13" s="934">
        <f t="shared" si="1"/>
        <v>0.10422152799358839</v>
      </c>
      <c r="L13" s="917"/>
    </row>
    <row r="14" spans="2:12" ht="30.75" thickBot="1" x14ac:dyDescent="0.3">
      <c r="B14" s="944" t="s">
        <v>207</v>
      </c>
      <c r="C14" s="936">
        <f>C13*2080</f>
        <v>70211.44</v>
      </c>
      <c r="D14" s="937" t="s">
        <v>208</v>
      </c>
      <c r="E14" s="1864"/>
      <c r="F14" s="1864"/>
      <c r="G14" s="942"/>
      <c r="H14" s="937"/>
      <c r="I14" s="932">
        <v>63584.56</v>
      </c>
      <c r="J14" s="933">
        <f t="shared" si="0"/>
        <v>6626.8800000000047</v>
      </c>
      <c r="K14" s="934">
        <f t="shared" si="1"/>
        <v>0.10422152799358846</v>
      </c>
      <c r="L14" s="917"/>
    </row>
    <row r="15" spans="2:12" ht="15.75" thickBot="1" x14ac:dyDescent="0.3">
      <c r="B15" s="939" t="s">
        <v>217</v>
      </c>
      <c r="C15" s="930">
        <f>[23]Nursing!J4</f>
        <v>35.506799999999998</v>
      </c>
      <c r="D15" s="931"/>
      <c r="E15" s="1863" t="s">
        <v>218</v>
      </c>
      <c r="F15" s="1863" t="s">
        <v>460</v>
      </c>
      <c r="G15" s="917"/>
      <c r="H15" s="917"/>
      <c r="I15" s="932">
        <v>29.084</v>
      </c>
      <c r="J15" s="933">
        <f t="shared" si="0"/>
        <v>6.4227999999999987</v>
      </c>
      <c r="K15" s="934">
        <f t="shared" si="1"/>
        <v>0.2208361985971668</v>
      </c>
      <c r="L15" s="917"/>
    </row>
    <row r="16" spans="2:12" ht="15.75" thickBot="1" x14ac:dyDescent="0.3">
      <c r="B16" s="942" t="s">
        <v>219</v>
      </c>
      <c r="C16" s="936">
        <f>C15*2080</f>
        <v>73854.144</v>
      </c>
      <c r="D16" s="937" t="s">
        <v>695</v>
      </c>
      <c r="E16" s="1864"/>
      <c r="F16" s="1864"/>
      <c r="G16" s="917"/>
      <c r="H16" s="917"/>
      <c r="I16" s="932">
        <v>60494.720000000001</v>
      </c>
      <c r="J16" s="933">
        <f t="shared" si="0"/>
        <v>13359.423999999999</v>
      </c>
      <c r="K16" s="934">
        <f t="shared" si="1"/>
        <v>0.2208361985971668</v>
      </c>
      <c r="L16" s="917"/>
    </row>
    <row r="17" spans="2:12" ht="15.75" thickBot="1" x14ac:dyDescent="0.3">
      <c r="B17" s="939" t="s">
        <v>209</v>
      </c>
      <c r="C17" s="930">
        <f>[23]Clinical!J8</f>
        <v>40.211399999999998</v>
      </c>
      <c r="D17" s="931" t="s">
        <v>210</v>
      </c>
      <c r="E17" s="1863" t="s">
        <v>211</v>
      </c>
      <c r="F17" s="1863" t="s">
        <v>461</v>
      </c>
      <c r="G17" s="939"/>
      <c r="H17" s="931"/>
      <c r="I17" s="932">
        <v>35.178200000000004</v>
      </c>
      <c r="J17" s="933">
        <f t="shared" si="0"/>
        <v>5.0331999999999937</v>
      </c>
      <c r="K17" s="934">
        <f t="shared" si="1"/>
        <v>0.14307724670392438</v>
      </c>
      <c r="L17" s="917"/>
    </row>
    <row r="18" spans="2:12" ht="15.75" thickBot="1" x14ac:dyDescent="0.3">
      <c r="B18" s="942" t="s">
        <v>212</v>
      </c>
      <c r="C18" s="936">
        <f>C17*2080</f>
        <v>83639.712</v>
      </c>
      <c r="D18" s="937"/>
      <c r="E18" s="1864"/>
      <c r="F18" s="1864"/>
      <c r="G18" s="942"/>
      <c r="H18" s="937"/>
      <c r="I18" s="932">
        <v>73170.656000000003</v>
      </c>
      <c r="J18" s="933">
        <f t="shared" si="0"/>
        <v>10469.055999999997</v>
      </c>
      <c r="K18" s="934">
        <f t="shared" si="1"/>
        <v>0.14307724670392455</v>
      </c>
      <c r="L18" s="917"/>
    </row>
    <row r="19" spans="2:12" ht="15.75" thickBot="1" x14ac:dyDescent="0.3">
      <c r="B19" s="939" t="s">
        <v>392</v>
      </c>
      <c r="C19" s="945">
        <f>[23]Therapies!I5</f>
        <v>36.818800000000003</v>
      </c>
      <c r="D19" s="931"/>
      <c r="E19" s="1863" t="s">
        <v>393</v>
      </c>
      <c r="F19" s="1863" t="s">
        <v>462</v>
      </c>
      <c r="G19" s="917"/>
      <c r="H19" s="917"/>
      <c r="I19" s="932">
        <v>30.937200000000001</v>
      </c>
      <c r="J19" s="933">
        <f t="shared" si="0"/>
        <v>5.8816000000000024</v>
      </c>
      <c r="K19" s="934">
        <f t="shared" si="1"/>
        <v>0.19011416676363738</v>
      </c>
      <c r="L19" s="917"/>
    </row>
    <row r="20" spans="2:12" ht="15.75" thickBot="1" x14ac:dyDescent="0.3">
      <c r="B20" s="942" t="s">
        <v>394</v>
      </c>
      <c r="C20" s="936">
        <f>C19*2080</f>
        <v>76583.104000000007</v>
      </c>
      <c r="D20" s="937"/>
      <c r="E20" s="1864"/>
      <c r="F20" s="1864"/>
      <c r="G20" s="917"/>
      <c r="H20" s="917"/>
      <c r="I20" s="932">
        <v>64349.376000000004</v>
      </c>
      <c r="J20" s="933">
        <f t="shared" si="0"/>
        <v>12233.728000000003</v>
      </c>
      <c r="K20" s="934">
        <f t="shared" si="1"/>
        <v>0.19011416676363735</v>
      </c>
      <c r="L20" s="917"/>
    </row>
    <row r="21" spans="2:12" ht="15.75" thickBot="1" x14ac:dyDescent="0.3">
      <c r="B21" s="940" t="s">
        <v>395</v>
      </c>
      <c r="C21" s="946">
        <f>[23]Management!J4</f>
        <v>38.860399999999998</v>
      </c>
      <c r="D21" s="917" t="s">
        <v>463</v>
      </c>
      <c r="E21" s="1863" t="s">
        <v>397</v>
      </c>
      <c r="F21" s="1868" t="s">
        <v>464</v>
      </c>
      <c r="G21" s="939"/>
      <c r="H21" s="931"/>
      <c r="I21" s="932">
        <v>35.084000000000003</v>
      </c>
      <c r="J21" s="933">
        <f t="shared" si="0"/>
        <v>3.7763999999999953</v>
      </c>
      <c r="K21" s="934">
        <f t="shared" si="1"/>
        <v>0.10763880971382953</v>
      </c>
      <c r="L21" s="917"/>
    </row>
    <row r="22" spans="2:12" ht="15.75" thickBot="1" x14ac:dyDescent="0.3">
      <c r="B22" s="942" t="s">
        <v>398</v>
      </c>
      <c r="C22" s="936">
        <f>C21*2080</f>
        <v>80829.631999999998</v>
      </c>
      <c r="D22" s="937" t="s">
        <v>465</v>
      </c>
      <c r="E22" s="1864"/>
      <c r="F22" s="1869"/>
      <c r="G22" s="942"/>
      <c r="H22" s="937"/>
      <c r="I22" s="932">
        <v>72974.720000000001</v>
      </c>
      <c r="J22" s="933">
        <f t="shared" si="0"/>
        <v>7854.9119999999966</v>
      </c>
      <c r="K22" s="934">
        <f t="shared" si="1"/>
        <v>0.10763880971382962</v>
      </c>
      <c r="L22" s="917"/>
    </row>
    <row r="23" spans="2:12" ht="15.75" thickBot="1" x14ac:dyDescent="0.3">
      <c r="B23" s="947" t="s">
        <v>696</v>
      </c>
      <c r="C23" s="946">
        <f>[23]Therapies!I11</f>
        <v>39.750500000000002</v>
      </c>
      <c r="D23" s="917" t="s">
        <v>401</v>
      </c>
      <c r="E23" s="1863" t="s">
        <v>206</v>
      </c>
      <c r="F23" s="1863" t="s">
        <v>697</v>
      </c>
      <c r="G23" s="939"/>
      <c r="H23" s="931"/>
      <c r="I23" s="932">
        <v>38.650100000000002</v>
      </c>
      <c r="J23" s="933">
        <f t="shared" si="0"/>
        <v>1.1004000000000005</v>
      </c>
      <c r="K23" s="934">
        <f t="shared" si="1"/>
        <v>2.8470818962952241E-2</v>
      </c>
      <c r="L23" s="917"/>
    </row>
    <row r="24" spans="2:12" ht="15.75" thickBot="1" x14ac:dyDescent="0.3">
      <c r="B24" s="935" t="s">
        <v>698</v>
      </c>
      <c r="C24" s="936">
        <f>C23*2080</f>
        <v>82681.040000000008</v>
      </c>
      <c r="D24" s="937"/>
      <c r="E24" s="1864"/>
      <c r="F24" s="1864"/>
      <c r="G24" s="942"/>
      <c r="H24" s="937"/>
      <c r="I24" s="932">
        <v>80392.207999999999</v>
      </c>
      <c r="J24" s="933">
        <f t="shared" si="0"/>
        <v>2288.8320000000094</v>
      </c>
      <c r="K24" s="934">
        <f t="shared" si="1"/>
        <v>2.8470818962952348E-2</v>
      </c>
      <c r="L24" s="917"/>
    </row>
    <row r="25" spans="2:12" ht="15.75" thickBot="1" x14ac:dyDescent="0.3">
      <c r="B25" s="940" t="s">
        <v>403</v>
      </c>
      <c r="C25" s="946">
        <f>[23]Therapies!I17</f>
        <v>42.784640000000003</v>
      </c>
      <c r="D25" s="917" t="s">
        <v>404</v>
      </c>
      <c r="E25" s="1863" t="s">
        <v>206</v>
      </c>
      <c r="F25" s="1863" t="s">
        <v>467</v>
      </c>
      <c r="G25" s="940"/>
      <c r="H25" s="917"/>
      <c r="I25" s="932">
        <v>40.563600000000001</v>
      </c>
      <c r="J25" s="933">
        <f t="shared" si="0"/>
        <v>2.2210400000000021</v>
      </c>
      <c r="K25" s="934">
        <f t="shared" si="1"/>
        <v>5.4754508968632029E-2</v>
      </c>
      <c r="L25" s="917"/>
    </row>
    <row r="26" spans="2:12" ht="15.75" thickBot="1" x14ac:dyDescent="0.3">
      <c r="B26" s="942" t="s">
        <v>405</v>
      </c>
      <c r="C26" s="941">
        <f>C25*2080</f>
        <v>88992.051200000002</v>
      </c>
      <c r="D26" s="917"/>
      <c r="E26" s="1864"/>
      <c r="F26" s="1864"/>
      <c r="G26" s="942"/>
      <c r="H26" s="937"/>
      <c r="I26" s="932">
        <v>84372.288</v>
      </c>
      <c r="J26" s="933">
        <f t="shared" si="0"/>
        <v>4619.7632000000012</v>
      </c>
      <c r="K26" s="934">
        <f t="shared" si="1"/>
        <v>5.4754508968631987E-2</v>
      </c>
      <c r="L26" s="917"/>
    </row>
    <row r="27" spans="2:12" ht="15.75" thickBot="1" x14ac:dyDescent="0.3">
      <c r="B27" s="939" t="s">
        <v>406</v>
      </c>
      <c r="C27" s="930">
        <f>[23]Clinical!J14</f>
        <v>48.945399999999999</v>
      </c>
      <c r="D27" s="1870" t="s">
        <v>468</v>
      </c>
      <c r="E27" s="1863" t="s">
        <v>215</v>
      </c>
      <c r="F27" s="1863" t="s">
        <v>469</v>
      </c>
      <c r="G27" s="939"/>
      <c r="H27" s="931"/>
      <c r="I27" s="932">
        <v>43.1312</v>
      </c>
      <c r="J27" s="933">
        <f t="shared" si="0"/>
        <v>5.8141999999999996</v>
      </c>
      <c r="K27" s="934">
        <f t="shared" si="1"/>
        <v>0.13480264866268502</v>
      </c>
      <c r="L27" s="917"/>
    </row>
    <row r="28" spans="2:12" ht="15.75" thickBot="1" x14ac:dyDescent="0.3">
      <c r="B28" s="942" t="s">
        <v>408</v>
      </c>
      <c r="C28" s="936">
        <f>C27*2080</f>
        <v>101806.432</v>
      </c>
      <c r="D28" s="1871"/>
      <c r="E28" s="1864"/>
      <c r="F28" s="1864"/>
      <c r="G28" s="942"/>
      <c r="H28" s="937"/>
      <c r="I28" s="932">
        <v>89712.895999999993</v>
      </c>
      <c r="J28" s="933">
        <f t="shared" si="0"/>
        <v>12093.536000000007</v>
      </c>
      <c r="K28" s="934">
        <f t="shared" si="1"/>
        <v>0.1348026486626851</v>
      </c>
      <c r="L28" s="917"/>
    </row>
    <row r="29" spans="2:12" ht="15.75" thickBot="1" x14ac:dyDescent="0.3">
      <c r="B29" s="929" t="s">
        <v>699</v>
      </c>
      <c r="C29" s="930">
        <f>[23]Therapies!I21</f>
        <v>44.301760000000002</v>
      </c>
      <c r="D29" s="931"/>
      <c r="E29" s="1863" t="s">
        <v>206</v>
      </c>
      <c r="F29" s="1863" t="s">
        <v>700</v>
      </c>
      <c r="G29" s="939"/>
      <c r="H29" s="931"/>
      <c r="I29" s="932">
        <v>43.066240000000008</v>
      </c>
      <c r="J29" s="933">
        <f t="shared" si="0"/>
        <v>1.235519999999994</v>
      </c>
      <c r="K29" s="934">
        <f t="shared" si="1"/>
        <v>2.8688829115334744E-2</v>
      </c>
      <c r="L29" s="917"/>
    </row>
    <row r="30" spans="2:12" ht="15.75" thickBot="1" x14ac:dyDescent="0.3">
      <c r="B30" s="935" t="s">
        <v>701</v>
      </c>
      <c r="C30" s="936">
        <f>C29*2080</f>
        <v>92147.660799999998</v>
      </c>
      <c r="D30" s="937"/>
      <c r="E30" s="1864"/>
      <c r="F30" s="1864"/>
      <c r="G30" s="942"/>
      <c r="H30" s="937"/>
      <c r="I30" s="932">
        <v>89577.779200000019</v>
      </c>
      <c r="J30" s="933">
        <f t="shared" si="0"/>
        <v>2569.8815999999788</v>
      </c>
      <c r="K30" s="934">
        <f t="shared" si="1"/>
        <v>2.8688829115334647E-2</v>
      </c>
      <c r="L30" s="917"/>
    </row>
    <row r="31" spans="2:12" ht="15.75" thickBot="1" x14ac:dyDescent="0.3">
      <c r="B31" s="939" t="s">
        <v>220</v>
      </c>
      <c r="C31" s="930">
        <f>[23]Nursing!J8</f>
        <v>49.818400000000004</v>
      </c>
      <c r="D31" s="931"/>
      <c r="E31" s="1863" t="s">
        <v>221</v>
      </c>
      <c r="F31" s="1863" t="s">
        <v>471</v>
      </c>
      <c r="G31" s="939"/>
      <c r="H31" s="931"/>
      <c r="I31" s="932">
        <v>47.109200000000001</v>
      </c>
      <c r="J31" s="933">
        <f t="shared" si="0"/>
        <v>2.7092000000000027</v>
      </c>
      <c r="K31" s="934">
        <f t="shared" si="1"/>
        <v>5.7508936683280602E-2</v>
      </c>
      <c r="L31" s="917"/>
    </row>
    <row r="32" spans="2:12" ht="15.75" thickBot="1" x14ac:dyDescent="0.3">
      <c r="B32" s="942" t="s">
        <v>222</v>
      </c>
      <c r="C32" s="936">
        <f>C31*2080</f>
        <v>103622.27200000001</v>
      </c>
      <c r="D32" s="937"/>
      <c r="E32" s="1864"/>
      <c r="F32" s="1864"/>
      <c r="G32" s="942"/>
      <c r="H32" s="937"/>
      <c r="I32" s="932">
        <v>97987.135999999999</v>
      </c>
      <c r="J32" s="933">
        <f t="shared" si="0"/>
        <v>5635.1360000000132</v>
      </c>
      <c r="K32" s="934">
        <f t="shared" si="1"/>
        <v>5.7508936683280686E-2</v>
      </c>
      <c r="L32" s="917"/>
    </row>
    <row r="33" spans="2:12" ht="15.75" thickBot="1" x14ac:dyDescent="0.3">
      <c r="B33" s="939" t="s">
        <v>223</v>
      </c>
      <c r="C33" s="930">
        <f>[23]Nursing!J13</f>
        <v>67.710800000000006</v>
      </c>
      <c r="D33" s="931"/>
      <c r="E33" s="1863" t="s">
        <v>224</v>
      </c>
      <c r="F33" s="1863" t="s">
        <v>472</v>
      </c>
      <c r="G33" s="939"/>
      <c r="H33" s="931"/>
      <c r="I33" s="932">
        <v>62.008800000000001</v>
      </c>
      <c r="J33" s="933">
        <f t="shared" si="0"/>
        <v>5.7020000000000053</v>
      </c>
      <c r="K33" s="934">
        <f t="shared" si="1"/>
        <v>9.1954690302021733E-2</v>
      </c>
      <c r="L33" s="917"/>
    </row>
    <row r="34" spans="2:12" ht="15.75" thickBot="1" x14ac:dyDescent="0.3">
      <c r="B34" s="942" t="s">
        <v>225</v>
      </c>
      <c r="C34" s="936">
        <f>C33*2080</f>
        <v>140838.46400000001</v>
      </c>
      <c r="D34" s="937"/>
      <c r="E34" s="1864"/>
      <c r="F34" s="1864"/>
      <c r="G34" s="942"/>
      <c r="H34" s="937"/>
      <c r="I34" s="932">
        <v>128978.304</v>
      </c>
      <c r="J34" s="933">
        <f t="shared" si="0"/>
        <v>11860.160000000003</v>
      </c>
      <c r="K34" s="934">
        <f t="shared" si="1"/>
        <v>9.1954690302021677E-2</v>
      </c>
      <c r="L34" s="917"/>
    </row>
    <row r="35" spans="2:12" ht="15" x14ac:dyDescent="0.25">
      <c r="B35" s="917"/>
      <c r="C35" s="917"/>
      <c r="D35" s="917"/>
      <c r="E35" s="919"/>
      <c r="F35" s="919"/>
      <c r="G35" s="917"/>
      <c r="H35" s="917"/>
      <c r="I35" s="917"/>
      <c r="J35" s="920"/>
      <c r="K35" s="948">
        <f>AVERAGE(K5:K34)</f>
        <v>0.12205850732928689</v>
      </c>
      <c r="L35" s="917"/>
    </row>
    <row r="36" spans="2:12" ht="30" x14ac:dyDescent="0.25">
      <c r="B36" s="949" t="s">
        <v>702</v>
      </c>
      <c r="C36" s="941">
        <f>C6</f>
        <v>43247.567999999999</v>
      </c>
      <c r="D36" s="917"/>
      <c r="E36" s="919"/>
      <c r="F36" s="919"/>
      <c r="G36" s="917"/>
      <c r="H36" s="917"/>
      <c r="I36" s="917"/>
      <c r="J36" s="920"/>
      <c r="K36" s="917"/>
      <c r="L36" s="917"/>
    </row>
    <row r="37" spans="2:12" ht="15" x14ac:dyDescent="0.25">
      <c r="B37" s="917"/>
      <c r="C37" s="950"/>
      <c r="D37" s="917"/>
      <c r="E37" s="919"/>
      <c r="F37" s="919"/>
      <c r="G37" s="917"/>
      <c r="H37" s="917"/>
      <c r="I37" s="917"/>
      <c r="J37" s="920"/>
      <c r="K37" s="917"/>
      <c r="L37" s="917"/>
    </row>
    <row r="38" spans="2:12" ht="15" x14ac:dyDescent="0.25">
      <c r="B38" s="951" t="s">
        <v>473</v>
      </c>
      <c r="C38" s="952">
        <v>0.24970000000000001</v>
      </c>
      <c r="D38" s="917" t="s">
        <v>703</v>
      </c>
      <c r="E38" s="919"/>
      <c r="F38" s="919"/>
      <c r="G38" s="917"/>
      <c r="H38" s="917"/>
      <c r="I38" s="953"/>
      <c r="J38" s="953"/>
      <c r="K38" s="373"/>
      <c r="L38" s="917"/>
    </row>
    <row r="39" spans="2:12" ht="19.5" customHeight="1" x14ac:dyDescent="0.25">
      <c r="B39" s="951"/>
      <c r="C39" s="950"/>
      <c r="D39" s="1872" t="s">
        <v>704</v>
      </c>
      <c r="E39" s="1872"/>
      <c r="F39" s="917"/>
      <c r="G39" s="917"/>
      <c r="H39" s="917"/>
      <c r="I39" s="917"/>
      <c r="J39" s="920"/>
      <c r="K39" s="917"/>
      <c r="L39" s="917"/>
    </row>
    <row r="40" spans="2:12" ht="15" x14ac:dyDescent="0.25">
      <c r="B40" s="917"/>
      <c r="C40" s="950"/>
      <c r="D40" s="917"/>
      <c r="E40" s="919"/>
      <c r="F40" s="919"/>
      <c r="G40" s="917"/>
      <c r="H40" s="917"/>
      <c r="I40" s="917"/>
      <c r="J40" s="920"/>
      <c r="K40" s="917"/>
      <c r="L40" s="917"/>
    </row>
    <row r="41" spans="2:12" ht="15" x14ac:dyDescent="0.25">
      <c r="B41" s="951" t="s">
        <v>233</v>
      </c>
      <c r="C41" s="954">
        <v>0.12</v>
      </c>
      <c r="D41" s="917" t="s">
        <v>234</v>
      </c>
      <c r="E41" s="919"/>
      <c r="F41" s="919"/>
      <c r="G41" s="917"/>
      <c r="H41" s="917"/>
      <c r="I41" s="955">
        <v>0.12</v>
      </c>
      <c r="J41" s="920"/>
      <c r="K41" s="917"/>
      <c r="L41" s="917"/>
    </row>
    <row r="42" spans="2:12" ht="15" x14ac:dyDescent="0.25">
      <c r="B42" s="951"/>
      <c r="C42" s="956"/>
      <c r="D42" s="917"/>
      <c r="E42" s="919"/>
      <c r="F42" s="919"/>
      <c r="G42" s="917"/>
      <c r="H42" s="917"/>
      <c r="I42" s="917"/>
      <c r="J42" s="920"/>
      <c r="K42" s="917"/>
      <c r="L42" s="917"/>
    </row>
    <row r="43" spans="2:12" ht="15" x14ac:dyDescent="0.25">
      <c r="B43" s="1873" t="s">
        <v>475</v>
      </c>
      <c r="C43" s="1873"/>
      <c r="D43" s="1873"/>
      <c r="E43" s="919"/>
      <c r="F43" s="919"/>
      <c r="G43" s="917"/>
      <c r="H43" s="917"/>
      <c r="I43" s="917"/>
      <c r="J43" s="920"/>
      <c r="K43" s="917"/>
      <c r="L43" s="917"/>
    </row>
    <row r="44" spans="2:12" ht="15" x14ac:dyDescent="0.25">
      <c r="B44" s="1094" t="s">
        <v>705</v>
      </c>
      <c r="C44" s="941">
        <v>247470</v>
      </c>
      <c r="D44" s="917" t="s">
        <v>706</v>
      </c>
      <c r="E44" s="919"/>
      <c r="F44" s="919"/>
      <c r="G44" s="917"/>
      <c r="H44" s="917"/>
      <c r="I44" s="957">
        <v>247150</v>
      </c>
      <c r="J44" s="920">
        <f t="shared" ref="J44:J52" si="2">C44-I44</f>
        <v>320</v>
      </c>
      <c r="K44" s="934">
        <f>J44/I44</f>
        <v>1.2947602670443051E-3</v>
      </c>
      <c r="L44" s="917"/>
    </row>
    <row r="45" spans="2:12" ht="15" x14ac:dyDescent="0.25">
      <c r="B45" s="951" t="s">
        <v>476</v>
      </c>
      <c r="C45" s="941">
        <v>252850</v>
      </c>
      <c r="D45" s="917" t="s">
        <v>707</v>
      </c>
      <c r="E45" s="919"/>
      <c r="F45" s="919"/>
      <c r="G45" s="917"/>
      <c r="H45" s="917"/>
      <c r="I45" s="957">
        <v>206010</v>
      </c>
      <c r="J45" s="920">
        <f t="shared" si="2"/>
        <v>46840</v>
      </c>
      <c r="K45" s="934">
        <f t="shared" ref="K45:K46" si="3">J45/I45</f>
        <v>0.2273676035143925</v>
      </c>
      <c r="L45" s="917"/>
    </row>
    <row r="46" spans="2:12" ht="15" x14ac:dyDescent="0.25">
      <c r="B46" s="951" t="s">
        <v>477</v>
      </c>
      <c r="C46" s="941">
        <f>C34</f>
        <v>140838.46400000001</v>
      </c>
      <c r="D46" s="917" t="s">
        <v>708</v>
      </c>
      <c r="E46" s="919"/>
      <c r="F46" s="919"/>
      <c r="G46" s="917"/>
      <c r="H46" s="917"/>
      <c r="I46" s="957">
        <v>133902.08000000002</v>
      </c>
      <c r="J46" s="920">
        <f t="shared" si="2"/>
        <v>6936.3839999999909</v>
      </c>
      <c r="K46" s="934">
        <f t="shared" si="3"/>
        <v>5.1801913756679432E-2</v>
      </c>
      <c r="L46" s="917"/>
    </row>
    <row r="47" spans="2:12" ht="15" x14ac:dyDescent="0.25">
      <c r="B47" s="951" t="s">
        <v>709</v>
      </c>
      <c r="C47" s="958">
        <f>C6</f>
        <v>43247.567999999999</v>
      </c>
      <c r="D47" s="917" t="s">
        <v>710</v>
      </c>
      <c r="E47" s="919"/>
      <c r="F47" s="919"/>
      <c r="G47" s="917"/>
      <c r="H47" s="917"/>
      <c r="I47" s="957"/>
      <c r="J47" s="920">
        <f t="shared" si="2"/>
        <v>43247.567999999999</v>
      </c>
      <c r="K47" s="934"/>
      <c r="L47" s="917"/>
    </row>
    <row r="48" spans="2:12" ht="15" x14ac:dyDescent="0.25">
      <c r="B48" s="951" t="s">
        <v>711</v>
      </c>
      <c r="C48" s="958">
        <f>AVERAGE(C6,C8)</f>
        <v>49732.404800000004</v>
      </c>
      <c r="D48" s="917" t="s">
        <v>712</v>
      </c>
      <c r="E48" s="919"/>
      <c r="F48" s="919"/>
      <c r="G48" s="917"/>
      <c r="H48" s="917"/>
      <c r="I48" s="957"/>
      <c r="J48" s="920">
        <f t="shared" si="2"/>
        <v>49732.404800000004</v>
      </c>
      <c r="K48" s="934"/>
      <c r="L48" s="917"/>
    </row>
    <row r="49" spans="2:12" ht="15" x14ac:dyDescent="0.25">
      <c r="B49" s="951" t="s">
        <v>713</v>
      </c>
      <c r="C49" s="941">
        <f>C8</f>
        <v>56217.241600000001</v>
      </c>
      <c r="D49" s="917" t="s">
        <v>714</v>
      </c>
      <c r="E49" s="919"/>
      <c r="F49" s="919"/>
      <c r="G49" s="917"/>
      <c r="H49" s="917"/>
      <c r="I49" s="957"/>
      <c r="J49" s="920">
        <f t="shared" si="2"/>
        <v>56217.241600000001</v>
      </c>
      <c r="K49" s="934"/>
      <c r="L49" s="917"/>
    </row>
    <row r="50" spans="2:12" ht="15" x14ac:dyDescent="0.25">
      <c r="B50" s="951" t="s">
        <v>715</v>
      </c>
      <c r="C50" s="941">
        <f>[23]state_M2023_dl!O409*2080</f>
        <v>44847.296000000002</v>
      </c>
      <c r="D50" s="917" t="s">
        <v>2220</v>
      </c>
      <c r="E50" s="919"/>
      <c r="F50" s="919"/>
      <c r="G50" s="917"/>
      <c r="H50" s="917"/>
      <c r="I50" s="957"/>
      <c r="J50" s="920">
        <f t="shared" si="2"/>
        <v>44847.296000000002</v>
      </c>
      <c r="K50" s="934"/>
      <c r="L50" s="917"/>
    </row>
    <row r="51" spans="2:12" ht="15" x14ac:dyDescent="0.25">
      <c r="B51" s="951" t="s">
        <v>716</v>
      </c>
      <c r="C51" s="958">
        <f>[23]state_M2023_dl!O609*2080</f>
        <v>51381.824000000001</v>
      </c>
      <c r="D51" s="917" t="s">
        <v>2221</v>
      </c>
      <c r="E51" s="919"/>
      <c r="F51" s="919"/>
      <c r="G51" s="917"/>
      <c r="H51" s="917"/>
      <c r="I51" s="957"/>
      <c r="J51" s="920">
        <f t="shared" si="2"/>
        <v>51381.824000000001</v>
      </c>
      <c r="K51" s="934"/>
      <c r="L51" s="917"/>
    </row>
    <row r="52" spans="2:12" ht="15" x14ac:dyDescent="0.25">
      <c r="B52" s="951" t="s">
        <v>717</v>
      </c>
      <c r="C52" s="958">
        <f>28.49*2080</f>
        <v>59259.199999999997</v>
      </c>
      <c r="D52" s="917" t="s">
        <v>2222</v>
      </c>
      <c r="E52" s="919"/>
      <c r="F52" s="919"/>
      <c r="G52" s="917"/>
      <c r="H52" s="917"/>
      <c r="I52" s="957"/>
      <c r="J52" s="920">
        <f t="shared" si="2"/>
        <v>59259.199999999997</v>
      </c>
      <c r="K52" s="934"/>
      <c r="L52" s="917"/>
    </row>
    <row r="53" spans="2:12" ht="17.25" customHeight="1" x14ac:dyDescent="0.4">
      <c r="B53" s="951" t="s">
        <v>720</v>
      </c>
      <c r="C53" s="958">
        <f>state_M2023_dl!O360*2080</f>
        <v>75624.640000000014</v>
      </c>
      <c r="D53" s="917" t="s">
        <v>727</v>
      </c>
      <c r="E53" s="602"/>
      <c r="G53" s="917"/>
      <c r="H53" s="917"/>
      <c r="I53" s="957"/>
      <c r="J53" s="920"/>
      <c r="K53" s="917"/>
      <c r="L53" s="917"/>
    </row>
    <row r="54" spans="2:12" ht="15" x14ac:dyDescent="0.25">
      <c r="B54" s="951"/>
      <c r="C54" s="958"/>
      <c r="D54" s="917"/>
      <c r="E54" s="919"/>
      <c r="F54" s="919"/>
      <c r="G54" s="917"/>
      <c r="H54" s="917"/>
      <c r="I54" s="957"/>
      <c r="J54" s="920"/>
      <c r="K54" s="917"/>
      <c r="L54" s="917"/>
    </row>
    <row r="55" spans="2:12" ht="15" x14ac:dyDescent="0.25">
      <c r="B55" s="1874" t="s">
        <v>718</v>
      </c>
      <c r="C55" s="1874"/>
      <c r="D55" s="1874"/>
      <c r="E55" s="1874"/>
      <c r="F55" s="1874"/>
      <c r="G55" s="917"/>
      <c r="H55" s="917"/>
      <c r="I55" s="917"/>
      <c r="J55" s="920"/>
      <c r="K55" s="917"/>
      <c r="L55" s="917"/>
    </row>
    <row r="56" spans="2:12" ht="15" x14ac:dyDescent="0.25">
      <c r="B56" s="959" t="s">
        <v>719</v>
      </c>
      <c r="C56" s="917" t="s">
        <v>2223</v>
      </c>
      <c r="D56" s="917"/>
      <c r="E56" s="919"/>
      <c r="F56" s="919"/>
      <c r="G56" s="917"/>
      <c r="H56" s="917"/>
      <c r="I56" s="917"/>
      <c r="J56" s="920"/>
      <c r="K56" s="917"/>
      <c r="L56" s="917"/>
    </row>
    <row r="57" spans="2:12" ht="15" x14ac:dyDescent="0.25">
      <c r="B57" s="960"/>
      <c r="C57" s="1872"/>
      <c r="D57" s="1872"/>
      <c r="E57" s="1872"/>
      <c r="F57" s="1872"/>
      <c r="G57" s="1872"/>
      <c r="H57" s="1872"/>
      <c r="I57" s="1872"/>
      <c r="J57" s="1872"/>
      <c r="K57" s="917"/>
      <c r="L57" s="917"/>
    </row>
    <row r="58" spans="2:12" ht="15" x14ac:dyDescent="0.25">
      <c r="B58" s="917"/>
      <c r="C58" s="917"/>
      <c r="D58" s="917"/>
      <c r="E58" s="919"/>
      <c r="F58" s="919"/>
      <c r="G58" s="917"/>
      <c r="H58" s="917"/>
      <c r="I58" s="917"/>
      <c r="J58" s="920"/>
      <c r="K58" s="917"/>
      <c r="L58" s="917"/>
    </row>
    <row r="59" spans="2:12" ht="15" x14ac:dyDescent="0.25">
      <c r="B59" s="917"/>
      <c r="C59" s="917"/>
      <c r="D59" s="917"/>
      <c r="E59" s="919"/>
      <c r="F59" s="919"/>
      <c r="G59" s="917"/>
      <c r="H59" s="917"/>
      <c r="I59" s="917"/>
      <c r="J59" s="920"/>
      <c r="K59" s="917"/>
      <c r="L59" s="917"/>
    </row>
  </sheetData>
  <mergeCells count="36">
    <mergeCell ref="D39:E39"/>
    <mergeCell ref="B43:D43"/>
    <mergeCell ref="B55:F55"/>
    <mergeCell ref="C57:J57"/>
    <mergeCell ref="E29:E30"/>
    <mergeCell ref="F29:F30"/>
    <mergeCell ref="E31:E32"/>
    <mergeCell ref="F31:F32"/>
    <mergeCell ref="E33:E34"/>
    <mergeCell ref="F33:F34"/>
    <mergeCell ref="E23:E24"/>
    <mergeCell ref="F23:F24"/>
    <mergeCell ref="E25:E26"/>
    <mergeCell ref="F25:F26"/>
    <mergeCell ref="D27:D28"/>
    <mergeCell ref="E27:E28"/>
    <mergeCell ref="F27:F28"/>
    <mergeCell ref="E17:E18"/>
    <mergeCell ref="F17:F18"/>
    <mergeCell ref="E19:E20"/>
    <mergeCell ref="F19:F20"/>
    <mergeCell ref="E21:E22"/>
    <mergeCell ref="F21:F22"/>
    <mergeCell ref="E11:E12"/>
    <mergeCell ref="F11:F12"/>
    <mergeCell ref="E13:E14"/>
    <mergeCell ref="F13:F14"/>
    <mergeCell ref="E15:E16"/>
    <mergeCell ref="F15:F16"/>
    <mergeCell ref="E9:E10"/>
    <mergeCell ref="F9:F10"/>
    <mergeCell ref="D5:D6"/>
    <mergeCell ref="E5:E6"/>
    <mergeCell ref="F5:F6"/>
    <mergeCell ref="E7:E8"/>
    <mergeCell ref="F7:F8"/>
  </mergeCells>
  <pageMargins left="0.2" right="0.2" top="0.75" bottom="0.25" header="0.3" footer="0.3"/>
  <pageSetup scale="62" orientation="landscape" r:id="rId1"/>
  <legacy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8E6BB-5F40-44FE-84CB-E2A7523A00B4}">
  <sheetPr>
    <tabColor theme="7" tint="0.59999389629810485"/>
    <pageSetUpPr fitToPage="1"/>
  </sheetPr>
  <dimension ref="C2:U44"/>
  <sheetViews>
    <sheetView zoomScale="140" zoomScaleNormal="140" workbookViewId="0">
      <selection activeCell="G22" sqref="G22"/>
    </sheetView>
  </sheetViews>
  <sheetFormatPr defaultColWidth="8.85546875" defaultRowHeight="15" x14ac:dyDescent="0.25"/>
  <cols>
    <col min="1" max="2" width="8.85546875" style="25"/>
    <col min="3" max="3" width="33.7109375" style="25" customWidth="1"/>
    <col min="4" max="4" width="6.28515625" style="25" customWidth="1"/>
    <col min="5" max="5" width="8.7109375" style="25" customWidth="1"/>
    <col min="6" max="6" width="12.42578125" style="25" customWidth="1"/>
    <col min="7" max="7" width="12.140625" style="25" customWidth="1"/>
    <col min="8" max="8" width="28.5703125" style="25" customWidth="1"/>
    <col min="9" max="9" width="7.85546875" style="25" customWidth="1"/>
    <col min="10" max="10" width="13.7109375" style="25" customWidth="1"/>
    <col min="11" max="11" width="38" style="104" customWidth="1"/>
    <col min="12" max="21" width="0" style="25" hidden="1" customWidth="1"/>
    <col min="22" max="16384" width="8.85546875" style="25"/>
  </cols>
  <sheetData>
    <row r="2" spans="3:13" ht="15.75" thickBot="1" x14ac:dyDescent="0.3">
      <c r="C2" s="379"/>
    </row>
    <row r="3" spans="3:13" x14ac:dyDescent="0.25">
      <c r="C3" s="2053" t="s">
        <v>371</v>
      </c>
      <c r="D3" s="2054"/>
      <c r="E3" s="2054"/>
      <c r="F3" s="2055"/>
      <c r="G3" s="380"/>
      <c r="H3" s="2131" t="s">
        <v>261</v>
      </c>
      <c r="I3" s="2132"/>
      <c r="J3" s="2132"/>
      <c r="K3" s="2133"/>
    </row>
    <row r="4" spans="3:13" ht="15.75" thickBot="1" x14ac:dyDescent="0.3">
      <c r="C4" s="2056"/>
      <c r="D4" s="2057"/>
      <c r="E4" s="2057"/>
      <c r="F4" s="2058"/>
      <c r="G4" s="380"/>
      <c r="H4" s="123"/>
      <c r="I4" s="124" t="s">
        <v>3</v>
      </c>
      <c r="J4" s="359" t="s">
        <v>4</v>
      </c>
      <c r="K4" s="362"/>
    </row>
    <row r="5" spans="3:13" x14ac:dyDescent="0.25">
      <c r="C5" s="126" t="s">
        <v>0</v>
      </c>
      <c r="D5" s="127">
        <v>9</v>
      </c>
      <c r="E5" s="128" t="s">
        <v>1</v>
      </c>
      <c r="F5" s="129">
        <f>D5*365</f>
        <v>3285</v>
      </c>
      <c r="G5" s="380"/>
      <c r="H5" s="112" t="s">
        <v>8</v>
      </c>
      <c r="I5" s="130">
        <v>15</v>
      </c>
      <c r="J5" s="130">
        <f>I5*8</f>
        <v>120</v>
      </c>
      <c r="K5" s="362"/>
    </row>
    <row r="6" spans="3:13" x14ac:dyDescent="0.25">
      <c r="C6" s="123"/>
      <c r="D6" s="134"/>
      <c r="E6" s="135"/>
      <c r="F6" s="136" t="s">
        <v>7</v>
      </c>
      <c r="G6" s="380"/>
      <c r="H6" s="112" t="s">
        <v>10</v>
      </c>
      <c r="I6" s="130">
        <v>8</v>
      </c>
      <c r="J6" s="130">
        <f>I6*8</f>
        <v>64</v>
      </c>
      <c r="K6" s="362"/>
    </row>
    <row r="7" spans="3:13" x14ac:dyDescent="0.25">
      <c r="C7" s="112" t="s">
        <v>622</v>
      </c>
      <c r="D7" s="132"/>
      <c r="E7" s="124"/>
      <c r="F7" s="721">
        <v>72975</v>
      </c>
      <c r="G7" s="380"/>
      <c r="H7" s="112" t="s">
        <v>11</v>
      </c>
      <c r="I7" s="130">
        <v>11</v>
      </c>
      <c r="J7" s="130">
        <f>I7*8</f>
        <v>88</v>
      </c>
      <c r="K7" s="362"/>
    </row>
    <row r="8" spans="3:13" x14ac:dyDescent="0.25">
      <c r="C8" s="112" t="s">
        <v>621</v>
      </c>
      <c r="D8" s="132"/>
      <c r="E8" s="141"/>
      <c r="F8" s="719">
        <v>63585</v>
      </c>
      <c r="G8" s="380"/>
      <c r="H8" s="112" t="s">
        <v>12</v>
      </c>
      <c r="I8" s="130">
        <v>5</v>
      </c>
      <c r="J8" s="130">
        <f>I8*8</f>
        <v>40</v>
      </c>
      <c r="K8" s="362"/>
    </row>
    <row r="9" spans="3:13" ht="15.75" thickBot="1" x14ac:dyDescent="0.3">
      <c r="C9" s="10" t="s">
        <v>616</v>
      </c>
      <c r="D9" s="132"/>
      <c r="E9" s="132"/>
      <c r="F9" s="720">
        <v>614864</v>
      </c>
      <c r="G9" s="380"/>
      <c r="H9" s="144"/>
      <c r="I9" s="145" t="s">
        <v>14</v>
      </c>
      <c r="J9" s="768">
        <f>SUM(J5:J8)</f>
        <v>312</v>
      </c>
      <c r="K9" s="364"/>
    </row>
    <row r="10" spans="3:13" x14ac:dyDescent="0.25">
      <c r="C10" s="10" t="s">
        <v>23</v>
      </c>
      <c r="D10" s="132"/>
      <c r="E10" s="722">
        <f>J23</f>
        <v>0.25390000000000001</v>
      </c>
      <c r="F10" s="720">
        <f>SUM(F7:F9)*E10</f>
        <v>190786.55360000001</v>
      </c>
      <c r="G10" s="380"/>
      <c r="H10" s="112"/>
      <c r="I10" s="143" t="s">
        <v>15</v>
      </c>
      <c r="J10" s="365">
        <f>J9/(52*40)</f>
        <v>0.15</v>
      </c>
      <c r="K10" s="362"/>
    </row>
    <row r="11" spans="3:13" x14ac:dyDescent="0.25">
      <c r="C11" s="10" t="s">
        <v>617</v>
      </c>
      <c r="D11" s="132"/>
      <c r="E11" s="723">
        <f>J28</f>
        <v>2.7811565914169036E-2</v>
      </c>
      <c r="F11" s="719">
        <f>SUM(F7:F10)*E11</f>
        <v>26204.350916472096</v>
      </c>
      <c r="G11" s="380"/>
      <c r="H11" s="112" t="s">
        <v>422</v>
      </c>
      <c r="I11" s="156"/>
      <c r="J11" s="156">
        <v>1</v>
      </c>
      <c r="K11" s="362"/>
    </row>
    <row r="12" spans="3:13" x14ac:dyDescent="0.25">
      <c r="C12" s="148" t="s">
        <v>24</v>
      </c>
      <c r="D12" s="149"/>
      <c r="E12" s="150">
        <v>16.79</v>
      </c>
      <c r="F12" s="151">
        <f>SUM(F7:F11)</f>
        <v>968414.90451647213</v>
      </c>
      <c r="G12" s="380"/>
      <c r="H12" s="112" t="s">
        <v>624</v>
      </c>
      <c r="I12" s="156"/>
      <c r="J12" s="156">
        <v>0.25</v>
      </c>
      <c r="K12" s="362"/>
    </row>
    <row r="13" spans="3:13" x14ac:dyDescent="0.25">
      <c r="C13" s="112" t="s">
        <v>252</v>
      </c>
      <c r="D13" s="152"/>
      <c r="E13" s="154">
        <f>J27</f>
        <v>180.83</v>
      </c>
      <c r="F13" s="155">
        <f>E13*6*52</f>
        <v>56418.96</v>
      </c>
      <c r="G13" s="380"/>
      <c r="H13" s="112" t="s">
        <v>268</v>
      </c>
      <c r="I13" s="156"/>
      <c r="J13" s="156">
        <v>0.25</v>
      </c>
      <c r="K13" s="362"/>
    </row>
    <row r="14" spans="3:13" x14ac:dyDescent="0.25">
      <c r="C14" s="112" t="s">
        <v>253</v>
      </c>
      <c r="D14" s="152"/>
      <c r="E14" s="154">
        <f>'3072 Therap Grp Care 6 FY24'!E15</f>
        <v>58.551747775770423</v>
      </c>
      <c r="F14" s="155">
        <f>E14*20*52</f>
        <v>60893.817686801238</v>
      </c>
      <c r="G14" s="380"/>
      <c r="H14" s="112" t="s">
        <v>242</v>
      </c>
      <c r="I14" s="156"/>
      <c r="J14" s="156">
        <v>0.25</v>
      </c>
      <c r="K14" s="362"/>
    </row>
    <row r="15" spans="3:13" x14ac:dyDescent="0.25">
      <c r="C15" s="112" t="str">
        <f>H24</f>
        <v>Occupancy (per bed day)</v>
      </c>
      <c r="D15" s="132"/>
      <c r="E15" s="154">
        <f>J24</f>
        <v>36.21</v>
      </c>
      <c r="F15" s="155">
        <f>E15*F5</f>
        <v>118949.85</v>
      </c>
      <c r="G15" s="380"/>
      <c r="H15" s="112" t="s">
        <v>239</v>
      </c>
      <c r="I15" s="156"/>
      <c r="J15" s="367">
        <v>0.17499999999999999</v>
      </c>
      <c r="K15" s="362"/>
      <c r="M15" s="1"/>
    </row>
    <row r="16" spans="3:13" x14ac:dyDescent="0.25">
      <c r="C16" s="112" t="s">
        <v>27</v>
      </c>
      <c r="D16" s="132"/>
      <c r="E16" s="154">
        <f>J25</f>
        <v>18.36</v>
      </c>
      <c r="F16" s="155">
        <f>E16*F5</f>
        <v>60312.6</v>
      </c>
      <c r="G16" s="380"/>
      <c r="H16" s="112" t="s">
        <v>269</v>
      </c>
      <c r="I16" s="156"/>
      <c r="J16" s="156">
        <v>0.3</v>
      </c>
      <c r="K16" s="362" t="s">
        <v>286</v>
      </c>
      <c r="L16" s="1"/>
      <c r="M16" s="1"/>
    </row>
    <row r="17" spans="3:21" x14ac:dyDescent="0.25">
      <c r="C17" s="148" t="s">
        <v>29</v>
      </c>
      <c r="D17" s="149"/>
      <c r="E17" s="149"/>
      <c r="F17" s="151">
        <f>SUM(F12:F16)</f>
        <v>1264990.1322032735</v>
      </c>
      <c r="G17" s="380"/>
      <c r="H17" s="112" t="s">
        <v>19</v>
      </c>
      <c r="I17" s="156"/>
      <c r="J17" s="156">
        <v>0.75</v>
      </c>
      <c r="K17" s="362"/>
      <c r="L17" s="1"/>
      <c r="M17" s="1"/>
      <c r="N17" s="1"/>
      <c r="O17" s="1"/>
      <c r="P17" s="1"/>
      <c r="Q17" s="1"/>
      <c r="R17" s="1"/>
    </row>
    <row r="18" spans="3:21" x14ac:dyDescent="0.25">
      <c r="C18" s="112" t="s">
        <v>30</v>
      </c>
      <c r="D18" s="134"/>
      <c r="E18" s="152">
        <f>J26</f>
        <v>0.12</v>
      </c>
      <c r="F18" s="142">
        <f>(F17-F11)*E18</f>
        <v>148654.29375441617</v>
      </c>
      <c r="G18" s="393"/>
      <c r="H18" s="112" t="s">
        <v>243</v>
      </c>
      <c r="I18" s="156"/>
      <c r="J18" s="156">
        <v>1.8</v>
      </c>
      <c r="K18" s="362"/>
      <c r="L18" s="1"/>
      <c r="M18" s="1"/>
      <c r="N18" s="1"/>
      <c r="O18" s="1"/>
      <c r="P18" s="1"/>
      <c r="Q18" s="1"/>
      <c r="R18" s="1"/>
    </row>
    <row r="19" spans="3:21" x14ac:dyDescent="0.25">
      <c r="C19" s="112" t="s">
        <v>365</v>
      </c>
      <c r="D19" s="132"/>
      <c r="E19" s="152">
        <f>J28</f>
        <v>2.7811565914169036E-2</v>
      </c>
      <c r="F19" s="142">
        <f>SUM(F13:F16)*E19</f>
        <v>8248.2214933211617</v>
      </c>
      <c r="G19" s="380"/>
      <c r="H19" s="112" t="s">
        <v>272</v>
      </c>
      <c r="I19" s="156"/>
      <c r="J19" s="156">
        <v>9.4</v>
      </c>
      <c r="K19" s="362"/>
      <c r="M19" s="25" t="s">
        <v>39</v>
      </c>
      <c r="N19" s="1"/>
      <c r="O19" s="1"/>
      <c r="P19" s="1"/>
      <c r="Q19" s="1"/>
      <c r="R19" s="1"/>
    </row>
    <row r="20" spans="3:21" ht="15.75" thickBot="1" x14ac:dyDescent="0.3">
      <c r="C20" s="123" t="s">
        <v>31</v>
      </c>
      <c r="D20" s="132"/>
      <c r="E20" s="132"/>
      <c r="F20" s="153">
        <f>SUM(F17:F19)</f>
        <v>1421892.6474510108</v>
      </c>
      <c r="G20" s="380"/>
      <c r="H20" s="112" t="s">
        <v>273</v>
      </c>
      <c r="I20" s="156"/>
      <c r="J20" s="156">
        <v>0.75</v>
      </c>
      <c r="K20" s="362" t="s">
        <v>287</v>
      </c>
      <c r="L20" s="383"/>
      <c r="M20" s="147" t="s">
        <v>262</v>
      </c>
      <c r="N20" s="147" t="s">
        <v>263</v>
      </c>
      <c r="O20" s="147" t="s">
        <v>264</v>
      </c>
      <c r="P20" s="147" t="s">
        <v>265</v>
      </c>
      <c r="Q20" s="147" t="s">
        <v>266</v>
      </c>
      <c r="R20" s="147" t="s">
        <v>267</v>
      </c>
      <c r="S20" s="147" t="s">
        <v>262</v>
      </c>
    </row>
    <row r="21" spans="3:21" ht="15.75" thickBot="1" x14ac:dyDescent="0.3">
      <c r="C21" s="355" t="s">
        <v>366</v>
      </c>
      <c r="D21" s="356"/>
      <c r="E21" s="356"/>
      <c r="F21" s="372">
        <f>F20/12</f>
        <v>118491.05395425089</v>
      </c>
      <c r="G21" s="380"/>
      <c r="H21" s="112" t="s">
        <v>247</v>
      </c>
      <c r="I21" s="156"/>
      <c r="J21" s="156">
        <v>0.25</v>
      </c>
      <c r="K21" s="362"/>
      <c r="L21" s="383" t="s">
        <v>33</v>
      </c>
      <c r="M21" s="384">
        <v>1</v>
      </c>
      <c r="N21" s="384">
        <v>0.5</v>
      </c>
      <c r="O21" s="384">
        <v>0.5</v>
      </c>
      <c r="P21" s="384">
        <v>0.5</v>
      </c>
      <c r="Q21" s="384">
        <v>0.5</v>
      </c>
      <c r="R21" s="384">
        <v>0.5</v>
      </c>
      <c r="S21" s="384">
        <v>1</v>
      </c>
    </row>
    <row r="22" spans="3:21" ht="15.75" thickBot="1" x14ac:dyDescent="0.3">
      <c r="C22" s="160"/>
      <c r="D22" s="161"/>
      <c r="E22" s="163"/>
      <c r="F22" s="164"/>
      <c r="G22" s="380"/>
      <c r="H22" s="112" t="s">
        <v>274</v>
      </c>
      <c r="I22" s="156"/>
      <c r="J22" s="156">
        <v>1.7925000000000002</v>
      </c>
      <c r="K22" s="362"/>
      <c r="L22" s="383" t="s">
        <v>34</v>
      </c>
      <c r="M22" s="384">
        <v>1</v>
      </c>
      <c r="N22" s="384">
        <v>0.5</v>
      </c>
      <c r="O22" s="384">
        <v>0.5</v>
      </c>
      <c r="P22" s="384">
        <v>0.5</v>
      </c>
      <c r="Q22" s="384">
        <v>0.5</v>
      </c>
      <c r="R22" s="384">
        <v>0.5</v>
      </c>
      <c r="S22" s="384">
        <v>1</v>
      </c>
    </row>
    <row r="23" spans="3:21" ht="15.75" thickBot="1" x14ac:dyDescent="0.3">
      <c r="C23" s="160"/>
      <c r="D23" s="161"/>
      <c r="E23" s="163"/>
      <c r="F23" s="372">
        <v>101165.26602438399</v>
      </c>
      <c r="G23" s="517">
        <f>(F21-F23)/F23</f>
        <v>0.17126221884980605</v>
      </c>
      <c r="H23" s="112" t="s">
        <v>23</v>
      </c>
      <c r="I23" s="132"/>
      <c r="J23" s="366">
        <v>0.25390000000000001</v>
      </c>
      <c r="K23" s="362" t="s">
        <v>234</v>
      </c>
      <c r="L23" s="383" t="s">
        <v>35</v>
      </c>
      <c r="M23" s="385">
        <v>0</v>
      </c>
      <c r="N23" s="385">
        <v>0</v>
      </c>
      <c r="O23" s="385">
        <v>0</v>
      </c>
      <c r="P23" s="385">
        <v>0</v>
      </c>
      <c r="Q23" s="385">
        <v>0</v>
      </c>
      <c r="R23" s="385">
        <v>0</v>
      </c>
      <c r="S23" s="385">
        <v>0</v>
      </c>
    </row>
    <row r="24" spans="3:21" x14ac:dyDescent="0.25">
      <c r="C24" s="160"/>
      <c r="D24" s="161"/>
      <c r="E24" s="163"/>
      <c r="F24" s="164"/>
      <c r="G24" s="380"/>
      <c r="H24" s="112" t="s">
        <v>283</v>
      </c>
      <c r="I24" s="132"/>
      <c r="J24" s="711">
        <v>36.21</v>
      </c>
      <c r="K24" s="362" t="s">
        <v>284</v>
      </c>
      <c r="L24" s="383"/>
      <c r="M24" s="384">
        <f>SUM(M21:M23)</f>
        <v>2</v>
      </c>
      <c r="N24" s="384">
        <f t="shared" ref="N24:S24" si="0">SUM(N21:N23)</f>
        <v>1</v>
      </c>
      <c r="O24" s="384">
        <f t="shared" si="0"/>
        <v>1</v>
      </c>
      <c r="P24" s="384">
        <f t="shared" si="0"/>
        <v>1</v>
      </c>
      <c r="Q24" s="384">
        <f t="shared" si="0"/>
        <v>1</v>
      </c>
      <c r="R24" s="384">
        <f t="shared" si="0"/>
        <v>1</v>
      </c>
      <c r="S24" s="384">
        <f t="shared" si="0"/>
        <v>2</v>
      </c>
      <c r="T24" s="384">
        <f>SUM(M24:S24)</f>
        <v>9</v>
      </c>
    </row>
    <row r="25" spans="3:21" x14ac:dyDescent="0.25">
      <c r="C25" s="380"/>
      <c r="D25" s="380"/>
      <c r="E25" s="380"/>
      <c r="F25" s="380"/>
      <c r="G25" s="380"/>
      <c r="H25" s="112" t="s">
        <v>27</v>
      </c>
      <c r="I25" s="132"/>
      <c r="J25" s="711">
        <v>18.36</v>
      </c>
      <c r="K25" s="362" t="s">
        <v>285</v>
      </c>
      <c r="L25" s="1"/>
      <c r="M25" s="1"/>
      <c r="N25" s="1"/>
      <c r="O25" s="1"/>
      <c r="P25" s="1"/>
      <c r="Q25" s="1"/>
      <c r="R25" s="1"/>
      <c r="T25" s="386">
        <f>T24*8</f>
        <v>72</v>
      </c>
    </row>
    <row r="26" spans="3:21" x14ac:dyDescent="0.25">
      <c r="C26" s="380"/>
      <c r="D26" s="380"/>
      <c r="E26" s="390"/>
      <c r="F26" s="378"/>
      <c r="G26" s="396"/>
      <c r="H26" s="112" t="s">
        <v>30</v>
      </c>
      <c r="J26" s="388">
        <v>0.12</v>
      </c>
      <c r="K26" s="362" t="s">
        <v>234</v>
      </c>
      <c r="M26" s="25" t="s">
        <v>271</v>
      </c>
      <c r="N26" s="1"/>
      <c r="O26" s="1"/>
      <c r="P26" s="1"/>
      <c r="Q26" s="1"/>
      <c r="R26" s="1"/>
      <c r="T26" s="387">
        <f>T25/40</f>
        <v>1.8</v>
      </c>
    </row>
    <row r="27" spans="3:21" x14ac:dyDescent="0.25">
      <c r="C27" s="380"/>
      <c r="D27" s="380"/>
      <c r="E27" s="380"/>
      <c r="F27" s="393"/>
      <c r="G27" s="380"/>
      <c r="H27" s="112" t="s">
        <v>252</v>
      </c>
      <c r="I27" s="132"/>
      <c r="J27" s="369">
        <v>180.83</v>
      </c>
      <c r="K27" s="133" t="s">
        <v>256</v>
      </c>
      <c r="L27" s="383"/>
      <c r="M27" s="147" t="s">
        <v>262</v>
      </c>
      <c r="N27" s="147" t="s">
        <v>263</v>
      </c>
      <c r="O27" s="147" t="s">
        <v>264</v>
      </c>
      <c r="P27" s="147" t="s">
        <v>265</v>
      </c>
      <c r="Q27" s="147" t="s">
        <v>266</v>
      </c>
      <c r="R27" s="147" t="s">
        <v>267</v>
      </c>
      <c r="S27" s="147" t="s">
        <v>262</v>
      </c>
    </row>
    <row r="28" spans="3:21" ht="15.75" thickBot="1" x14ac:dyDescent="0.3">
      <c r="C28" s="380"/>
      <c r="D28" s="380"/>
      <c r="E28" s="380"/>
      <c r="F28" s="393"/>
      <c r="G28" s="380"/>
      <c r="H28" s="12" t="s">
        <v>365</v>
      </c>
      <c r="I28" s="394"/>
      <c r="J28" s="370">
        <v>2.7811565914169036E-2</v>
      </c>
      <c r="K28" s="364" t="s">
        <v>603</v>
      </c>
      <c r="L28" s="383" t="s">
        <v>33</v>
      </c>
      <c r="M28" s="384">
        <v>2</v>
      </c>
      <c r="N28" s="384">
        <v>2.5</v>
      </c>
      <c r="O28" s="384">
        <v>2.5</v>
      </c>
      <c r="P28" s="384">
        <v>2.5</v>
      </c>
      <c r="Q28" s="384">
        <v>2.5</v>
      </c>
      <c r="R28" s="384">
        <v>2.5</v>
      </c>
      <c r="S28" s="384">
        <v>2</v>
      </c>
    </row>
    <row r="29" spans="3:21" x14ac:dyDescent="0.25">
      <c r="C29" s="380"/>
      <c r="D29" s="380"/>
      <c r="E29" s="380"/>
      <c r="F29" s="397"/>
      <c r="G29" s="380"/>
      <c r="L29" s="383" t="s">
        <v>34</v>
      </c>
      <c r="M29" s="384">
        <v>2</v>
      </c>
      <c r="N29" s="384">
        <v>2.5</v>
      </c>
      <c r="O29" s="384">
        <v>2.5</v>
      </c>
      <c r="P29" s="384">
        <v>2.5</v>
      </c>
      <c r="Q29" s="384">
        <v>2.5</v>
      </c>
      <c r="R29" s="384">
        <v>2.5</v>
      </c>
      <c r="S29" s="384">
        <v>2</v>
      </c>
    </row>
    <row r="30" spans="3:21" ht="15.75" thickBot="1" x14ac:dyDescent="0.3">
      <c r="C30" s="380"/>
      <c r="D30" s="380"/>
      <c r="E30" s="380"/>
      <c r="F30" s="380"/>
      <c r="G30" s="380"/>
      <c r="L30" s="383" t="s">
        <v>35</v>
      </c>
      <c r="M30" s="385">
        <v>2</v>
      </c>
      <c r="N30" s="385">
        <v>2</v>
      </c>
      <c r="O30" s="385">
        <v>2</v>
      </c>
      <c r="P30" s="385">
        <v>2</v>
      </c>
      <c r="Q30" s="385">
        <v>2</v>
      </c>
      <c r="R30" s="385">
        <v>2</v>
      </c>
      <c r="S30" s="385">
        <v>2</v>
      </c>
    </row>
    <row r="31" spans="3:21" ht="16.5" thickTop="1" thickBot="1" x14ac:dyDescent="0.3">
      <c r="C31" s="380"/>
      <c r="D31" s="380"/>
      <c r="E31" s="380"/>
      <c r="F31" s="380"/>
      <c r="G31" s="380"/>
      <c r="H31" s="699" t="s">
        <v>604</v>
      </c>
      <c r="I31" s="520"/>
      <c r="J31" s="520"/>
      <c r="L31" s="383"/>
      <c r="M31" s="384">
        <f>SUM(M28:M30)</f>
        <v>6</v>
      </c>
      <c r="N31" s="384">
        <f t="shared" ref="N31:S31" si="1">SUM(N28:N30)</f>
        <v>7</v>
      </c>
      <c r="O31" s="384">
        <f t="shared" si="1"/>
        <v>7</v>
      </c>
      <c r="P31" s="384">
        <f t="shared" si="1"/>
        <v>7</v>
      </c>
      <c r="Q31" s="384">
        <f t="shared" si="1"/>
        <v>7</v>
      </c>
      <c r="R31" s="384">
        <f t="shared" si="1"/>
        <v>7</v>
      </c>
      <c r="S31" s="384">
        <f t="shared" si="1"/>
        <v>6</v>
      </c>
      <c r="T31" s="386">
        <f>SUM(M31:S31)</f>
        <v>47</v>
      </c>
      <c r="U31" s="25" t="s">
        <v>275</v>
      </c>
    </row>
    <row r="32" spans="3:21" x14ac:dyDescent="0.25">
      <c r="C32" s="380"/>
      <c r="D32" s="380"/>
      <c r="E32" s="380"/>
      <c r="F32" s="380"/>
      <c r="G32" s="380"/>
      <c r="H32" s="700"/>
      <c r="I32" s="701"/>
      <c r="J32" s="702"/>
      <c r="L32" s="383"/>
      <c r="M32" s="383"/>
      <c r="N32" s="383"/>
      <c r="O32" s="383"/>
      <c r="P32" s="383"/>
      <c r="Q32" s="383"/>
      <c r="R32" s="383"/>
      <c r="S32" s="383"/>
      <c r="T32" s="386">
        <f>T31*8</f>
        <v>376</v>
      </c>
      <c r="U32" s="25" t="s">
        <v>276</v>
      </c>
    </row>
    <row r="33" spans="3:21" x14ac:dyDescent="0.25">
      <c r="C33" s="380"/>
      <c r="D33" s="380"/>
      <c r="E33" s="380"/>
      <c r="F33" s="380"/>
      <c r="G33" s="380"/>
      <c r="H33" s="703" t="s">
        <v>612</v>
      </c>
      <c r="I33" s="520"/>
      <c r="J33" s="704"/>
      <c r="L33" s="383"/>
      <c r="M33" s="383"/>
      <c r="N33" s="383"/>
      <c r="O33" s="383"/>
      <c r="P33" s="383"/>
      <c r="Q33" s="383"/>
      <c r="R33" s="383"/>
      <c r="S33" s="383"/>
      <c r="T33" s="387">
        <f>T32/40</f>
        <v>9.4</v>
      </c>
      <c r="U33" s="25" t="s">
        <v>277</v>
      </c>
    </row>
    <row r="34" spans="3:21" x14ac:dyDescent="0.25">
      <c r="G34" s="380"/>
      <c r="H34" s="703" t="s">
        <v>605</v>
      </c>
      <c r="I34" s="520"/>
      <c r="J34" s="704"/>
      <c r="L34" s="383"/>
      <c r="M34" s="383" t="s">
        <v>278</v>
      </c>
      <c r="N34" s="383"/>
      <c r="O34" s="383"/>
      <c r="P34" s="383"/>
      <c r="Q34" s="383"/>
      <c r="R34" s="383"/>
      <c r="S34" s="383"/>
    </row>
    <row r="35" spans="3:21" x14ac:dyDescent="0.25">
      <c r="G35" s="380"/>
      <c r="H35" s="703"/>
      <c r="I35" s="520"/>
      <c r="J35" s="704"/>
      <c r="L35" s="383"/>
      <c r="M35" s="147" t="s">
        <v>262</v>
      </c>
      <c r="N35" s="147" t="s">
        <v>263</v>
      </c>
      <c r="O35" s="147" t="s">
        <v>264</v>
      </c>
      <c r="P35" s="147" t="s">
        <v>265</v>
      </c>
      <c r="Q35" s="147" t="s">
        <v>266</v>
      </c>
      <c r="R35" s="147" t="s">
        <v>267</v>
      </c>
      <c r="S35" s="147" t="s">
        <v>262</v>
      </c>
    </row>
    <row r="36" spans="3:21" x14ac:dyDescent="0.25">
      <c r="G36" s="380"/>
      <c r="H36" s="703"/>
      <c r="I36" s="520"/>
      <c r="J36" s="704"/>
      <c r="L36" s="383" t="s">
        <v>4</v>
      </c>
      <c r="M36" s="384">
        <v>4</v>
      </c>
      <c r="N36" s="384">
        <v>4</v>
      </c>
      <c r="O36" s="384">
        <v>4</v>
      </c>
      <c r="P36" s="384">
        <v>4</v>
      </c>
      <c r="Q36" s="384">
        <v>4</v>
      </c>
      <c r="R36" s="384">
        <v>4</v>
      </c>
      <c r="S36" s="384">
        <v>4</v>
      </c>
      <c r="T36" s="25">
        <f>SUM(M36:S36)</f>
        <v>28</v>
      </c>
      <c r="U36" s="25" t="s">
        <v>279</v>
      </c>
    </row>
    <row r="37" spans="3:21" ht="40.15" customHeight="1" x14ac:dyDescent="0.25">
      <c r="G37" s="380"/>
      <c r="H37" s="703"/>
      <c r="I37" s="520"/>
      <c r="J37" s="704"/>
      <c r="L37" s="383"/>
      <c r="M37" s="383"/>
      <c r="N37" s="383"/>
      <c r="O37" s="383"/>
      <c r="P37" s="383"/>
      <c r="Q37" s="383"/>
      <c r="R37" s="383"/>
      <c r="S37" s="383"/>
      <c r="T37" s="389">
        <f>T36/40</f>
        <v>0.7</v>
      </c>
      <c r="U37" s="25" t="s">
        <v>281</v>
      </c>
    </row>
    <row r="38" spans="3:21" x14ac:dyDescent="0.25">
      <c r="G38" s="380"/>
      <c r="H38" s="703"/>
      <c r="I38" s="520"/>
      <c r="J38" s="704"/>
    </row>
    <row r="39" spans="3:21" ht="15.75" thickBot="1" x14ac:dyDescent="0.3">
      <c r="G39" s="380"/>
      <c r="H39" s="705"/>
      <c r="I39" s="706"/>
      <c r="J39" s="707"/>
    </row>
    <row r="43" spans="3:21" ht="15" customHeight="1" x14ac:dyDescent="0.25"/>
    <row r="44" spans="3:21" ht="15.6" customHeight="1" x14ac:dyDescent="0.25"/>
  </sheetData>
  <mergeCells count="2">
    <mergeCell ref="C3:F4"/>
    <mergeCell ref="H3:K3"/>
  </mergeCells>
  <pageMargins left="0.2" right="0.2" top="0.25" bottom="0.25" header="0.05" footer="0.05"/>
  <pageSetup paperSize="5" scale="67"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91691-4622-4F1E-9818-3EE82C9EC131}">
  <sheetPr>
    <tabColor theme="7" tint="0.59999389629810485"/>
    <pageSetUpPr fitToPage="1"/>
  </sheetPr>
  <dimension ref="C2:L31"/>
  <sheetViews>
    <sheetView zoomScale="130" zoomScaleNormal="130" workbookViewId="0">
      <selection activeCell="R22" sqref="R22:T22"/>
    </sheetView>
  </sheetViews>
  <sheetFormatPr defaultColWidth="8.85546875" defaultRowHeight="15" x14ac:dyDescent="0.25"/>
  <cols>
    <col min="1" max="2" width="8.85546875" style="25"/>
    <col min="3" max="3" width="33.7109375" style="25" customWidth="1"/>
    <col min="4" max="4" width="6.5703125" style="25" customWidth="1"/>
    <col min="5" max="5" width="12.28515625" style="25" customWidth="1"/>
    <col min="6" max="6" width="10.140625" style="25" customWidth="1"/>
    <col min="7" max="7" width="11" style="25" customWidth="1"/>
    <col min="8" max="8" width="12.28515625" style="25" customWidth="1"/>
    <col min="9" max="9" width="28.5703125" style="25" customWidth="1"/>
    <col min="10" max="10" width="8" style="25" customWidth="1"/>
    <col min="11" max="11" width="13" style="25" customWidth="1"/>
    <col min="12" max="12" width="27.140625" style="104" customWidth="1"/>
    <col min="13" max="16384" width="8.85546875" style="25"/>
  </cols>
  <sheetData>
    <row r="2" spans="3:12" ht="15.75" thickBot="1" x14ac:dyDescent="0.3">
      <c r="C2" s="379"/>
    </row>
    <row r="3" spans="3:12" x14ac:dyDescent="0.25">
      <c r="C3" s="2053" t="s">
        <v>370</v>
      </c>
      <c r="D3" s="2054"/>
      <c r="E3" s="2054"/>
      <c r="F3" s="2054"/>
      <c r="G3" s="2055"/>
      <c r="H3" s="380"/>
      <c r="I3" s="2131" t="s">
        <v>261</v>
      </c>
      <c r="J3" s="2132"/>
      <c r="K3" s="2132"/>
      <c r="L3" s="2133"/>
    </row>
    <row r="4" spans="3:12" ht="15.75" thickBot="1" x14ac:dyDescent="0.3">
      <c r="C4" s="2056"/>
      <c r="D4" s="2057"/>
      <c r="E4" s="2057"/>
      <c r="F4" s="2057"/>
      <c r="G4" s="2058"/>
      <c r="H4" s="380"/>
      <c r="I4" s="123"/>
      <c r="J4" s="124" t="s">
        <v>3</v>
      </c>
      <c r="K4" s="359" t="s">
        <v>4</v>
      </c>
      <c r="L4" s="362"/>
    </row>
    <row r="5" spans="3:12" x14ac:dyDescent="0.25">
      <c r="C5" s="126" t="s">
        <v>0</v>
      </c>
      <c r="D5" s="127">
        <v>12</v>
      </c>
      <c r="E5" s="128"/>
      <c r="F5" s="128" t="s">
        <v>1</v>
      </c>
      <c r="G5" s="129">
        <f>D5*365</f>
        <v>4380</v>
      </c>
      <c r="H5" s="380"/>
      <c r="I5" s="112" t="s">
        <v>8</v>
      </c>
      <c r="J5" s="130">
        <v>15</v>
      </c>
      <c r="K5" s="130">
        <f>J5*8</f>
        <v>120</v>
      </c>
      <c r="L5" s="362"/>
    </row>
    <row r="6" spans="3:12" x14ac:dyDescent="0.25">
      <c r="C6" s="123"/>
      <c r="D6" s="134"/>
      <c r="E6" s="135"/>
      <c r="F6" s="135"/>
      <c r="G6" s="136" t="s">
        <v>7</v>
      </c>
      <c r="H6" s="380"/>
      <c r="I6" s="112" t="s">
        <v>10</v>
      </c>
      <c r="J6" s="130">
        <v>8</v>
      </c>
      <c r="K6" s="130">
        <f>J6*8</f>
        <v>64</v>
      </c>
      <c r="L6" s="362"/>
    </row>
    <row r="7" spans="3:12" x14ac:dyDescent="0.25">
      <c r="C7" s="112" t="s">
        <v>622</v>
      </c>
      <c r="D7" s="132"/>
      <c r="E7" s="124"/>
      <c r="F7" s="124"/>
      <c r="G7" s="721">
        <v>72975</v>
      </c>
      <c r="H7" s="380"/>
      <c r="I7" s="112" t="s">
        <v>11</v>
      </c>
      <c r="J7" s="130">
        <v>11</v>
      </c>
      <c r="K7" s="130">
        <f>J7*8</f>
        <v>88</v>
      </c>
      <c r="L7" s="362"/>
    </row>
    <row r="8" spans="3:12" x14ac:dyDescent="0.25">
      <c r="C8" s="112" t="s">
        <v>621</v>
      </c>
      <c r="D8" s="132"/>
      <c r="E8" s="140"/>
      <c r="F8" s="141"/>
      <c r="G8" s="719">
        <v>165417</v>
      </c>
      <c r="H8" s="380"/>
      <c r="I8" s="112" t="s">
        <v>12</v>
      </c>
      <c r="J8" s="130">
        <v>5</v>
      </c>
      <c r="K8" s="130">
        <f>J8*8</f>
        <v>40</v>
      </c>
      <c r="L8" s="362"/>
    </row>
    <row r="9" spans="3:12" ht="15.75" thickBot="1" x14ac:dyDescent="0.3">
      <c r="C9" s="10" t="s">
        <v>616</v>
      </c>
      <c r="D9" s="132"/>
      <c r="E9" s="132"/>
      <c r="F9" s="132"/>
      <c r="G9" s="720">
        <v>745225</v>
      </c>
      <c r="H9" s="380"/>
      <c r="I9" s="144"/>
      <c r="J9" s="145" t="s">
        <v>14</v>
      </c>
      <c r="K9" s="768">
        <f>SUM(K5:K8)</f>
        <v>312</v>
      </c>
      <c r="L9" s="364"/>
    </row>
    <row r="10" spans="3:12" x14ac:dyDescent="0.25">
      <c r="C10" s="10" t="s">
        <v>23</v>
      </c>
      <c r="D10" s="132"/>
      <c r="E10" s="132"/>
      <c r="F10" s="152">
        <f>K22</f>
        <v>0.25390000000000001</v>
      </c>
      <c r="G10" s="720">
        <f>SUM(G7:G9)*F10</f>
        <v>249740.35630000001</v>
      </c>
      <c r="H10" s="380"/>
      <c r="I10" s="112"/>
      <c r="J10" s="143" t="s">
        <v>15</v>
      </c>
      <c r="K10" s="365">
        <f>K9/(52*40)</f>
        <v>0.15</v>
      </c>
      <c r="L10" s="362"/>
    </row>
    <row r="11" spans="3:12" x14ac:dyDescent="0.25">
      <c r="C11" s="10" t="s">
        <v>617</v>
      </c>
      <c r="D11" s="132"/>
      <c r="E11" s="132"/>
      <c r="F11" s="152">
        <f>K27</f>
        <v>2.7811565914169036E-2</v>
      </c>
      <c r="G11" s="720">
        <f>SUM(G7:G10)*F11</f>
        <v>34301.599410462717</v>
      </c>
      <c r="H11" s="380"/>
      <c r="I11" s="112" t="s">
        <v>422</v>
      </c>
      <c r="J11" s="156"/>
      <c r="K11" s="156">
        <v>1</v>
      </c>
      <c r="L11" s="362"/>
    </row>
    <row r="12" spans="3:12" x14ac:dyDescent="0.25">
      <c r="C12" s="148" t="s">
        <v>24</v>
      </c>
      <c r="D12" s="149"/>
      <c r="E12" s="149"/>
      <c r="F12" s="769">
        <v>21.414999999999999</v>
      </c>
      <c r="G12" s="151">
        <f>SUM(G7:G11)</f>
        <v>1267658.9557104628</v>
      </c>
      <c r="H12" s="380"/>
      <c r="I12" s="112" t="s">
        <v>268</v>
      </c>
      <c r="J12" s="156"/>
      <c r="K12" s="156">
        <v>0.5</v>
      </c>
      <c r="L12" s="362"/>
    </row>
    <row r="13" spans="3:12" x14ac:dyDescent="0.25">
      <c r="C13" s="112" t="str">
        <f>I26</f>
        <v>Psychiatric Consultation Services</v>
      </c>
      <c r="D13" s="152"/>
      <c r="E13" s="132"/>
      <c r="F13" s="154">
        <f>'Therapeutic Grp Care 9 Bed '!F26</f>
        <v>186.68676153846155</v>
      </c>
      <c r="G13" s="155">
        <f>F13*8*52</f>
        <v>77661.692800000004</v>
      </c>
      <c r="H13" s="380"/>
      <c r="I13" s="112" t="s">
        <v>242</v>
      </c>
      <c r="J13" s="156"/>
      <c r="K13" s="156">
        <v>0.5</v>
      </c>
      <c r="L13" s="362"/>
    </row>
    <row r="14" spans="3:12" x14ac:dyDescent="0.25">
      <c r="C14" s="112" t="str">
        <f>I23</f>
        <v>Occupancy (per bed day)</v>
      </c>
      <c r="D14" s="132"/>
      <c r="E14" s="132"/>
      <c r="F14" s="154">
        <f>K23</f>
        <v>36.21</v>
      </c>
      <c r="G14" s="155">
        <f>F14*G5</f>
        <v>158599.80000000002</v>
      </c>
      <c r="H14" s="380"/>
      <c r="I14" s="112" t="s">
        <v>269</v>
      </c>
      <c r="J14" s="156"/>
      <c r="K14" s="367">
        <v>0.37500000000000006</v>
      </c>
      <c r="L14" s="362"/>
    </row>
    <row r="15" spans="3:12" x14ac:dyDescent="0.25">
      <c r="C15" s="112" t="s">
        <v>27</v>
      </c>
      <c r="D15" s="132"/>
      <c r="E15" s="132"/>
      <c r="F15" s="154">
        <f>K24</f>
        <v>18.36</v>
      </c>
      <c r="G15" s="155">
        <f>F15*G5</f>
        <v>80416.800000000003</v>
      </c>
      <c r="H15" s="380"/>
      <c r="I15" s="112" t="s">
        <v>19</v>
      </c>
      <c r="J15" s="156"/>
      <c r="K15" s="156">
        <v>0.75</v>
      </c>
      <c r="L15" s="362"/>
    </row>
    <row r="16" spans="3:12" x14ac:dyDescent="0.25">
      <c r="C16" s="148" t="s">
        <v>29</v>
      </c>
      <c r="D16" s="149"/>
      <c r="E16" s="149"/>
      <c r="F16" s="149"/>
      <c r="G16" s="151">
        <f>SUM(G12:G15)</f>
        <v>1584337.2485104629</v>
      </c>
      <c r="H16" s="380"/>
      <c r="I16" s="112" t="s">
        <v>243</v>
      </c>
      <c r="J16" s="156"/>
      <c r="K16" s="156">
        <v>1.8</v>
      </c>
      <c r="L16" s="362"/>
    </row>
    <row r="17" spans="3:12" x14ac:dyDescent="0.25">
      <c r="C17" s="112" t="s">
        <v>30</v>
      </c>
      <c r="D17" s="134"/>
      <c r="E17" s="710"/>
      <c r="F17" s="152">
        <f>K25</f>
        <v>0.12</v>
      </c>
      <c r="G17" s="142">
        <f>(G16-G11)*F17</f>
        <v>186004.27789200001</v>
      </c>
      <c r="H17" s="380"/>
      <c r="I17" s="112" t="s">
        <v>272</v>
      </c>
      <c r="J17" s="156"/>
      <c r="K17" s="156">
        <v>11.8</v>
      </c>
      <c r="L17" s="362"/>
    </row>
    <row r="18" spans="3:12" x14ac:dyDescent="0.25">
      <c r="C18" s="112" t="s">
        <v>365</v>
      </c>
      <c r="D18" s="132"/>
      <c r="E18" s="152"/>
      <c r="F18" s="152">
        <f>K27</f>
        <v>2.7811565914169036E-2</v>
      </c>
      <c r="G18" s="142">
        <f>SUM(G13:G15)*F18</f>
        <v>8807.3192137937222</v>
      </c>
      <c r="H18" s="380"/>
      <c r="I18" s="112" t="s">
        <v>273</v>
      </c>
      <c r="J18" s="156"/>
      <c r="K18" s="156">
        <v>1</v>
      </c>
      <c r="L18" s="362"/>
    </row>
    <row r="19" spans="3:12" ht="15.75" thickBot="1" x14ac:dyDescent="0.3">
      <c r="C19" s="123" t="s">
        <v>31</v>
      </c>
      <c r="D19" s="132"/>
      <c r="E19" s="132"/>
      <c r="F19" s="132"/>
      <c r="G19" s="153">
        <f>SUM(G16:G18)</f>
        <v>1779148.8456162566</v>
      </c>
      <c r="H19" s="380"/>
      <c r="I19" s="112" t="s">
        <v>376</v>
      </c>
      <c r="J19" s="156"/>
      <c r="K19" s="156">
        <v>1</v>
      </c>
      <c r="L19" s="362"/>
    </row>
    <row r="20" spans="3:12" ht="15.75" thickBot="1" x14ac:dyDescent="0.3">
      <c r="C20" s="355" t="s">
        <v>367</v>
      </c>
      <c r="D20" s="356"/>
      <c r="E20" s="371"/>
      <c r="F20" s="356"/>
      <c r="G20" s="372">
        <f>G19/12</f>
        <v>148262.40380135473</v>
      </c>
      <c r="H20" s="380"/>
      <c r="I20" s="112" t="s">
        <v>274</v>
      </c>
      <c r="J20" s="156"/>
      <c r="K20" s="156">
        <v>2.19</v>
      </c>
      <c r="L20" s="362"/>
    </row>
    <row r="21" spans="3:12" ht="15.75" thickBot="1" x14ac:dyDescent="0.3">
      <c r="C21" s="160"/>
      <c r="D21" s="161"/>
      <c r="E21" s="377"/>
      <c r="F21" s="163"/>
      <c r="G21" s="164"/>
      <c r="H21" s="380"/>
      <c r="I21" s="112" t="s">
        <v>247</v>
      </c>
      <c r="J21" s="156"/>
      <c r="K21" s="156">
        <v>0.5</v>
      </c>
      <c r="L21" s="362"/>
    </row>
    <row r="22" spans="3:12" ht="15.75" thickBot="1" x14ac:dyDescent="0.3">
      <c r="C22" s="160"/>
      <c r="D22" s="161"/>
      <c r="E22" s="162"/>
      <c r="F22" s="163"/>
      <c r="G22" s="372">
        <v>125901.11424597894</v>
      </c>
      <c r="H22" s="519">
        <f>(G20-G22)/G22</f>
        <v>0.17760994165379251</v>
      </c>
      <c r="I22" s="112" t="s">
        <v>23</v>
      </c>
      <c r="J22" s="132"/>
      <c r="K22" s="366">
        <v>0.25390000000000001</v>
      </c>
      <c r="L22" s="362" t="s">
        <v>234</v>
      </c>
    </row>
    <row r="23" spans="3:12" x14ac:dyDescent="0.25">
      <c r="C23" s="160"/>
      <c r="D23" s="161"/>
      <c r="E23" s="162"/>
      <c r="F23" s="163"/>
      <c r="G23" s="164"/>
      <c r="H23" s="380"/>
      <c r="I23" s="112" t="s">
        <v>283</v>
      </c>
      <c r="J23" s="132"/>
      <c r="K23" s="368">
        <v>36.21</v>
      </c>
      <c r="L23" s="362" t="s">
        <v>284</v>
      </c>
    </row>
    <row r="24" spans="3:12" ht="24.75" x14ac:dyDescent="0.25">
      <c r="C24" s="380"/>
      <c r="D24" s="380"/>
      <c r="E24" s="380"/>
      <c r="F24" s="380"/>
      <c r="G24" s="380"/>
      <c r="H24" s="380"/>
      <c r="I24" s="112" t="s">
        <v>27</v>
      </c>
      <c r="J24" s="132"/>
      <c r="K24" s="368">
        <v>18.36</v>
      </c>
      <c r="L24" s="362" t="s">
        <v>285</v>
      </c>
    </row>
    <row r="25" spans="3:12" x14ac:dyDescent="0.25">
      <c r="C25" s="380"/>
      <c r="D25" s="380"/>
      <c r="E25" s="390"/>
      <c r="F25" s="390"/>
      <c r="G25" s="378"/>
      <c r="H25" s="399"/>
      <c r="I25" s="112" t="s">
        <v>30</v>
      </c>
      <c r="K25" s="388">
        <v>0.12</v>
      </c>
      <c r="L25" s="362" t="s">
        <v>234</v>
      </c>
    </row>
    <row r="26" spans="3:12" x14ac:dyDescent="0.25">
      <c r="C26" s="380"/>
      <c r="D26" s="380"/>
      <c r="E26" s="390"/>
      <c r="F26" s="390"/>
      <c r="G26" s="378"/>
      <c r="H26" s="380"/>
      <c r="I26" s="112" t="s">
        <v>252</v>
      </c>
      <c r="J26" s="132"/>
      <c r="K26" s="369">
        <v>180.83</v>
      </c>
      <c r="L26" s="133" t="s">
        <v>256</v>
      </c>
    </row>
    <row r="27" spans="3:12" ht="15.75" thickBot="1" x14ac:dyDescent="0.3">
      <c r="C27" s="380"/>
      <c r="D27" s="380"/>
      <c r="E27" s="390"/>
      <c r="F27" s="390"/>
      <c r="G27" s="378"/>
      <c r="H27" s="380"/>
      <c r="I27" s="12" t="s">
        <v>36</v>
      </c>
      <c r="J27" s="394"/>
      <c r="K27" s="370">
        <v>2.7811565914169036E-2</v>
      </c>
      <c r="L27" s="364" t="s">
        <v>603</v>
      </c>
    </row>
    <row r="28" spans="3:12" x14ac:dyDescent="0.25">
      <c r="C28" s="380"/>
      <c r="D28" s="380"/>
      <c r="E28" s="390"/>
      <c r="F28" s="390"/>
      <c r="G28" s="378"/>
      <c r="H28" s="380"/>
    </row>
    <row r="29" spans="3:12" x14ac:dyDescent="0.25">
      <c r="C29" s="380"/>
      <c r="D29" s="380"/>
      <c r="E29" s="390"/>
      <c r="F29" s="390"/>
      <c r="G29" s="390"/>
      <c r="H29" s="380"/>
    </row>
    <row r="30" spans="3:12" x14ac:dyDescent="0.25">
      <c r="C30" s="380"/>
      <c r="D30" s="380"/>
      <c r="E30" s="390"/>
      <c r="F30" s="390"/>
      <c r="G30" s="390"/>
      <c r="H30" s="380"/>
    </row>
    <row r="31" spans="3:12" x14ac:dyDescent="0.25">
      <c r="C31" s="380"/>
      <c r="D31" s="380"/>
      <c r="E31" s="390"/>
      <c r="F31" s="390"/>
      <c r="G31" s="390"/>
      <c r="H31" s="380"/>
    </row>
  </sheetData>
  <mergeCells count="2">
    <mergeCell ref="C3:G4"/>
    <mergeCell ref="I3:L3"/>
  </mergeCells>
  <pageMargins left="0.2" right="0.2" top="0.2" bottom="0.2" header="0" footer="0"/>
  <pageSetup paperSize="5" scale="53"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50"/>
    <pageSetUpPr fitToPage="1"/>
  </sheetPr>
  <dimension ref="B1:N89"/>
  <sheetViews>
    <sheetView topLeftCell="A4" zoomScale="70" zoomScaleNormal="70" zoomScaleSheetLayoutView="50" workbookViewId="0">
      <selection activeCell="N11" sqref="N11"/>
    </sheetView>
  </sheetViews>
  <sheetFormatPr defaultColWidth="46.5703125" defaultRowHeight="12.75" x14ac:dyDescent="0.2"/>
  <cols>
    <col min="1" max="1" width="13.5703125" style="167" customWidth="1"/>
    <col min="2" max="2" width="51.85546875" style="167" customWidth="1"/>
    <col min="3" max="4" width="11" style="167" bestFit="1" customWidth="1"/>
    <col min="5" max="5" width="43.5703125" style="167" customWidth="1"/>
    <col min="6" max="6" width="2.7109375" style="167" customWidth="1"/>
    <col min="7" max="7" width="12.28515625" style="167" customWidth="1"/>
    <col min="8" max="8" width="25.42578125" style="167" customWidth="1"/>
    <col min="9" max="9" width="12.85546875" style="167" bestFit="1" customWidth="1"/>
    <col min="10" max="10" width="13.42578125" style="167" customWidth="1"/>
    <col min="11" max="11" width="18.28515625" style="167" customWidth="1"/>
    <col min="12" max="12" width="7" style="167" customWidth="1"/>
    <col min="13" max="16384" width="46.5703125" style="167"/>
  </cols>
  <sheetData>
    <row r="1" spans="2:14" ht="19.5" thickBot="1" x14ac:dyDescent="0.35">
      <c r="B1" s="165"/>
      <c r="C1" s="165"/>
      <c r="D1" s="165"/>
      <c r="E1" s="165"/>
      <c r="F1" s="165"/>
      <c r="G1" s="165"/>
      <c r="H1" s="166"/>
      <c r="I1" s="166"/>
      <c r="J1" s="166"/>
      <c r="K1" s="166"/>
      <c r="L1" s="165"/>
    </row>
    <row r="2" spans="2:14" ht="19.5" thickBot="1" x14ac:dyDescent="0.35">
      <c r="B2" s="2146" t="s">
        <v>292</v>
      </c>
      <c r="C2" s="2147"/>
      <c r="D2" s="2147"/>
      <c r="E2" s="2148"/>
      <c r="F2" s="168"/>
      <c r="G2" s="169"/>
      <c r="H2" s="2149" t="s">
        <v>293</v>
      </c>
      <c r="I2" s="2150"/>
      <c r="J2" s="2150"/>
      <c r="K2" s="2151"/>
      <c r="L2" s="166"/>
      <c r="M2" s="170"/>
    </row>
    <row r="3" spans="2:14" ht="16.5" customHeight="1" x14ac:dyDescent="0.3">
      <c r="B3" s="2152" t="s">
        <v>294</v>
      </c>
      <c r="C3" s="2153"/>
      <c r="D3" s="2154"/>
      <c r="E3" s="171" t="s">
        <v>45</v>
      </c>
      <c r="F3" s="172" t="s">
        <v>241</v>
      </c>
      <c r="G3" s="173"/>
      <c r="H3" s="174" t="s">
        <v>295</v>
      </c>
      <c r="I3" s="175">
        <v>5</v>
      </c>
      <c r="J3" s="176" t="s">
        <v>296</v>
      </c>
      <c r="K3" s="177">
        <v>1825</v>
      </c>
      <c r="L3" s="178"/>
      <c r="M3" s="179"/>
      <c r="N3"/>
    </row>
    <row r="4" spans="2:14" ht="48" x14ac:dyDescent="0.3">
      <c r="B4" s="180" t="s">
        <v>297</v>
      </c>
      <c r="C4" s="2139">
        <v>43971.200000000004</v>
      </c>
      <c r="D4" s="2140"/>
      <c r="E4" s="181" t="s">
        <v>298</v>
      </c>
      <c r="F4" s="182"/>
      <c r="G4" s="183"/>
      <c r="H4" s="184" t="s">
        <v>182</v>
      </c>
      <c r="I4" s="185" t="s">
        <v>5</v>
      </c>
      <c r="J4" s="185" t="s">
        <v>299</v>
      </c>
      <c r="K4" s="186" t="s">
        <v>7</v>
      </c>
      <c r="L4" s="187"/>
      <c r="M4" s="188"/>
      <c r="N4"/>
    </row>
    <row r="5" spans="2:14" ht="48" x14ac:dyDescent="0.3">
      <c r="B5" s="180" t="s">
        <v>300</v>
      </c>
      <c r="C5" s="2139">
        <v>41516.800000000003</v>
      </c>
      <c r="D5" s="2140"/>
      <c r="E5" s="181" t="s">
        <v>301</v>
      </c>
      <c r="F5" s="189"/>
      <c r="G5" s="190"/>
      <c r="H5" s="191" t="s">
        <v>297</v>
      </c>
      <c r="I5" s="192">
        <f>C4</f>
        <v>43971.200000000004</v>
      </c>
      <c r="J5" s="193">
        <f>D11*I3</f>
        <v>0.5</v>
      </c>
      <c r="K5" s="194">
        <f>J5*I5</f>
        <v>21985.600000000002</v>
      </c>
      <c r="L5" s="195"/>
      <c r="M5" s="188"/>
      <c r="N5"/>
    </row>
    <row r="6" spans="2:14" ht="32.25" x14ac:dyDescent="0.3">
      <c r="B6" s="196" t="s">
        <v>302</v>
      </c>
      <c r="C6" s="2139">
        <v>52665.599999999999</v>
      </c>
      <c r="D6" s="2140"/>
      <c r="E6" s="181" t="s">
        <v>303</v>
      </c>
      <c r="F6" s="168"/>
      <c r="G6" s="197"/>
      <c r="H6" s="191" t="s">
        <v>300</v>
      </c>
      <c r="I6" s="192">
        <f>C5</f>
        <v>41516.800000000003</v>
      </c>
      <c r="J6" s="193">
        <f>D12*I3</f>
        <v>0.25</v>
      </c>
      <c r="K6" s="194">
        <f>J6*I6</f>
        <v>10379.200000000001</v>
      </c>
      <c r="L6" s="198"/>
      <c r="M6" s="199"/>
      <c r="N6"/>
    </row>
    <row r="7" spans="2:14" ht="32.25" x14ac:dyDescent="0.3">
      <c r="B7" s="180" t="s">
        <v>25</v>
      </c>
      <c r="C7" s="2139">
        <v>32198.400000000001</v>
      </c>
      <c r="D7" s="2140"/>
      <c r="E7" s="181" t="s">
        <v>304</v>
      </c>
      <c r="F7" s="168"/>
      <c r="G7" s="197"/>
      <c r="H7" s="200" t="str">
        <f>B6</f>
        <v>Case Manager</v>
      </c>
      <c r="I7" s="192">
        <f>C6</f>
        <v>52665.599999999999</v>
      </c>
      <c r="J7" s="201">
        <f>D13*I3</f>
        <v>1</v>
      </c>
      <c r="K7" s="194">
        <f>J7*I7</f>
        <v>52665.599999999999</v>
      </c>
      <c r="L7" s="198"/>
      <c r="M7" s="199"/>
      <c r="N7"/>
    </row>
    <row r="8" spans="2:14" ht="19.5" thickBot="1" x14ac:dyDescent="0.35">
      <c r="B8" s="202" t="s">
        <v>305</v>
      </c>
      <c r="C8" s="2141">
        <v>56840</v>
      </c>
      <c r="D8" s="2142"/>
      <c r="E8" s="203" t="s">
        <v>306</v>
      </c>
      <c r="F8" s="168"/>
      <c r="G8" s="197"/>
      <c r="H8" s="191" t="s">
        <v>25</v>
      </c>
      <c r="I8" s="192">
        <f>C7</f>
        <v>32198.400000000001</v>
      </c>
      <c r="J8" s="204">
        <f>D14*I3</f>
        <v>0.625</v>
      </c>
      <c r="K8" s="194">
        <f>J8*I8</f>
        <v>20124</v>
      </c>
      <c r="L8" s="198"/>
      <c r="M8" s="199"/>
      <c r="N8"/>
    </row>
    <row r="9" spans="2:14" ht="19.5" thickBot="1" x14ac:dyDescent="0.35">
      <c r="B9" s="2143" t="s">
        <v>248</v>
      </c>
      <c r="C9" s="2144"/>
      <c r="D9" s="2144"/>
      <c r="E9" s="2145"/>
      <c r="F9" s="205"/>
      <c r="G9" s="197"/>
      <c r="H9" s="191" t="s">
        <v>305</v>
      </c>
      <c r="I9" s="206">
        <f>C8</f>
        <v>56840</v>
      </c>
      <c r="J9" s="204">
        <f>D15*I3</f>
        <v>0.125</v>
      </c>
      <c r="K9" s="194">
        <f>J9*I9</f>
        <v>7105</v>
      </c>
      <c r="L9" s="198"/>
      <c r="M9" s="199"/>
      <c r="N9"/>
    </row>
    <row r="10" spans="2:14" ht="19.5" thickBot="1" x14ac:dyDescent="0.35">
      <c r="B10" s="207" t="s">
        <v>307</v>
      </c>
      <c r="C10" s="208" t="s">
        <v>308</v>
      </c>
      <c r="D10" s="209" t="s">
        <v>309</v>
      </c>
      <c r="E10" s="210"/>
      <c r="F10" s="211"/>
      <c r="G10" s="197"/>
      <c r="H10" s="212" t="s">
        <v>20</v>
      </c>
      <c r="I10" s="213"/>
      <c r="J10" s="214">
        <f>SUM(J5:J9)</f>
        <v>2.5</v>
      </c>
      <c r="K10" s="215">
        <f>SUM(K5:K9)</f>
        <v>112259.4</v>
      </c>
      <c r="L10" s="198"/>
      <c r="M10" s="199"/>
      <c r="N10"/>
    </row>
    <row r="11" spans="2:14" ht="18.75" x14ac:dyDescent="0.3">
      <c r="B11" s="180" t="s">
        <v>297</v>
      </c>
      <c r="C11" s="216">
        <f>1/25</f>
        <v>0.04</v>
      </c>
      <c r="D11" s="217">
        <f>1/10</f>
        <v>0.1</v>
      </c>
      <c r="E11" s="218" t="s">
        <v>310</v>
      </c>
      <c r="F11" s="219"/>
      <c r="G11" s="220"/>
      <c r="H11" s="221"/>
      <c r="I11" s="222"/>
      <c r="J11" s="223"/>
      <c r="K11" s="224"/>
      <c r="L11" s="225"/>
      <c r="M11" s="199"/>
      <c r="N11"/>
    </row>
    <row r="12" spans="2:14" ht="32.25" x14ac:dyDescent="0.3">
      <c r="B12" s="180" t="s">
        <v>300</v>
      </c>
      <c r="C12" s="216">
        <f>1/6/8</f>
        <v>2.0833333333333332E-2</v>
      </c>
      <c r="D12" s="226">
        <f>1/4/5</f>
        <v>0.05</v>
      </c>
      <c r="E12" s="218" t="s">
        <v>311</v>
      </c>
      <c r="F12" s="227"/>
      <c r="G12" s="220"/>
      <c r="H12" s="228" t="s">
        <v>23</v>
      </c>
      <c r="I12" s="229"/>
      <c r="J12" s="230">
        <v>0.224</v>
      </c>
      <c r="K12" s="231">
        <f>K10*J12</f>
        <v>25146.105599999999</v>
      </c>
      <c r="L12" s="232"/>
      <c r="M12" s="199"/>
      <c r="N12"/>
    </row>
    <row r="13" spans="2:14" ht="19.5" thickBot="1" x14ac:dyDescent="0.35">
      <c r="B13" s="180" t="s">
        <v>312</v>
      </c>
      <c r="C13" s="216">
        <f>1/8</f>
        <v>0.125</v>
      </c>
      <c r="D13" s="217">
        <f>1/5</f>
        <v>0.2</v>
      </c>
      <c r="E13" s="218" t="s">
        <v>313</v>
      </c>
      <c r="F13" s="233"/>
      <c r="G13" s="234"/>
      <c r="H13" s="235" t="s">
        <v>314</v>
      </c>
      <c r="I13" s="236"/>
      <c r="J13" s="236"/>
      <c r="K13" s="237">
        <f>K10+K12</f>
        <v>137405.5056</v>
      </c>
      <c r="L13" s="198"/>
      <c r="M13" s="199"/>
      <c r="N13"/>
    </row>
    <row r="14" spans="2:14" ht="19.5" thickTop="1" x14ac:dyDescent="0.3">
      <c r="B14" s="180" t="s">
        <v>25</v>
      </c>
      <c r="C14" s="216">
        <f>0.125</f>
        <v>0.125</v>
      </c>
      <c r="D14" s="217">
        <f>C14</f>
        <v>0.125</v>
      </c>
      <c r="E14" s="218" t="s">
        <v>310</v>
      </c>
      <c r="F14" s="233"/>
      <c r="G14" s="220"/>
      <c r="H14" s="221" t="s">
        <v>315</v>
      </c>
      <c r="I14" s="175"/>
      <c r="J14" s="238">
        <f>D22</f>
        <v>3.7000000000000002E-3</v>
      </c>
      <c r="K14" s="224">
        <f>J14*K10</f>
        <v>415.35978</v>
      </c>
      <c r="L14" s="225"/>
      <c r="M14" s="199"/>
      <c r="N14"/>
    </row>
    <row r="15" spans="2:14" ht="19.5" thickBot="1" x14ac:dyDescent="0.35">
      <c r="B15" s="239" t="s">
        <v>305</v>
      </c>
      <c r="C15" s="240">
        <f>0.1/8</f>
        <v>1.2500000000000001E-2</v>
      </c>
      <c r="D15" s="241">
        <f>C15*2</f>
        <v>2.5000000000000001E-2</v>
      </c>
      <c r="E15" s="242" t="s">
        <v>310</v>
      </c>
      <c r="F15" s="243"/>
      <c r="G15" s="220"/>
      <c r="H15" s="221" t="s">
        <v>233</v>
      </c>
      <c r="I15" s="175"/>
      <c r="J15" s="175"/>
      <c r="K15" s="224">
        <f>D19</f>
        <v>34430</v>
      </c>
      <c r="L15" s="225"/>
      <c r="M15" s="199"/>
      <c r="N15"/>
    </row>
    <row r="16" spans="2:14" ht="19.5" thickBot="1" x14ac:dyDescent="0.35">
      <c r="B16" s="2143" t="s">
        <v>28</v>
      </c>
      <c r="C16" s="2144"/>
      <c r="D16" s="2144"/>
      <c r="E16" s="2145"/>
      <c r="F16" s="243"/>
      <c r="G16" s="244"/>
      <c r="H16" s="221" t="s">
        <v>316</v>
      </c>
      <c r="I16" s="245"/>
      <c r="J16" s="246">
        <f>D18</f>
        <v>10.866855116239998</v>
      </c>
      <c r="K16" s="247">
        <f>J16*K3</f>
        <v>19832.010587137996</v>
      </c>
      <c r="L16" s="248"/>
      <c r="M16" s="199"/>
      <c r="N16"/>
    </row>
    <row r="17" spans="2:14" ht="15.75" customHeight="1" x14ac:dyDescent="0.3">
      <c r="B17" s="249" t="s">
        <v>46</v>
      </c>
      <c r="C17" s="250"/>
      <c r="D17" s="250">
        <v>0.22309999999999999</v>
      </c>
      <c r="E17" s="251" t="s">
        <v>317</v>
      </c>
      <c r="F17" s="168"/>
      <c r="G17" s="244"/>
      <c r="H17" s="221" t="s">
        <v>318</v>
      </c>
      <c r="I17" s="245"/>
      <c r="J17" s="246">
        <f>D20</f>
        <v>2.91</v>
      </c>
      <c r="K17" s="247">
        <f>(J17*K3)</f>
        <v>5310.75</v>
      </c>
      <c r="L17" s="225"/>
      <c r="M17" s="199"/>
      <c r="N17"/>
    </row>
    <row r="18" spans="2:14" ht="19.5" thickBot="1" x14ac:dyDescent="0.35">
      <c r="B18" s="180" t="s">
        <v>319</v>
      </c>
      <c r="C18" s="252"/>
      <c r="D18" s="253">
        <f>10*(3.93%+1)*(2.64%+1)*(1.87%+1)</f>
        <v>10.866855116239998</v>
      </c>
      <c r="E18" s="181" t="s">
        <v>320</v>
      </c>
      <c r="F18" s="168"/>
      <c r="G18" s="220"/>
      <c r="H18" s="254" t="s">
        <v>321</v>
      </c>
      <c r="I18" s="255"/>
      <c r="J18" s="255"/>
      <c r="K18" s="256">
        <f>SUM(K13:K17)</f>
        <v>197393.62596713801</v>
      </c>
      <c r="L18" s="257"/>
      <c r="M18" s="199"/>
      <c r="N18"/>
    </row>
    <row r="19" spans="2:14" ht="19.5" thickTop="1" x14ac:dyDescent="0.3">
      <c r="B19" s="180" t="s">
        <v>322</v>
      </c>
      <c r="C19" s="252"/>
      <c r="D19" s="258">
        <v>34430</v>
      </c>
      <c r="E19" s="181"/>
      <c r="F19" s="168"/>
      <c r="G19" s="259"/>
      <c r="H19" s="221" t="s">
        <v>36</v>
      </c>
      <c r="I19" s="175"/>
      <c r="J19" s="238">
        <f>D21</f>
        <v>1.78E-2</v>
      </c>
      <c r="K19" s="224">
        <f>(K18*(J19+1)-(K10*J19+1))</f>
        <v>198908.01518935309</v>
      </c>
      <c r="L19" s="260"/>
      <c r="M19" s="199"/>
      <c r="N19"/>
    </row>
    <row r="20" spans="2:14" ht="33" thickBot="1" x14ac:dyDescent="0.35">
      <c r="B20" s="261" t="s">
        <v>323</v>
      </c>
      <c r="C20" s="262"/>
      <c r="D20" s="263">
        <v>2.91</v>
      </c>
      <c r="E20" s="264" t="s">
        <v>324</v>
      </c>
      <c r="F20" s="168"/>
      <c r="G20" s="265"/>
      <c r="H20" s="266" t="s">
        <v>325</v>
      </c>
      <c r="I20" s="267"/>
      <c r="J20" s="268"/>
      <c r="K20" s="269">
        <f>K19/K3</f>
        <v>108.99069325444005</v>
      </c>
      <c r="L20" s="270"/>
      <c r="M20" s="199"/>
      <c r="N20"/>
    </row>
    <row r="21" spans="2:14" ht="19.5" thickBot="1" x14ac:dyDescent="0.35">
      <c r="B21" s="271" t="s">
        <v>326</v>
      </c>
      <c r="C21" s="272"/>
      <c r="D21" s="273">
        <v>1.78E-2</v>
      </c>
      <c r="E21" s="274" t="s">
        <v>327</v>
      </c>
      <c r="F21" s="172"/>
      <c r="G21" s="275"/>
      <c r="H21" s="276"/>
      <c r="I21" s="277"/>
      <c r="J21" s="175"/>
      <c r="K21" s="259"/>
      <c r="L21" s="278"/>
      <c r="M21" s="199"/>
      <c r="N21"/>
    </row>
    <row r="22" spans="2:14" ht="19.5" thickBot="1" x14ac:dyDescent="0.35">
      <c r="B22" s="279" t="s">
        <v>315</v>
      </c>
      <c r="C22" s="280"/>
      <c r="D22" s="281">
        <v>3.7000000000000002E-3</v>
      </c>
      <c r="E22" s="274" t="s">
        <v>328</v>
      </c>
      <c r="F22" s="172"/>
      <c r="G22" s="282"/>
      <c r="H22" s="2134" t="s">
        <v>329</v>
      </c>
      <c r="I22" s="2135"/>
      <c r="J22" s="2136"/>
      <c r="K22" s="283"/>
      <c r="L22" s="284"/>
      <c r="M22" s="285"/>
      <c r="N22"/>
    </row>
    <row r="23" spans="2:14" ht="15.6" customHeight="1" thickBot="1" x14ac:dyDescent="0.35">
      <c r="B23" s="286" t="s">
        <v>330</v>
      </c>
      <c r="C23" s="287"/>
      <c r="D23" s="288">
        <v>25.16</v>
      </c>
      <c r="E23" s="289" t="s">
        <v>310</v>
      </c>
      <c r="F23" s="172"/>
      <c r="G23" s="290"/>
      <c r="H23" s="291"/>
      <c r="I23" s="292" t="s">
        <v>331</v>
      </c>
      <c r="J23" s="293"/>
      <c r="K23" s="270"/>
      <c r="L23" s="270"/>
      <c r="N23"/>
    </row>
    <row r="24" spans="2:14" ht="18.600000000000001" customHeight="1" thickBot="1" x14ac:dyDescent="0.35">
      <c r="B24" s="286" t="s">
        <v>332</v>
      </c>
      <c r="C24" s="287"/>
      <c r="D24" s="288">
        <v>27.02</v>
      </c>
      <c r="E24" s="294" t="s">
        <v>310</v>
      </c>
      <c r="F24" s="168"/>
      <c r="G24" s="290"/>
      <c r="H24" s="295" t="s">
        <v>333</v>
      </c>
      <c r="I24" s="296">
        <f>D24</f>
        <v>27.02</v>
      </c>
      <c r="J24" s="297"/>
      <c r="K24" s="169"/>
      <c r="L24" s="270"/>
      <c r="M24" s="298"/>
      <c r="N24"/>
    </row>
    <row r="25" spans="2:14" ht="18.75" x14ac:dyDescent="0.3">
      <c r="B25" s="165"/>
      <c r="C25" s="165"/>
      <c r="D25" s="165"/>
      <c r="E25" s="165"/>
      <c r="F25" s="299"/>
      <c r="G25" s="300"/>
      <c r="H25" s="301" t="s">
        <v>334</v>
      </c>
      <c r="I25" s="296">
        <v>67.368182000000004</v>
      </c>
      <c r="J25" s="297"/>
      <c r="K25" s="169"/>
      <c r="L25" s="302"/>
      <c r="M25" s="298"/>
      <c r="N25"/>
    </row>
    <row r="26" spans="2:14" ht="19.5" thickBot="1" x14ac:dyDescent="0.35">
      <c r="B26" s="165"/>
      <c r="C26" s="165"/>
      <c r="D26" s="165"/>
      <c r="E26" s="165"/>
      <c r="F26" s="303"/>
      <c r="G26" s="304"/>
      <c r="H26" s="305"/>
      <c r="I26" s="2137">
        <f>I25+I24</f>
        <v>94.388182</v>
      </c>
      <c r="J26" s="2138"/>
      <c r="K26" s="169"/>
      <c r="L26" s="306"/>
      <c r="M26" s="170"/>
      <c r="N26"/>
    </row>
    <row r="27" spans="2:14" ht="18.75" x14ac:dyDescent="0.3">
      <c r="B27" s="165"/>
      <c r="C27" s="165"/>
      <c r="D27" s="165"/>
      <c r="E27" s="165"/>
      <c r="F27" s="307"/>
      <c r="G27" s="308"/>
      <c r="K27" s="169"/>
      <c r="L27" s="270"/>
      <c r="M27" s="170"/>
      <c r="N27"/>
    </row>
    <row r="28" spans="2:14" ht="20.45" customHeight="1" x14ac:dyDescent="0.3">
      <c r="B28" s="309"/>
      <c r="C28" s="309"/>
      <c r="D28" s="309"/>
      <c r="E28" s="169"/>
      <c r="F28" s="165"/>
      <c r="G28" s="310"/>
      <c r="H28" s="169"/>
      <c r="I28" s="169"/>
    </row>
    <row r="29" spans="2:14" ht="18.75" thickBot="1" x14ac:dyDescent="0.3">
      <c r="B29" s="309"/>
      <c r="C29" s="309"/>
      <c r="D29" s="309"/>
      <c r="E29" s="311" t="s">
        <v>335</v>
      </c>
      <c r="F29" s="311" t="s">
        <v>336</v>
      </c>
      <c r="G29" s="312"/>
      <c r="H29" s="313" t="s">
        <v>337</v>
      </c>
      <c r="I29" s="311" t="s">
        <v>338</v>
      </c>
      <c r="J29" s="311" t="s">
        <v>339</v>
      </c>
      <c r="K29" s="169"/>
    </row>
    <row r="30" spans="2:14" s="309" customFormat="1" ht="18" customHeight="1" x14ac:dyDescent="0.25">
      <c r="E30" s="314" t="s">
        <v>340</v>
      </c>
      <c r="F30" s="315">
        <f>K20</f>
        <v>108.99069325444005</v>
      </c>
      <c r="G30" s="316">
        <f>K20</f>
        <v>108.99069325444005</v>
      </c>
      <c r="H30" s="317">
        <f>I26</f>
        <v>94.388182</v>
      </c>
      <c r="I30" s="318">
        <f>H30+F30</f>
        <v>203.37887525444006</v>
      </c>
      <c r="J30" s="314" t="s">
        <v>341</v>
      </c>
      <c r="K30" s="169"/>
    </row>
    <row r="31" spans="2:14" s="309" customFormat="1" ht="18" x14ac:dyDescent="0.25">
      <c r="F31" s="169"/>
      <c r="G31" s="319"/>
      <c r="H31" s="169"/>
      <c r="I31" s="169"/>
      <c r="J31" s="169"/>
      <c r="K31" s="169"/>
    </row>
    <row r="32" spans="2:14" s="309" customFormat="1" ht="18" x14ac:dyDescent="0.25">
      <c r="E32" s="169" t="s">
        <v>342</v>
      </c>
      <c r="F32" s="169"/>
      <c r="G32" s="320"/>
      <c r="H32" s="169"/>
      <c r="I32" s="169"/>
      <c r="J32" s="169"/>
      <c r="K32" s="169"/>
    </row>
    <row r="33" spans="2:11" s="309" customFormat="1" ht="25.15" customHeight="1" x14ac:dyDescent="0.25">
      <c r="B33" s="165"/>
      <c r="C33" s="165"/>
      <c r="D33" s="165"/>
      <c r="E33" s="169" t="s">
        <v>343</v>
      </c>
      <c r="F33" s="169"/>
      <c r="G33" s="321"/>
      <c r="H33" s="322"/>
      <c r="I33" s="169"/>
      <c r="J33" s="169"/>
      <c r="K33" s="169"/>
    </row>
    <row r="34" spans="2:11" s="309" customFormat="1" ht="15" x14ac:dyDescent="0.2">
      <c r="B34" s="165"/>
      <c r="C34" s="165"/>
      <c r="D34" s="165"/>
      <c r="E34" s="165"/>
      <c r="G34" s="323"/>
    </row>
    <row r="35" spans="2:11" s="309" customFormat="1" ht="15" x14ac:dyDescent="0.2">
      <c r="B35" s="165"/>
      <c r="C35" s="165"/>
      <c r="D35" s="165"/>
      <c r="E35" s="165"/>
      <c r="G35" s="323"/>
    </row>
    <row r="36" spans="2:11" s="309" customFormat="1" ht="18.600000000000001" customHeight="1" x14ac:dyDescent="0.3">
      <c r="B36" s="165"/>
      <c r="C36" s="165"/>
      <c r="D36" s="165"/>
      <c r="E36" s="165"/>
      <c r="F36" s="165"/>
      <c r="G36" s="324"/>
      <c r="H36" s="169" t="s">
        <v>241</v>
      </c>
      <c r="I36" s="169"/>
      <c r="J36" s="167"/>
      <c r="K36" s="167"/>
    </row>
    <row r="37" spans="2:11" ht="18.600000000000001" customHeight="1" x14ac:dyDescent="0.3">
      <c r="B37" s="165"/>
      <c r="C37" s="165"/>
      <c r="D37" s="165"/>
      <c r="E37" s="165"/>
      <c r="F37" s="165"/>
      <c r="G37" s="232"/>
      <c r="H37" s="169"/>
      <c r="I37" s="169"/>
    </row>
    <row r="38" spans="2:11" ht="18.75" x14ac:dyDescent="0.25">
      <c r="B38" s="165"/>
      <c r="C38" s="165"/>
      <c r="D38" s="165"/>
      <c r="E38" s="165"/>
      <c r="F38" s="165"/>
      <c r="G38" s="325"/>
      <c r="H38" s="169"/>
      <c r="I38" s="169"/>
    </row>
    <row r="39" spans="2:11" ht="18.75" x14ac:dyDescent="0.3">
      <c r="B39" s="165"/>
      <c r="C39" s="165"/>
      <c r="D39" s="165"/>
      <c r="E39" s="165"/>
      <c r="F39" s="165"/>
      <c r="G39" s="326"/>
      <c r="H39" s="169"/>
      <c r="I39" s="169"/>
    </row>
    <row r="40" spans="2:11" ht="18.75" x14ac:dyDescent="0.3">
      <c r="B40" s="165"/>
      <c r="C40" s="165"/>
      <c r="D40" s="165"/>
      <c r="E40" s="165"/>
      <c r="F40" s="165"/>
      <c r="G40" s="327"/>
      <c r="H40" s="169"/>
      <c r="I40" s="169"/>
    </row>
    <row r="41" spans="2:11" ht="18.75" x14ac:dyDescent="0.3">
      <c r="B41" s="165"/>
      <c r="C41" s="165"/>
      <c r="D41" s="165"/>
      <c r="E41" s="165"/>
      <c r="F41" s="165"/>
      <c r="G41" s="328"/>
      <c r="H41" s="169"/>
      <c r="I41" s="169"/>
    </row>
    <row r="42" spans="2:11" ht="18.75" x14ac:dyDescent="0.3">
      <c r="B42" s="165"/>
      <c r="C42" s="165"/>
      <c r="D42" s="165"/>
      <c r="E42" s="165"/>
      <c r="F42" s="165"/>
      <c r="G42" s="327"/>
      <c r="H42" s="169"/>
      <c r="I42" s="169"/>
    </row>
    <row r="43" spans="2:11" ht="18.75" x14ac:dyDescent="0.3">
      <c r="B43" s="165"/>
      <c r="C43" s="165"/>
      <c r="D43" s="165"/>
      <c r="E43" s="165"/>
      <c r="F43" s="303"/>
      <c r="G43" s="324"/>
      <c r="H43" s="169"/>
      <c r="I43" s="169"/>
    </row>
    <row r="44" spans="2:11" ht="18.75" x14ac:dyDescent="0.3">
      <c r="B44" s="165"/>
      <c r="C44" s="165"/>
      <c r="D44" s="165"/>
      <c r="E44" s="165"/>
      <c r="F44" s="329"/>
      <c r="G44" s="232"/>
      <c r="H44" s="169"/>
      <c r="I44" s="169"/>
    </row>
    <row r="45" spans="2:11" ht="18.75" x14ac:dyDescent="0.3">
      <c r="B45" s="165"/>
      <c r="C45" s="165"/>
      <c r="D45" s="165"/>
      <c r="E45" s="165"/>
      <c r="F45" s="168"/>
      <c r="G45" s="232"/>
      <c r="H45" s="169"/>
      <c r="I45" s="169"/>
    </row>
    <row r="46" spans="2:11" ht="18.75" x14ac:dyDescent="0.3">
      <c r="B46" s="165"/>
      <c r="C46" s="165"/>
      <c r="D46" s="165"/>
      <c r="E46" s="165"/>
      <c r="F46" s="168"/>
      <c r="G46" s="330"/>
      <c r="H46" s="169"/>
      <c r="I46" s="169"/>
    </row>
    <row r="47" spans="2:11" ht="18.75" x14ac:dyDescent="0.3">
      <c r="B47" s="165"/>
      <c r="C47" s="165"/>
      <c r="D47" s="165"/>
      <c r="E47" s="309"/>
      <c r="F47" s="168"/>
      <c r="G47" s="330"/>
      <c r="H47" s="169"/>
      <c r="I47" s="169"/>
    </row>
    <row r="48" spans="2:11" ht="18.75" x14ac:dyDescent="0.3">
      <c r="B48" s="309"/>
      <c r="C48" s="309"/>
      <c r="D48" s="309"/>
      <c r="E48" s="309"/>
      <c r="F48" s="168"/>
      <c r="G48" s="330"/>
      <c r="H48" s="169"/>
      <c r="I48" s="169"/>
    </row>
    <row r="49" spans="2:12" ht="18.75" x14ac:dyDescent="0.3">
      <c r="B49" s="309"/>
      <c r="C49" s="309"/>
      <c r="D49" s="309"/>
      <c r="F49" s="168"/>
      <c r="G49" s="330"/>
      <c r="H49" s="169"/>
      <c r="I49" s="169"/>
    </row>
    <row r="50" spans="2:12" ht="18.75" x14ac:dyDescent="0.3">
      <c r="F50" s="168"/>
      <c r="G50" s="330"/>
      <c r="H50" s="169"/>
      <c r="I50" s="169"/>
    </row>
    <row r="51" spans="2:12" ht="18.75" x14ac:dyDescent="0.3">
      <c r="F51" s="168"/>
      <c r="G51" s="225"/>
      <c r="H51" s="169"/>
      <c r="I51" s="169"/>
    </row>
    <row r="52" spans="2:12" ht="18.75" x14ac:dyDescent="0.3">
      <c r="F52" s="168"/>
      <c r="G52" s="232"/>
      <c r="H52" s="169"/>
      <c r="I52" s="169"/>
    </row>
    <row r="53" spans="2:12" ht="18.75" x14ac:dyDescent="0.3">
      <c r="F53" s="331"/>
      <c r="G53" s="232"/>
      <c r="H53" s="169"/>
      <c r="I53" s="169"/>
    </row>
    <row r="54" spans="2:12" ht="15" x14ac:dyDescent="0.25">
      <c r="F54" s="331"/>
      <c r="G54" s="332"/>
      <c r="H54" s="309"/>
      <c r="I54" s="309"/>
      <c r="J54" s="331"/>
      <c r="K54" s="309"/>
    </row>
    <row r="55" spans="2:12" ht="15.75" x14ac:dyDescent="0.25">
      <c r="F55" s="168"/>
      <c r="G55" s="333"/>
      <c r="J55" s="168"/>
      <c r="K55" s="168"/>
      <c r="L55" s="309"/>
    </row>
    <row r="56" spans="2:12" ht="15.75" x14ac:dyDescent="0.25">
      <c r="F56" s="182"/>
      <c r="G56" s="334"/>
      <c r="J56" s="168"/>
      <c r="K56" s="168"/>
    </row>
    <row r="57" spans="2:12" ht="15.75" x14ac:dyDescent="0.25">
      <c r="F57" s="335"/>
      <c r="G57" s="336"/>
      <c r="H57" s="168"/>
      <c r="I57" s="168"/>
      <c r="J57" s="168"/>
      <c r="K57" s="168"/>
    </row>
    <row r="58" spans="2:12" ht="15.75" x14ac:dyDescent="0.25">
      <c r="F58" s="337"/>
      <c r="G58" s="182"/>
    </row>
    <row r="59" spans="2:12" ht="15.75" x14ac:dyDescent="0.25">
      <c r="F59" s="337"/>
      <c r="G59" s="336"/>
    </row>
    <row r="60" spans="2:12" ht="15.75" x14ac:dyDescent="0.25">
      <c r="F60" s="182"/>
      <c r="G60" s="338"/>
    </row>
    <row r="61" spans="2:12" x14ac:dyDescent="0.2">
      <c r="F61" s="170"/>
      <c r="G61" s="338"/>
    </row>
    <row r="62" spans="2:12" x14ac:dyDescent="0.2">
      <c r="F62" s="170"/>
      <c r="G62" s="338"/>
    </row>
    <row r="63" spans="2:12" x14ac:dyDescent="0.2">
      <c r="F63" s="170"/>
      <c r="G63" s="170"/>
    </row>
    <row r="64" spans="2:12" x14ac:dyDescent="0.2">
      <c r="F64" s="170"/>
      <c r="G64" s="285"/>
    </row>
    <row r="65" spans="6:7" x14ac:dyDescent="0.2">
      <c r="F65" s="170"/>
      <c r="G65" s="285"/>
    </row>
    <row r="66" spans="6:7" x14ac:dyDescent="0.2">
      <c r="F66" s="170"/>
      <c r="G66" s="285"/>
    </row>
    <row r="67" spans="6:7" x14ac:dyDescent="0.2">
      <c r="F67" s="170"/>
      <c r="G67" s="285"/>
    </row>
    <row r="68" spans="6:7" x14ac:dyDescent="0.2">
      <c r="F68" s="170"/>
      <c r="G68" s="285"/>
    </row>
    <row r="69" spans="6:7" x14ac:dyDescent="0.2">
      <c r="F69" s="170"/>
      <c r="G69" s="285"/>
    </row>
    <row r="70" spans="6:7" x14ac:dyDescent="0.2">
      <c r="F70" s="170"/>
      <c r="G70" s="285"/>
    </row>
    <row r="71" spans="6:7" x14ac:dyDescent="0.2">
      <c r="F71" s="339"/>
      <c r="G71" s="338"/>
    </row>
    <row r="72" spans="6:7" x14ac:dyDescent="0.2">
      <c r="F72" s="339"/>
      <c r="G72" s="170"/>
    </row>
    <row r="73" spans="6:7" x14ac:dyDescent="0.2">
      <c r="F73" s="170"/>
      <c r="G73" s="340"/>
    </row>
    <row r="74" spans="6:7" x14ac:dyDescent="0.2">
      <c r="F74" s="341"/>
      <c r="G74" s="340"/>
    </row>
    <row r="75" spans="6:7" x14ac:dyDescent="0.2">
      <c r="F75" s="170"/>
      <c r="G75" s="170"/>
    </row>
    <row r="76" spans="6:7" x14ac:dyDescent="0.2">
      <c r="F76" s="170"/>
      <c r="G76" s="188"/>
    </row>
    <row r="77" spans="6:7" x14ac:dyDescent="0.2">
      <c r="F77" s="170"/>
      <c r="G77" s="170"/>
    </row>
    <row r="78" spans="6:7" x14ac:dyDescent="0.2">
      <c r="F78" s="342"/>
      <c r="G78" s="338"/>
    </row>
    <row r="79" spans="6:7" x14ac:dyDescent="0.2">
      <c r="F79" s="342"/>
      <c r="G79" s="170"/>
    </row>
    <row r="80" spans="6:7" x14ac:dyDescent="0.2">
      <c r="F80" s="170"/>
      <c r="G80" s="343"/>
    </row>
    <row r="81" spans="6:7" x14ac:dyDescent="0.2">
      <c r="F81" s="170"/>
      <c r="G81" s="343"/>
    </row>
    <row r="82" spans="6:7" x14ac:dyDescent="0.2">
      <c r="F82" s="170"/>
      <c r="G82" s="170"/>
    </row>
    <row r="83" spans="6:7" x14ac:dyDescent="0.2">
      <c r="F83" s="170"/>
      <c r="G83" s="344"/>
    </row>
    <row r="84" spans="6:7" x14ac:dyDescent="0.2">
      <c r="F84" s="170"/>
      <c r="G84" s="344"/>
    </row>
    <row r="85" spans="6:7" x14ac:dyDescent="0.2">
      <c r="F85" s="345"/>
      <c r="G85" s="346"/>
    </row>
    <row r="86" spans="6:7" x14ac:dyDescent="0.2">
      <c r="F86" s="345"/>
      <c r="G86" s="346"/>
    </row>
    <row r="87" spans="6:7" x14ac:dyDescent="0.2">
      <c r="F87" s="345"/>
      <c r="G87" s="346"/>
    </row>
    <row r="88" spans="6:7" x14ac:dyDescent="0.2">
      <c r="G88" s="346"/>
    </row>
    <row r="89" spans="6:7" x14ac:dyDescent="0.2">
      <c r="G89" s="346"/>
    </row>
  </sheetData>
  <mergeCells count="12">
    <mergeCell ref="B2:E2"/>
    <mergeCell ref="H2:K2"/>
    <mergeCell ref="B3:D3"/>
    <mergeCell ref="C4:D4"/>
    <mergeCell ref="C5:D5"/>
    <mergeCell ref="H22:J22"/>
    <mergeCell ref="I26:J26"/>
    <mergeCell ref="C6:D6"/>
    <mergeCell ref="C7:D7"/>
    <mergeCell ref="C8:D8"/>
    <mergeCell ref="B9:E9"/>
    <mergeCell ref="B16:E16"/>
  </mergeCells>
  <pageMargins left="0.25" right="0.25" top="0.5" bottom="0.5" header="0.3" footer="0.3"/>
  <pageSetup scale="66" orientation="landscape" cellComments="asDisplayed" r:id="rId1"/>
  <headerFooter alignWithMargins="0"/>
  <rowBreaks count="1" manualBreakCount="1">
    <brk id="66" max="16383"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5758E-8AC1-4DD4-9243-9D213740A9D4}">
  <dimension ref="A1:ARS301"/>
  <sheetViews>
    <sheetView zoomScale="90" zoomScaleNormal="90" workbookViewId="0">
      <selection activeCell="B27" sqref="B27"/>
    </sheetView>
  </sheetViews>
  <sheetFormatPr defaultRowHeight="12.75" x14ac:dyDescent="0.2"/>
  <cols>
    <col min="1" max="1" width="40.7109375" style="1013" customWidth="1"/>
    <col min="2" max="2" width="18.7109375" style="1013" customWidth="1"/>
    <col min="3" max="3" width="9.140625" style="1013"/>
    <col min="4" max="5" width="18.7109375" style="1013" customWidth="1"/>
    <col min="6" max="13" width="18.7109375" style="1013" hidden="1" customWidth="1"/>
    <col min="14" max="15" width="18.7109375" style="1013" customWidth="1"/>
    <col min="16" max="25" width="18.7109375" style="1013" hidden="1" customWidth="1"/>
    <col min="26" max="28" width="18.7109375" style="1013" customWidth="1"/>
    <col min="29" max="35" width="18.7109375" style="1013" hidden="1" customWidth="1"/>
    <col min="36" max="37" width="18.7109375" style="1013" customWidth="1"/>
    <col min="38" max="43" width="18.7109375" style="1013" hidden="1" customWidth="1"/>
    <col min="44" max="803" width="9.140625" style="1013"/>
    <col min="804" max="843" width="9.140625" style="1044"/>
    <col min="844" max="1043" width="9.140625" style="1013"/>
    <col min="1044" max="1163" width="9.140625" style="1045"/>
    <col min="1164" max="16384" width="9.140625" style="1013"/>
  </cols>
  <sheetData>
    <row r="1" spans="1:43" x14ac:dyDescent="0.2">
      <c r="A1" s="1012">
        <v>8</v>
      </c>
      <c r="C1" s="1014" t="s">
        <v>2228</v>
      </c>
      <c r="E1" s="1015">
        <f ca="1">IF(COUNT(E12:E301)=0,"-",AVERAGE(E12:OFFSET(E12,$A$1-1,0)))</f>
        <v>36064.619950667322</v>
      </c>
      <c r="G1" s="1015">
        <f ca="1">IF(COUNT(G12:G301)=0,"-",AVERAGE(G12:OFFSET(G12,$A$1-1,0)))</f>
        <v>13040.390258195104</v>
      </c>
      <c r="I1" s="1015" t="str">
        <f ca="1">IF(COUNT(I12:I301)=0,"-",AVERAGE(I12:OFFSET(I12,$A$1-1,0)))</f>
        <v>-</v>
      </c>
      <c r="K1" s="1015">
        <f ca="1">IF(COUNT(K12:K301)=0,"-",AVERAGE(K12:OFFSET(K12,$A$1-1,0)))</f>
        <v>99814.275717284821</v>
      </c>
      <c r="M1" s="1015" t="str">
        <f ca="1">IF(COUNT(M12:M301)=0,"-",AVERAGE(M12:OFFSET(M12,$A$1-1,0)))</f>
        <v>-</v>
      </c>
      <c r="O1" s="1015">
        <f ca="1">IF(COUNT(O12:O301)=0,"-",AVERAGE(O12:OFFSET(O12,$A$1-1,0)))</f>
        <v>426.67084107884784</v>
      </c>
      <c r="Q1" s="1015">
        <f ca="1">IF(COUNT(Q12:Q301)=0,"-",AVERAGE(Q12:OFFSET(Q12,$A$1-1,0)))</f>
        <v>1563.0110531571249</v>
      </c>
      <c r="S1" s="1015">
        <f ca="1">IF(COUNT(S12:S301)=0,"-",AVERAGE(S12:OFFSET(S12,$A$1-1,0)))</f>
        <v>1666.8707695969188</v>
      </c>
      <c r="U1" s="1015">
        <f ca="1">IF(COUNT(U12:U301)=0,"-",AVERAGE(U12:OFFSET(U12,$A$1-1,0)))</f>
        <v>595.41270474827422</v>
      </c>
      <c r="W1" s="1015">
        <f ca="1">IF(COUNT(W12:W301)=0,"-",AVERAGE(W12:OFFSET(W12,$A$1-1,0)))</f>
        <v>259.95166783277898</v>
      </c>
      <c r="Y1" s="1015">
        <f ca="1">IF(COUNT(Y12:Y301)=0,"-",AVERAGE(Y12:OFFSET(Y12,$A$1-1,0)))</f>
        <v>176.11949685534589</v>
      </c>
      <c r="AA1" s="1015" t="str">
        <f ca="1">IF(COUNT(AA12:AA301)=0,"-",AVERAGE(AA12:OFFSET(AA12,$A$1-1,0)))</f>
        <v>-</v>
      </c>
      <c r="AC1" s="1015">
        <f ca="1">IF(COUNT(AC12:AC301)=0,"-",AVERAGE(AC12:OFFSET(AC12,$A$1-1,0)))</f>
        <v>4572.550744659743</v>
      </c>
      <c r="AE1" s="1015">
        <f ca="1">IF(COUNT(AE12:AE301)=0,"-",AVERAGE(AE12:OFFSET(AE12,$A$1-1,0)))</f>
        <v>4815.3846153846152</v>
      </c>
      <c r="AG1" s="1015" t="str">
        <f ca="1">IF(COUNT(AG12:AG301)=0,"-",AVERAGE(AG12:OFFSET(AG12,$A$1-1,0)))</f>
        <v>-</v>
      </c>
      <c r="AI1" s="1015" t="str">
        <f ca="1">IF(COUNT(AI12:AI301)=0,"-",AVERAGE(AI12:OFFSET(AI12,$A$1-1,0)))</f>
        <v>-</v>
      </c>
      <c r="AK1" s="1015">
        <f ca="1">IF(COUNT(AK12:AK300)=0,"-",AVERAGE(AK12:OFFSET(AK12,$A$1-1,0)))</f>
        <v>21111.516625019092</v>
      </c>
      <c r="AM1" s="1015" t="str">
        <f ca="1">IF(COUNT(AM12:AM301)=0,"-",AVERAGE(AM12:OFFSET(AM12,$A$1-1,0)))</f>
        <v>-</v>
      </c>
      <c r="AO1" s="1015">
        <f ca="1">IF(COUNT(AO12:AO301)=0,"-",AVERAGE(AO12:OFFSET(AO12,$A$1-1,0)))</f>
        <v>569.23076923076917</v>
      </c>
      <c r="AQ1" s="1015">
        <f ca="1">IF(COUNT(AQ12:AQ300)=0,"-",AVERAGE(AQ12:OFFSET(AQ12,$A$1-1,0)))</f>
        <v>41797.130648420614</v>
      </c>
    </row>
    <row r="2" spans="1:43" x14ac:dyDescent="0.2">
      <c r="C2" s="1014" t="s">
        <v>2229</v>
      </c>
      <c r="E2" s="1015">
        <f ca="1">IF(COUNT(E12:E301)=0,"-",E1-(2*_xlfn.STDEV.P(E12:OFFSET(E12,$A$1-1,0))))</f>
        <v>-14714.594482424662</v>
      </c>
      <c r="G2" s="1015">
        <f ca="1">IF(COUNT(G12:G301)=0,"-",G1-(2*_xlfn.STDEV.P(G12:OFFSET(G12,$A$1-1,0))))</f>
        <v>-31104.464560874228</v>
      </c>
      <c r="I2" s="1015" t="str">
        <f ca="1">IF(COUNT(I12:I301)=0,"-",I1-(2*_xlfn.STDEV.P(I12:OFFSET(I12,$A$1-1,0))))</f>
        <v>-</v>
      </c>
      <c r="K2" s="1015">
        <f ca="1">IF(COUNT(K12:K301)=0,"-",K1-(2*_xlfn.STDEV.P(K12:OFFSET(K12,$A$1-1,0))))</f>
        <v>99814.275717284821</v>
      </c>
      <c r="M2" s="1015" t="str">
        <f ca="1">IF(COUNT(M12:M301)=0,"-",M1-(2*_xlfn.STDEV.P(M12:OFFSET(M12,$A$1-1,0))))</f>
        <v>-</v>
      </c>
      <c r="O2" s="1015">
        <f ca="1">IF(COUNT(O12:O301)=0,"-",O1-(2*_xlfn.STDEV.P(O12:OFFSET(O12,$A$1-1,0))))</f>
        <v>-1031.3142391903948</v>
      </c>
      <c r="Q2" s="1015">
        <f ca="1">IF(COUNT(Q12:Q301)=0,"-",Q1-(2*_xlfn.STDEV.P(Q12:OFFSET(Q12,$A$1-1,0))))</f>
        <v>-965.69370563571192</v>
      </c>
      <c r="S2" s="1015">
        <f ca="1">IF(COUNT(S12:S301)=0,"-",S1-(2*_xlfn.STDEV.P(S12:OFFSET(S12,$A$1-1,0))))</f>
        <v>-1704.4203759126808</v>
      </c>
      <c r="U2" s="1015">
        <f ca="1">IF(COUNT(U12:U301)=0,"-",U1-(2*_xlfn.STDEV.P(U12:OFFSET(U12,$A$1-1,0))))</f>
        <v>69.701073686417885</v>
      </c>
      <c r="W2" s="1015">
        <f ca="1">IF(COUNT(W12:W301)=0,"-",W1-(2*_xlfn.STDEV.P(W12:OFFSET(W12,$A$1-1,0))))</f>
        <v>-61.678266334061902</v>
      </c>
      <c r="Y2" s="1015">
        <f ca="1">IF(COUNT(Y12:Y301)=0,"-",Y1-(2*_xlfn.STDEV.P(Y12:OFFSET(Y12,$A$1-1,0))))</f>
        <v>176.11949685534589</v>
      </c>
      <c r="AA2" s="1015" t="str">
        <f ca="1">IF(COUNT(AA12:AA301)=0,"-",AA1-(2*_xlfn.STDEV.P(AA12:OFFSET(AA12,$A$1-1,0))))</f>
        <v>-</v>
      </c>
      <c r="AC2" s="1015">
        <f ca="1">IF(COUNT(AC12:AC301)=0,"-",AC1-(2*_xlfn.STDEV.P(AC12:OFFSET(AC12,$A$1-1,0))))</f>
        <v>-3072.7040983142651</v>
      </c>
      <c r="AE2" s="1015">
        <f ca="1">IF(COUNT(AE12:AE301)=0,"-",AE1-(2*_xlfn.STDEV.P(AE12:OFFSET(AE12,$A$1-1,0))))</f>
        <v>4815.3846153846152</v>
      </c>
      <c r="AG2" s="1015" t="str">
        <f ca="1">IF(COUNT(AG12:AG301)=0,"-",AG1-(2*_xlfn.STDEV.P(AG12:OFFSET(AG12,$A$1-1,0))))</f>
        <v>-</v>
      </c>
      <c r="AI2" s="1015" t="str">
        <f ca="1">IF(COUNT(AI12:AI301)=0,"-",AI1-(2*_xlfn.STDEV.P(AI12:OFFSET(AI12,$A$1-1,0))))</f>
        <v>-</v>
      </c>
      <c r="AK2" s="1015">
        <f ca="1">IF(COUNT(AK12:AK300)=0,"-",AK1-(2*_xlfn.STDEV.P(AK12:OFFSET(AK12,$A$1-1,0))))</f>
        <v>-57263.469881889265</v>
      </c>
      <c r="AM2" s="1015" t="str">
        <f ca="1">IF(COUNT(AM12:AM301)=0,"-",AM1-(2*_xlfn.STDEV.P(AM12:OFFSET(AM12,$A$1-1,0))))</f>
        <v>-</v>
      </c>
      <c r="AO2" s="1015">
        <f ca="1">IF(COUNT(AO12:AO301)=0,"-",AO1-(2*_xlfn.STDEV.P(AO12:OFFSET(AO12,$A$1-1,0))))</f>
        <v>569.23076923076917</v>
      </c>
      <c r="AQ2" s="1015">
        <f ca="1">IF(COUNT(AQ12:AQ300)=0,"-",AQ1-(2*_xlfn.STDEV.P(AQ12:OFFSET(AQ12,$A$1-1,0))))</f>
        <v>-70357.97606617515</v>
      </c>
    </row>
    <row r="3" spans="1:43" x14ac:dyDescent="0.2">
      <c r="A3" s="2155" t="s">
        <v>2230</v>
      </c>
      <c r="C3" s="1014" t="s">
        <v>2231</v>
      </c>
      <c r="E3" s="1015">
        <f ca="1">IF(COUNT(E12:E301)=0,"-",E1+(2*_xlfn.STDEV.P(E12:OFFSET(E12,$A$1-1,0))))</f>
        <v>86843.834383759298</v>
      </c>
      <c r="G3" s="1015">
        <f ca="1">IF(COUNT(G12:G301)=0,"-",G1+(2*_xlfn.STDEV.P(G12:OFFSET(G12,$A$1-1,0))))</f>
        <v>57185.245077264437</v>
      </c>
      <c r="I3" s="1015" t="str">
        <f ca="1">IF(COUNT(I12:I301)=0,"-",I1+(2*_xlfn.STDEV.P(I12:OFFSET(I12,$A$1-1,0))))</f>
        <v>-</v>
      </c>
      <c r="K3" s="1015">
        <f ca="1">IF(COUNT(K12:K301)=0,"-",K1+(2*_xlfn.STDEV.P(K12:OFFSET(K12,$A$1-1,0))))</f>
        <v>99814.275717284821</v>
      </c>
      <c r="M3" s="1015" t="str">
        <f ca="1">IF(COUNT(M12:M301)=0,"-",M1+(2*_xlfn.STDEV.P(M12:OFFSET(M12,$A$1-1,0))))</f>
        <v>-</v>
      </c>
      <c r="O3" s="1015">
        <f ca="1">IF(COUNT(O12:O301)=0,"-",O1+(2*_xlfn.STDEV.P(O12:OFFSET(O12,$A$1-1,0))))</f>
        <v>1884.6559213480905</v>
      </c>
      <c r="Q3" s="1015">
        <f ca="1">IF(COUNT(Q12:Q301)=0,"-",Q1+(2*_xlfn.STDEV.P(Q12:OFFSET(Q12,$A$1-1,0))))</f>
        <v>4091.7158119499618</v>
      </c>
      <c r="S3" s="1015">
        <f ca="1">IF(COUNT(S12:S301)=0,"-",S1+(2*_xlfn.STDEV.P(S12:OFFSET(S12,$A$1-1,0))))</f>
        <v>5038.1619151065188</v>
      </c>
      <c r="U3" s="1015">
        <f ca="1">IF(COUNT(U12:U301)=0,"-",U1+(2*_xlfn.STDEV.P(U12:OFFSET(U12,$A$1-1,0))))</f>
        <v>1121.1243358101306</v>
      </c>
      <c r="W3" s="1015">
        <f ca="1">IF(COUNT(W12:W301)=0,"-",W1+(2*_xlfn.STDEV.P(W12:OFFSET(W12,$A$1-1,0))))</f>
        <v>581.58160199961981</v>
      </c>
      <c r="Y3" s="1015">
        <f ca="1">IF(COUNT(Y12:Y301)=0,"-",Y1+(2*_xlfn.STDEV.P(Y12:OFFSET(Y12,$A$1-1,0))))</f>
        <v>176.11949685534589</v>
      </c>
      <c r="AA3" s="1015" t="str">
        <f ca="1">IF(COUNT(AA12:AA301)=0,"-",AA1+(2*_xlfn.STDEV.P(AA12:OFFSET(AA12,$A$1-1,0))))</f>
        <v>-</v>
      </c>
      <c r="AC3" s="1015">
        <f ca="1">IF(COUNT(AC12:AC301)=0,"-",AC1+(2*_xlfn.STDEV.P(AC12:OFFSET(AC12,$A$1-1,0))))</f>
        <v>12217.805587633751</v>
      </c>
      <c r="AE3" s="1015">
        <f ca="1">IF(COUNT(AE12:AE301)=0,"-",AE1+(2*_xlfn.STDEV.P(AE12:OFFSET(AE12,$A$1-1,0))))</f>
        <v>4815.3846153846152</v>
      </c>
      <c r="AG3" s="1015" t="str">
        <f ca="1">IF(COUNT(AG12:AG301)=0,"-",AG1+(2*_xlfn.STDEV.P(AG12:OFFSET(AG12,$A$1-1,0))))</f>
        <v>-</v>
      </c>
      <c r="AI3" s="1015" t="str">
        <f ca="1">IF(COUNT(AI12:AI301)=0,"-",AI1+(2*_xlfn.STDEV.P(AI12:OFFSET(AI12,$A$1-1,0))))</f>
        <v>-</v>
      </c>
      <c r="AK3" s="1015">
        <f ca="1">IF(COUNT(AK12:AK300)=0,"-",AK1+(2*_xlfn.STDEV.P(AK12:OFFSET(AK12,$A$1-1,0))))</f>
        <v>99486.503131927457</v>
      </c>
      <c r="AM3" s="1015" t="str">
        <f ca="1">IF(COUNT(AM12:AM301)=0,"-",AM1+(2*_xlfn.STDEV.P(AM12:OFFSET(AM12,$A$1-1,0))))</f>
        <v>-</v>
      </c>
      <c r="AO3" s="1015">
        <f ca="1">IF(COUNT(AO12:AO301)=0,"-",AO1+(2*_xlfn.STDEV.P(AO12:OFFSET(AO12,$A$1-1,0))))</f>
        <v>569.23076923076917</v>
      </c>
      <c r="AQ3" s="1015">
        <f ca="1">IF(COUNT(AQ12:AQ300)=0,"-",AQ1+(2*_xlfn.STDEV.P(AQ12:OFFSET(AQ12,$A$1-1,0))))</f>
        <v>153952.23736301638</v>
      </c>
    </row>
    <row r="4" spans="1:43" x14ac:dyDescent="0.2">
      <c r="A4" s="2155"/>
      <c r="C4" s="1014" t="s">
        <v>2232</v>
      </c>
      <c r="E4" s="1016">
        <f ca="1">IF(COUNT(E12:E301)=0,"-",AVERAGEIFS(E12:E301, E12:E301, "&gt;="&amp;E2,E12:E301,"&lt;="&amp;E3))</f>
        <v>36064.619950667322</v>
      </c>
      <c r="G4" s="1016">
        <f ca="1">IF(COUNT(G12:G301)=0,"-",AVERAGEIFS(G12:G301, G12:G301, "&gt;="&amp;G2,G12:G301,"&lt;="&amp;G3))</f>
        <v>13040.390258195104</v>
      </c>
      <c r="I4" s="1016" t="str">
        <f>IF(COUNT(I12:I301)=0,"-",AVERAGEIFS(I12:I301, I12:I301, "&gt;="&amp;I2,I12:I301,"&lt;="&amp;I3))</f>
        <v>-</v>
      </c>
      <c r="K4" s="1016">
        <f ca="1">IF(COUNT(K12:K301)=0,"-",AVERAGEIFS(K12:K301, K12:K301, "&gt;="&amp;K2,K12:K301,"&lt;="&amp;K3))</f>
        <v>99814.275717284821</v>
      </c>
      <c r="M4" s="1016" t="str">
        <f>IF(COUNT(M12:M301)=0,"-",AVERAGEIFS(M12:M301, M12:M301, "&gt;="&amp;M2,M12:M301,"&lt;="&amp;M3))</f>
        <v>-</v>
      </c>
      <c r="O4" s="1016">
        <f ca="1">IF(COUNT(O12:O301)=0,"-",AVERAGEIFS(O12:O301, O12:O301, "&gt;="&amp;O2,O12:O301,"&lt;="&amp;O3))</f>
        <v>426.67084107884784</v>
      </c>
      <c r="Q4" s="1016">
        <f ca="1">IF(COUNT(Q12:Q301)=0,"-",AVERAGEIFS(Q12:Q301, Q12:Q301, "&gt;="&amp;Q2,Q12:Q301,"&lt;="&amp;Q3))</f>
        <v>1563.0110531571249</v>
      </c>
      <c r="S4" s="1016">
        <f ca="1">IF(COUNT(S12:S301)=0,"-",AVERAGEIFS(S12:S301, S12:S301, "&gt;="&amp;S2,S12:S301,"&lt;="&amp;S3))</f>
        <v>1095.1586665061116</v>
      </c>
      <c r="U4" s="1016">
        <f ca="1">IF(COUNT(U12:U301)=0,"-",AVERAGEIFS(U12:U301, U12:U301, "&gt;="&amp;U2,U12:U301,"&lt;="&amp;U3))</f>
        <v>595.41270474827422</v>
      </c>
      <c r="W4" s="1016">
        <f ca="1">IF(COUNT(W12:W301)=0,"-",AVERAGEIFS(W12:W301, W12:W301, "&gt;="&amp;W2,W12:W301,"&lt;="&amp;W3))</f>
        <v>259.95166783277898</v>
      </c>
      <c r="Y4" s="1016">
        <f ca="1">IF(COUNT(Y12:Y301)=0,"-",AVERAGEIFS(Y12:Y301, Y12:Y301, "&gt;="&amp;Y2,Y12:Y301,"&lt;="&amp;Y3))</f>
        <v>176.11949685534589</v>
      </c>
      <c r="AA4" s="1016" t="str">
        <f>IF(COUNT(AA12:AA301)=0,"-",AVERAGEIFS(AA12:AA301, AA12:AA301, "&gt;="&amp;AA2,AA12:AA301,"&lt;="&amp;AA3))</f>
        <v>-</v>
      </c>
      <c r="AC4" s="1016">
        <f ca="1">IF(COUNT(AC12:AC301)=0,"-",AVERAGEIFS(AC12:AC301, AC12:AC301, "&gt;="&amp;AC2,AC12:AC301,"&lt;="&amp;AC3))</f>
        <v>4572.550744659743</v>
      </c>
      <c r="AE4" s="1016">
        <f ca="1">IF(COUNT(AE12:AE301)=0,"-",AVERAGEIFS(AE12:AE301, AE12:AE301, "&gt;="&amp;AE2,AE12:AE301,"&lt;="&amp;AE3))</f>
        <v>4815.3846153846152</v>
      </c>
      <c r="AG4" s="1016" t="str">
        <f>IF(COUNT(AG12:AG301)=0,"-",AVERAGEIFS(AG12:AG301, AG12:AG301, "&gt;="&amp;AG2,AG12:AG301,"&lt;="&amp;AG3))</f>
        <v>-</v>
      </c>
      <c r="AI4" s="1016" t="str">
        <f>IF(COUNT(AI12:AI301)=0,"-",AVERAGEIFS(AI12:AI301, AI12:AI301, "&gt;="&amp;AI2,AI12:AI301,"&lt;="&amp;AI3))</f>
        <v>-</v>
      </c>
      <c r="AK4" s="1016">
        <f ca="1">IF(COUNT(AK12:AK300)=0,"-",AVERAGEIFS(AK12:AK300, AK12:AK300, "&gt;="&amp;AK2,AK12:AK300,"&lt;="&amp;AK3))</f>
        <v>3724.5891807921421</v>
      </c>
      <c r="AM4" s="1016" t="str">
        <f>IF(COUNT(AM12:AM301)=0,"-",AVERAGEIFS(AM12:AM301, AM12:AM301, "&gt;="&amp;AM2,AM12:AM301,"&lt;="&amp;AM3))</f>
        <v>-</v>
      </c>
      <c r="AO4" s="1016">
        <f ca="1">IF(COUNT(AO12:AO301)=0,"-",AVERAGEIFS(AO12:AO301, AO12:AO301, "&gt;="&amp;AO2,AO12:AO301,"&lt;="&amp;AO3))</f>
        <v>569.23076923076917</v>
      </c>
      <c r="AQ4" s="1016">
        <f ca="1">IF(COUNT(AQ12:AQ300)=0,"-",AVERAGEIFS(AQ12:AQ300, AQ12:AQ300, "&gt;="&amp;AQ2,AQ12:AQ300,"&lt;="&amp;AQ3))</f>
        <v>24217.599861931256</v>
      </c>
    </row>
    <row r="5" spans="1:43" x14ac:dyDescent="0.2">
      <c r="A5" s="2155"/>
      <c r="C5" s="1014" t="s">
        <v>2233</v>
      </c>
      <c r="E5" s="1017">
        <f ca="1">IF(COUNT(E12:E300)=0,"-",SUMIFS(D12:D300,E12:E300,"&gt;="&amp;E2,E12:E300,"&lt;="&amp;E3)/SUMIFS($B12:$B300,E12:E300,"&gt;="&amp;E2,E12:E300,"&lt;="&amp;E3))</f>
        <v>15811.671629781535</v>
      </c>
      <c r="G5" s="1017" t="e">
        <f ca="1">IF(COUNT(G12:G301)=0,"-",SUMIFS(F12:F301,G12:G301,"&gt;="&amp;G2,G12:G301,"&lt;="&amp;G3)/SUMIFS($B12:$B300,G12:G301,"&gt;="&amp;G2,G12:G301,"&lt;="&amp;G3))</f>
        <v>#VALUE!</v>
      </c>
      <c r="I5" s="1017" t="str">
        <f>IF(COUNT(I12:I301)=0,"-",SUMIFS(H12:H301,I12:I301,"&gt;="&amp;I2,I12:I301,"&lt;="&amp;I3)/SUMIFS($B12:$B300,I12:I301,"&gt;="&amp;I2,I12:I301,"&lt;="&amp;I3))</f>
        <v>-</v>
      </c>
      <c r="K5" s="1017" t="e">
        <f ca="1">IF(COUNT(K12:K301)=0,"-",SUMIFS(J12:J301,K12:K301,"&gt;="&amp;K2,K12:K301,"&lt;="&amp;K3)/SUMIFS($B12:$B300,K12:K301,"&gt;="&amp;K2,K12:K301,"&lt;="&amp;K3))</f>
        <v>#VALUE!</v>
      </c>
      <c r="M5" s="1017" t="str">
        <f>IF(COUNT(M12:M301)=0,"-",SUMIFS(L12:L301,M12:M301,"&gt;="&amp;M2,M12:M301,"&lt;="&amp;M3)/SUMIFS($B12:$B300,M12:M301,"&gt;="&amp;M2,M12:M301,"&lt;="&amp;M3))</f>
        <v>-</v>
      </c>
      <c r="O5" s="1017" t="e">
        <f ca="1">IF(COUNT(O12:O301)=0,"-",SUMIFS(N12:N301,O12:O301,"&gt;="&amp;O2,O12:O301,"&lt;="&amp;O3)/SUMIFS($B12:$B300,O12:O301,"&gt;="&amp;O2,O12:O301,"&lt;="&amp;O3))</f>
        <v>#VALUE!</v>
      </c>
      <c r="Q5" s="1017" t="e">
        <f ca="1">IF(COUNT(Q12:Q301)=0,"-",SUMIFS(P12:P301,Q12:Q301,"&gt;="&amp;Q2,Q12:Q301,"&lt;="&amp;Q3)/SUMIFS($B12:$B300,Q12:Q301,"&gt;="&amp;Q2,Q12:Q301,"&lt;="&amp;Q3))</f>
        <v>#VALUE!</v>
      </c>
      <c r="S5" s="1017" t="e">
        <f ca="1">IF(COUNT(S12:S301)=0,"-",SUMIFS(R12:R301,S12:S301,"&gt;="&amp;S2,S12:S301,"&lt;="&amp;S3)/SUMIFS($B12:$B300,S12:S301,"&gt;="&amp;S2,S12:S301,"&lt;="&amp;S3))</f>
        <v>#VALUE!</v>
      </c>
      <c r="U5" s="1017" t="e">
        <f ca="1">IF(COUNT(U12:U301)=0,"-",SUMIFS(T12:T301,U12:U301,"&gt;="&amp;U2,U12:U301,"&lt;="&amp;U3)/SUMIFS($B12:$B300,U12:U301,"&gt;="&amp;U2,U12:U301,"&lt;="&amp;U3))</f>
        <v>#VALUE!</v>
      </c>
      <c r="W5" s="1017" t="e">
        <f ca="1">IF(COUNT(W12:W301)=0,"-",SUMIFS(V12:V301,W12:W301,"&gt;="&amp;W2,W12:W301,"&lt;="&amp;W3)/SUMIFS($B12:$B300,W12:W301,"&gt;="&amp;W2,W12:W301,"&lt;="&amp;W3))</f>
        <v>#VALUE!</v>
      </c>
      <c r="Y5" s="1017" t="e">
        <f ca="1">IF(COUNT(Y12:Y301)=0,"-",SUMIFS(X12:X301,Y12:Y301,"&gt;="&amp;Y2,Y12:Y301,"&lt;="&amp;Y3)/SUMIFS($B12:$B300,Y12:Y301,"&gt;="&amp;Y2,Y12:Y301,"&lt;="&amp;Y3))</f>
        <v>#VALUE!</v>
      </c>
      <c r="AA5" s="1017" t="str">
        <f>IF(COUNT(AA12:AA301)=0,"-",SUMIFS(Z12:Z301,AA12:AA301,"&gt;="&amp;AA2,AA12:AA301,"&lt;="&amp;AA3)/SUMIFS($B12:$B300,AA12:AA301,"&gt;="&amp;AA2,AA12:AA301,"&lt;="&amp;AA3))</f>
        <v>-</v>
      </c>
      <c r="AC5" s="1017" t="e">
        <f ca="1">IF(COUNT(AC12:AC301)=0,"-",SUMIFS(AB12:AB301,AC12:AC301,"&gt;="&amp;AC2,AC12:AC301,"&lt;="&amp;AC3)/SUMIFS($B12:$B300,AC12:AC301,"&gt;="&amp;AC2,AC12:AC301,"&lt;="&amp;AC3))</f>
        <v>#VALUE!</v>
      </c>
      <c r="AE5" s="1017" t="e">
        <f ca="1">IF(COUNT(AE12:AE301)=0,"-",SUMIFS(AD12:AD301,AE12:AE301,"&gt;="&amp;AE2,AE12:AE301,"&lt;="&amp;AE3)/SUMIFS($B12:$B300,AE12:AE301,"&gt;="&amp;AE2,AE12:AE301,"&lt;="&amp;AE3))</f>
        <v>#VALUE!</v>
      </c>
      <c r="AG5" s="1017" t="str">
        <f>IF(COUNT(AG12:AG301)=0,"-",SUMIFS(AF12:AF301,AG12:AG301,"&gt;="&amp;AG2,AG12:AG301,"&lt;="&amp;AG3)/SUMIFS($B12:$B300,AG12:AG301,"&gt;="&amp;AG2,AG12:AG301,"&lt;="&amp;AG3))</f>
        <v>-</v>
      </c>
      <c r="AI5" s="1017" t="str">
        <f>IF(COUNT(AI12:AI301)=0,"-",SUMIFS(AH12:AH301,AI12:AI301,"&gt;="&amp;AI2,AI12:AI301,"&lt;="&amp;AI3)/SUMIFS($B12:$B300,AI12:AI301,"&gt;="&amp;AI2,AI12:AI301,"&lt;="&amp;AI3))</f>
        <v>-</v>
      </c>
      <c r="AK5" s="1017">
        <f ca="1">IF(COUNT(AK12:AK300)=0,"-",SUMIFS(AJ12:AJ300,AK12:AK300,"&gt;="&amp;AK2,AK12:AK300,"&lt;="&amp;AK3)/SUMIFS($B12:$B300,AK12:AK300,"&gt;="&amp;AK2,AK12:AK300,"&lt;="&amp;AK3))</f>
        <v>2217.6816986589256</v>
      </c>
      <c r="AM5" s="1017" t="str">
        <f>IF(COUNT(AM12:AM301)=0,"-",SUMIFS(AL12:AL301,AM12:AM301,"&gt;="&amp;AM2,AM12:AM301,"&lt;="&amp;AM3)/SUMIFS($B12:$B300,AM12:AM301,"&gt;="&amp;AM2,AM12:AM301,"&lt;="&amp;AM3))</f>
        <v>-</v>
      </c>
      <c r="AO5" s="1017" t="e">
        <f ca="1">IF(COUNT(AO12:AO301)=0,"-",SUMIFS(AN12:AN301,AO12:AO301,"&gt;="&amp;AO2,AO12:AO301,"&lt;="&amp;AO3)/SUMIFS($B12:$B300,AO12:AO301,"&gt;="&amp;AO2,AO12:AO301,"&lt;="&amp;AO3))</f>
        <v>#VALUE!</v>
      </c>
      <c r="AQ5" s="1017">
        <f ca="1">IF(COUNT(AQ12:AQ300)=0,"-",SUMIFS(AP12:AP300,AQ12:AQ300,"&gt;="&amp;AQ2,AQ12:AQ300,"&lt;="&amp;AQ3)/SUMIFS($B12:$B300,AQ12:AQ300,"&gt;="&amp;AQ2,AQ12:AQ300,"&lt;="&amp;AQ3))</f>
        <v>8930.3120711438696</v>
      </c>
    </row>
    <row r="6" spans="1:43" x14ac:dyDescent="0.2">
      <c r="A6" s="2155"/>
      <c r="C6" s="1014" t="s">
        <v>2234</v>
      </c>
      <c r="E6" s="1018">
        <f ca="1">IF(COUNT(E12:E301)=0,"-",SUMIFS(E12:E301, E12:E301, "&gt;="&amp;E2,E12:E301,"&lt;="&amp;E3)/($A$1-COUNTIF(E12:E301,"&lt;"&amp;E$2)-COUNTIF(E12:E301,"&gt;"&amp;E$3)))</f>
        <v>36064.619950667322</v>
      </c>
      <c r="G6" s="1018">
        <f ca="1">IF(COUNT(G12:G301)=0,"-",SUMIFS(G12:G301, G12:G301, "&gt;="&amp;G2,G12:G301,"&lt;="&amp;G3)/($A$1-COUNTIF(G12:G301,"&lt;"&amp;G$2)-COUNTIF(G12:G301,"&gt;"&amp;G$3)))</f>
        <v>6520.1951290975521</v>
      </c>
      <c r="I6" s="1018" t="str">
        <f>IF(COUNT(I12:I301)=0,"-",SUMIFS(I12:I301, I12:I301, "&gt;="&amp;I2,I12:I301,"&lt;="&amp;I3)/($A$1-COUNTIF(I12:I301,"&lt;"&amp;I$2)-COUNTIF(I12:I301,"&gt;"&amp;I$3)))</f>
        <v>-</v>
      </c>
      <c r="K6" s="1018">
        <f ca="1">IF(COUNT(K12:K301)=0,"-",SUMIFS(K12:K301, K12:K301, "&gt;="&amp;K2,K12:K301,"&lt;="&amp;K3)/($A$1-COUNTIF(K12:K301,"&lt;"&amp;K$2)-COUNTIF(K12:K301,"&gt;"&amp;K$3)))</f>
        <v>12476.784464660603</v>
      </c>
      <c r="M6" s="1018" t="str">
        <f>IF(COUNT(M12:M301)=0,"-",SUMIFS(M12:M301, M12:M301, "&gt;="&amp;M2,M12:M301,"&lt;="&amp;M3)/($A$1-COUNTIF(M12:M301,"&lt;"&amp;M$2)-COUNTIF(M12:M301,"&gt;"&amp;M$3)))</f>
        <v>-</v>
      </c>
      <c r="O6" s="1018">
        <f ca="1">IF(COUNT(O12:O301)=0,"-",SUMIFS(O12:O301, O12:O301, "&gt;="&amp;O2,O12:O301,"&lt;="&amp;O3)/($A$1-COUNTIF(O12:O301,"&lt;"&amp;O$2)-COUNTIF(O12:O301,"&gt;"&amp;O$3)))</f>
        <v>266.6692756742799</v>
      </c>
      <c r="Q6" s="1018">
        <f ca="1">IF(COUNT(Q12:Q301)=0,"-",SUMIFS(Q12:Q301, Q12:Q301, "&gt;="&amp;Q2,Q12:Q301,"&lt;="&amp;Q3)/($A$1-COUNTIF(Q12:Q301,"&lt;"&amp;Q$2)-COUNTIF(Q12:Q301,"&gt;"&amp;Q$3)))</f>
        <v>1367.6346715124844</v>
      </c>
      <c r="S6" s="1018">
        <f ca="1">IF(COUNT(S12:S301)=0,"-",SUMIFS(S12:S301, S12:S301, "&gt;="&amp;S2,S12:S301,"&lt;="&amp;S3)/($A$1-COUNTIF(S12:S301,"&lt;"&amp;S$2)-COUNTIF(S12:S301,"&gt;"&amp;S$3)))</f>
        <v>938.70742843380981</v>
      </c>
      <c r="U6" s="1018">
        <f ca="1">IF(COUNT(U12:U301)=0,"-",SUMIFS(U12:U301, U12:U301, "&gt;="&amp;U2,U12:U301,"&lt;="&amp;U3)/($A$1-COUNTIF(U12:U301,"&lt;"&amp;U$2)-COUNTIF(U12:U301,"&gt;"&amp;U$3)))</f>
        <v>223.27976428060282</v>
      </c>
      <c r="W6" s="1018">
        <f ca="1">IF(COUNT(W12:W301)=0,"-",SUMIFS(W12:W301, W12:W301, "&gt;="&amp;W2,W12:W301,"&lt;="&amp;W3)/($A$1-COUNTIF(W12:W301,"&lt;"&amp;W$2)-COUNTIF(W12:W301,"&gt;"&amp;W$3)))</f>
        <v>97.481875437292118</v>
      </c>
      <c r="Y6" s="1018">
        <f ca="1">IF(COUNT(Y12:Y301)=0,"-",SUMIFS(Y12:Y301, Y12:Y301, "&gt;="&amp;Y2,Y12:Y301,"&lt;="&amp;Y3)/($A$1-COUNTIF(Y12:Y301,"&lt;"&amp;Y$2)-COUNTIF(Y12:Y301,"&gt;"&amp;Y$3)))</f>
        <v>22.014937106918236</v>
      </c>
      <c r="AA6" s="1018" t="str">
        <f>IF(COUNT(AA12:AA301)=0,"-",SUMIFS(AA12:AA301, AA12:AA301, "&gt;="&amp;AA2,AA12:AA301,"&lt;="&amp;AA3)/($A$1-COUNTIF(AA12:AA301,"&lt;"&amp;AA$2)-COUNTIF(AA12:AA301,"&gt;"&amp;AA$3)))</f>
        <v>-</v>
      </c>
      <c r="AC6" s="1018">
        <f ca="1">IF(COUNT(AC12:AC301)=0,"-",SUMIFS(AC12:AC301, AC12:AC301, "&gt;="&amp;AC2,AC12:AC301,"&lt;="&amp;AC3)/($A$1-COUNTIF(AC12:AC301,"&lt;"&amp;AC$2)-COUNTIF(AC12:AC301,"&gt;"&amp;AC$3)))</f>
        <v>2857.8442154123395</v>
      </c>
      <c r="AE6" s="1018">
        <f ca="1">IF(COUNT(AE12:AE301)=0,"-",SUMIFS(AE12:AE301, AE12:AE301, "&gt;="&amp;AE2,AE12:AE301,"&lt;="&amp;AE3)/($A$1-COUNTIF(AE12:AE301,"&lt;"&amp;AE$2)-COUNTIF(AE12:AE301,"&gt;"&amp;AE$3)))</f>
        <v>601.92307692307691</v>
      </c>
      <c r="AG6" s="1018" t="str">
        <f>IF(COUNT(AG12:AG301)=0,"-",SUMIFS(AG12:AG301, AG12:AG301, "&gt;="&amp;AG2,AG12:AG301,"&lt;="&amp;AG3)/($A$1-COUNTIF(AG12:AG301,"&lt;"&amp;AG$2)-COUNTIF(AG12:AG301,"&gt;"&amp;AG$3)))</f>
        <v>-</v>
      </c>
      <c r="AI6" s="1018" t="str">
        <f>IF(COUNT(AI12:AI301)=0,"-",SUMIFS(AI12:AI301, AI12:AI301, "&gt;="&amp;AI2,AI12:AI301,"&lt;="&amp;AI3)/($A$1-COUNTIF(AI12:AI301,"&lt;"&amp;AI$2)-COUNTIF(AI12:AI301,"&gt;"&amp;AI$3)))</f>
        <v>-</v>
      </c>
      <c r="AK6" s="1018">
        <f ca="1">IF(COUNT(AK12:AK300)=0,"-",SUMIFS(AK12:AK300, AK12:AK300, "&gt;="&amp;AK2,AK12:AK300,"&lt;="&amp;AK3)/($A$1-COUNTIF(AK12:AK300,"&lt;"&amp;AK$2)-COUNTIF(AK12:AK300,"&gt;"&amp;AK$3)))</f>
        <v>2660.4208434229586</v>
      </c>
      <c r="AM6" s="1018" t="str">
        <f>IF(COUNT(AM12:AM301)=0,"-",SUMIFS(AM12:AM301, AM12:AM301, "&gt;="&amp;AM2,AM12:AM301,"&lt;="&amp;AM3)/($A$1-COUNTIF(AM12:AM301,"&lt;"&amp;AM$2)-COUNTIF(AM12:AM301,"&gt;"&amp;AM$3)))</f>
        <v>-</v>
      </c>
      <c r="AO6" s="1018">
        <f ca="1">IF(COUNT(AO12:AO301)=0,"-",SUMIFS(AO12:AO301, AO12:AO301, "&gt;="&amp;AO2,AO12:AO301,"&lt;="&amp;AO3)/($A$1-COUNTIF(AO12:AO301,"&lt;"&amp;AO$2)-COUNTIF(AO12:AO301,"&gt;"&amp;AO$3)))</f>
        <v>71.153846153846146</v>
      </c>
      <c r="AQ6" s="1018">
        <f ca="1">IF(COUNT(AQ12:AQ300)=0,"-",SUMIFS(AQ12:AQ300, AQ12:AQ300, "&gt;="&amp;AQ2,AQ12:AQ300,"&lt;="&amp;AQ3)/($A$1-COUNTIF(AQ12:AQ300,"&lt;"&amp;AQ$2)-COUNTIF(AQ12:AQ300,"&gt;"&amp;AQ$3)))</f>
        <v>24217.599861931256</v>
      </c>
    </row>
    <row r="9" spans="1:43" x14ac:dyDescent="0.2">
      <c r="D9" s="1013" t="s">
        <v>2235</v>
      </c>
      <c r="E9" s="1019"/>
      <c r="F9" s="1013" t="s">
        <v>2236</v>
      </c>
      <c r="G9" s="1019"/>
      <c r="H9" s="1013" t="s">
        <v>2237</v>
      </c>
      <c r="I9" s="1019"/>
      <c r="J9" s="1013" t="s">
        <v>2238</v>
      </c>
      <c r="K9" s="1019"/>
      <c r="L9" s="1013" t="s">
        <v>2239</v>
      </c>
      <c r="M9" s="1019"/>
      <c r="N9" s="1013" t="s">
        <v>2240</v>
      </c>
      <c r="O9" s="1019"/>
      <c r="P9" s="1013" t="s">
        <v>2241</v>
      </c>
      <c r="Q9" s="1019"/>
      <c r="R9" s="1013" t="s">
        <v>2242</v>
      </c>
      <c r="S9" s="1019"/>
      <c r="T9" s="1013" t="s">
        <v>2243</v>
      </c>
      <c r="U9" s="1019"/>
      <c r="V9" s="1013" t="s">
        <v>2244</v>
      </c>
      <c r="W9" s="1019"/>
      <c r="X9" s="1013" t="s">
        <v>2245</v>
      </c>
      <c r="Y9" s="1019"/>
      <c r="Z9" s="1013" t="s">
        <v>2246</v>
      </c>
      <c r="AA9" s="1019"/>
      <c r="AB9" s="1013" t="s">
        <v>2247</v>
      </c>
      <c r="AC9" s="1019"/>
      <c r="AD9" s="1013" t="s">
        <v>2248</v>
      </c>
      <c r="AE9" s="1019"/>
      <c r="AF9" s="1013" t="s">
        <v>2249</v>
      </c>
      <c r="AG9" s="1019"/>
      <c r="AH9" s="1013" t="s">
        <v>2250</v>
      </c>
      <c r="AI9" s="1019"/>
      <c r="AJ9" s="1013" t="s">
        <v>2251</v>
      </c>
      <c r="AK9" s="1019"/>
      <c r="AL9" s="1013" t="s">
        <v>2252</v>
      </c>
      <c r="AM9" s="1019"/>
      <c r="AN9" s="1013" t="s">
        <v>2253</v>
      </c>
      <c r="AO9" s="1019"/>
      <c r="AP9" s="1013" t="s">
        <v>2254</v>
      </c>
      <c r="AQ9" s="1019"/>
    </row>
    <row r="10" spans="1:43" ht="51" x14ac:dyDescent="0.2">
      <c r="A10" s="1020"/>
      <c r="B10" s="1020"/>
      <c r="D10" s="1020" t="s">
        <v>2255</v>
      </c>
      <c r="E10" s="1021" t="str">
        <f>D10&amp;"
per FTE"</f>
        <v>Total Occupancy
per FTE</v>
      </c>
      <c r="F10" s="1020" t="s">
        <v>2256</v>
      </c>
      <c r="G10" s="1021" t="str">
        <f>F10&amp;"
per FTE"</f>
        <v>Direct Care Consultant 201
per FTE</v>
      </c>
      <c r="H10" s="1020" t="s">
        <v>2257</v>
      </c>
      <c r="I10" s="1021" t="str">
        <f>H10&amp;"
per FTE"</f>
        <v>Temporary Help 202
per FTE</v>
      </c>
      <c r="J10" s="1020" t="s">
        <v>2258</v>
      </c>
      <c r="K10" s="1021" t="str">
        <f>J10&amp;"
per FTE"</f>
        <v>Clients and Caregivers Reimb./Stipends 203
per FTE</v>
      </c>
      <c r="L10" s="1020" t="s">
        <v>2259</v>
      </c>
      <c r="M10" s="1021" t="str">
        <f>L10&amp;"
per FTE"</f>
        <v>Subcontracted Direct Care 206
per FTE</v>
      </c>
      <c r="N10" s="1020" t="s">
        <v>2260</v>
      </c>
      <c r="O10" s="1021" t="str">
        <f>N10&amp;"
per FTE"</f>
        <v>Staff Training 204
per FTE</v>
      </c>
      <c r="P10" s="1020" t="s">
        <v>2261</v>
      </c>
      <c r="Q10" s="1021" t="str">
        <f>P10&amp;"
per FTE"</f>
        <v>Staff Mileage / Travel 205
per FTE</v>
      </c>
      <c r="R10" s="1020" t="s">
        <v>2262</v>
      </c>
      <c r="S10" s="1021" t="str">
        <f>R10&amp;"
per FTE"</f>
        <v>Meals 207
per FTE</v>
      </c>
      <c r="T10" s="1020" t="s">
        <v>2263</v>
      </c>
      <c r="U10" s="1021" t="str">
        <f>T10&amp;"
per FTE"</f>
        <v>Client Transportation 208
per FTE</v>
      </c>
      <c r="V10" s="1020" t="s">
        <v>2264</v>
      </c>
      <c r="W10" s="1021" t="str">
        <f>V10&amp;"
per FTE"</f>
        <v>Vehicle Expenses 208
per FTE</v>
      </c>
      <c r="X10" s="1020" t="s">
        <v>2265</v>
      </c>
      <c r="Y10" s="1021" t="str">
        <f>X10&amp;"
per FTE"</f>
        <v>Vehicle Depreciation 208
per FTE</v>
      </c>
      <c r="Z10" s="1020" t="s">
        <v>2266</v>
      </c>
      <c r="AA10" s="1021" t="str">
        <f>Z10&amp;"
per FTE"</f>
        <v>Incidental Medical /Medicine/Pharmacy 209
per FTE</v>
      </c>
      <c r="AB10" s="1020" t="s">
        <v>2267</v>
      </c>
      <c r="AC10" s="1021" t="str">
        <f>AB10&amp;"
per FTE"</f>
        <v>Client Personal Allowances 211
per FTE</v>
      </c>
      <c r="AD10" s="1020" t="s">
        <v>2268</v>
      </c>
      <c r="AE10" s="1021" t="str">
        <f>AD10&amp;"
per FTE"</f>
        <v>Provision Material Goods/Svs./Benefits 212
per FTE</v>
      </c>
      <c r="AF10" s="1020" t="s">
        <v>2269</v>
      </c>
      <c r="AG10" s="1021" t="str">
        <f>AF10&amp;"
per FTE"</f>
        <v>Direct Client Wages 214
per FTE</v>
      </c>
      <c r="AH10" s="1020" t="s">
        <v>2270</v>
      </c>
      <c r="AI10" s="1021" t="str">
        <f>AH10&amp;"
per FTE"</f>
        <v>Other Commercial Prod. &amp; Svs. 214
per FTE</v>
      </c>
      <c r="AJ10" s="1020" t="s">
        <v>2271</v>
      </c>
      <c r="AK10" s="1021" t="str">
        <f>AJ10&amp;"
per FTE"</f>
        <v>Program Supplies &amp; Materials 215
per FTE</v>
      </c>
      <c r="AL10" s="1020" t="s">
        <v>2272</v>
      </c>
      <c r="AM10" s="1021" t="str">
        <f>AL10&amp;"
per FTE"</f>
        <v>Non Charitable Expenses
per FTE</v>
      </c>
      <c r="AN10" s="1020" t="s">
        <v>2273</v>
      </c>
      <c r="AO10" s="1021" t="str">
        <f>AN10&amp;"
per FTE"</f>
        <v>Other Expense
per FTE</v>
      </c>
      <c r="AP10" s="1020" t="s">
        <v>2274</v>
      </c>
      <c r="AQ10" s="1021" t="str">
        <f>AP10&amp;"
per FTE"</f>
        <v>Total Other Program Expense
per FTE</v>
      </c>
    </row>
    <row r="11" spans="1:43" x14ac:dyDescent="0.2">
      <c r="A11" s="1013" t="s">
        <v>2275</v>
      </c>
      <c r="B11" s="1013" t="s">
        <v>2276</v>
      </c>
      <c r="D11" s="1013" t="s">
        <v>2277</v>
      </c>
      <c r="E11" s="1019"/>
      <c r="F11" s="1013" t="s">
        <v>2277</v>
      </c>
      <c r="G11" s="1019"/>
      <c r="H11" s="1013" t="s">
        <v>2277</v>
      </c>
      <c r="I11" s="1019"/>
      <c r="J11" s="1013" t="s">
        <v>2277</v>
      </c>
      <c r="K11" s="1019"/>
      <c r="L11" s="1013" t="s">
        <v>2277</v>
      </c>
      <c r="M11" s="1019"/>
      <c r="N11" s="1013" t="s">
        <v>2277</v>
      </c>
      <c r="O11" s="1019"/>
      <c r="P11" s="1013" t="s">
        <v>2277</v>
      </c>
      <c r="Q11" s="1019"/>
      <c r="R11" s="1013" t="s">
        <v>2277</v>
      </c>
      <c r="S11" s="1019"/>
      <c r="T11" s="1013" t="s">
        <v>2277</v>
      </c>
      <c r="U11" s="1019"/>
      <c r="V11" s="1013" t="s">
        <v>2277</v>
      </c>
      <c r="W11" s="1019"/>
      <c r="X11" s="1013" t="s">
        <v>2277</v>
      </c>
      <c r="Y11" s="1019"/>
      <c r="Z11" s="1013" t="s">
        <v>2277</v>
      </c>
      <c r="AA11" s="1019"/>
      <c r="AB11" s="1013" t="s">
        <v>2277</v>
      </c>
      <c r="AC11" s="1019"/>
      <c r="AD11" s="1013" t="s">
        <v>2277</v>
      </c>
      <c r="AE11" s="1019"/>
      <c r="AF11" s="1013" t="s">
        <v>2277</v>
      </c>
      <c r="AG11" s="1019"/>
      <c r="AH11" s="1013" t="s">
        <v>2277</v>
      </c>
      <c r="AI11" s="1019"/>
      <c r="AJ11" s="1013" t="s">
        <v>2277</v>
      </c>
      <c r="AK11" s="1019"/>
      <c r="AL11" s="1013" t="s">
        <v>2277</v>
      </c>
      <c r="AM11" s="1019"/>
      <c r="AN11" s="1013" t="s">
        <v>2277</v>
      </c>
      <c r="AO11" s="1019"/>
      <c r="AP11" s="1013" t="s">
        <v>2277</v>
      </c>
      <c r="AQ11" s="1019"/>
    </row>
    <row r="12" spans="1:43" x14ac:dyDescent="0.2">
      <c r="A12" s="1013" t="s">
        <v>2278</v>
      </c>
      <c r="B12" s="1013">
        <v>1.59</v>
      </c>
      <c r="D12" s="1022">
        <v>124107.86</v>
      </c>
      <c r="E12" s="1023">
        <f>IF(OR($B12=0,D12=0),"",D12/$B12)</f>
        <v>78055.257861635211</v>
      </c>
      <c r="G12" s="1024" t="str">
        <f>IF(OR($B12=0,F12=0),"",F12/$B12)</f>
        <v/>
      </c>
      <c r="I12" s="1024" t="str">
        <f>IF(OR($B12=0,H12=0),"",H12/$B12)</f>
        <v/>
      </c>
      <c r="K12" s="1024" t="str">
        <f>IF(OR($B12=0,J12=0),"",J12/$B12)</f>
        <v/>
      </c>
      <c r="M12" s="1024" t="str">
        <f>IF(OR($B12=0,L12=0),"",L12/$B12)</f>
        <v/>
      </c>
      <c r="N12" s="1013">
        <v>174</v>
      </c>
      <c r="O12" s="1024">
        <f>IF(OR($B12=0,N12=0),"",N12/$B12)</f>
        <v>109.43396226415094</v>
      </c>
      <c r="P12" s="1013">
        <v>1434.29</v>
      </c>
      <c r="Q12" s="1024">
        <f>IF(OR($B12=0,P12=0),"",P12/$B12)</f>
        <v>902.06918238993705</v>
      </c>
      <c r="R12" s="1013">
        <v>93.51</v>
      </c>
      <c r="S12" s="1024">
        <f>IF(OR($B12=0,R12=0),"",R12/$B12)</f>
        <v>58.811320754716981</v>
      </c>
      <c r="U12" s="1024" t="str">
        <f>IF(OR($B12=0,T12=0),"",T12/$B12)</f>
        <v/>
      </c>
      <c r="V12" s="1013">
        <v>539.33000000000004</v>
      </c>
      <c r="W12" s="1024">
        <f>IF(OR($B12=0,V12=0),"",V12/$B12)</f>
        <v>339.20125786163521</v>
      </c>
      <c r="X12" s="1013">
        <v>280.02999999999997</v>
      </c>
      <c r="Y12" s="1024">
        <f>IF(OR($B12=0,X12=0),"",X12/$B12)</f>
        <v>176.11949685534589</v>
      </c>
      <c r="AA12" s="1024" t="str">
        <f>IF(OR($B12=0,Z12=0),"",Z12/$B12)</f>
        <v/>
      </c>
      <c r="AB12" s="1013">
        <v>13456</v>
      </c>
      <c r="AC12" s="1024">
        <f>IF(OR($B12=0,AB12=0),"",AB12/$B12)</f>
        <v>8462.8930817610053</v>
      </c>
      <c r="AE12" s="1024" t="str">
        <f>IF(OR($B12=0,AD12=0),"",AD12/$B12)</f>
        <v/>
      </c>
      <c r="AG12" s="1024" t="str">
        <f>IF(OR($B12=0,AF12=0),"",AF12/$B12)</f>
        <v/>
      </c>
      <c r="AI12" s="1024" t="str">
        <f>IF(OR($B12=0,AH12=0),"",AH12/$B12)</f>
        <v/>
      </c>
      <c r="AJ12" s="1013">
        <v>22888.83</v>
      </c>
      <c r="AK12" s="1024">
        <f>IF(OR($B12=0,AJ12=0),"",AJ12/$B12)</f>
        <v>14395.490566037735</v>
      </c>
      <c r="AM12" s="1024" t="str">
        <f>IF(OR($B12=0,AL12=0),"",AL12/$B12)</f>
        <v/>
      </c>
      <c r="AO12" s="1024" t="str">
        <f>IF(OR($B12=0,AN12=0),"",AN12/$B12)</f>
        <v/>
      </c>
      <c r="AP12" s="1022">
        <v>38865.99</v>
      </c>
      <c r="AQ12" s="1024">
        <f>IF(OR($B12=0,AP12=0),"",AP12/$B12)</f>
        <v>24444.018867924526</v>
      </c>
    </row>
    <row r="13" spans="1:43" x14ac:dyDescent="0.2">
      <c r="A13" s="1013" t="s">
        <v>2279</v>
      </c>
      <c r="B13" s="1013">
        <v>0.111</v>
      </c>
      <c r="D13" s="1022">
        <v>6916</v>
      </c>
      <c r="E13" s="1023">
        <f t="shared" ref="E13:G27" si="0">IF(OR($B13=0,D13=0),"",D13/$B13)</f>
        <v>62306.306306306309</v>
      </c>
      <c r="G13" s="1024" t="str">
        <f t="shared" si="0"/>
        <v/>
      </c>
      <c r="I13" s="1024" t="str">
        <f t="shared" ref="I13:I27" si="1">IF(OR($B13=0,H13=0),"",H13/$B13)</f>
        <v/>
      </c>
      <c r="K13" s="1024" t="str">
        <f t="shared" ref="K13:K27" si="2">IF(OR($B13=0,J13=0),"",J13/$B13)</f>
        <v/>
      </c>
      <c r="M13" s="1024" t="str">
        <f t="shared" ref="M13:M27" si="3">IF(OR($B13=0,L13=0),"",L13/$B13)</f>
        <v/>
      </c>
      <c r="N13" s="1013">
        <v>23</v>
      </c>
      <c r="O13" s="1024">
        <f t="shared" ref="O13:O29" si="4">IF(OR($B13=0,N13=0),"",N13/$B13)</f>
        <v>207.2072072072072</v>
      </c>
      <c r="P13" s="1013">
        <v>190</v>
      </c>
      <c r="Q13" s="1024">
        <f t="shared" ref="Q13:Q29" si="5">IF(OR($B13=0,P13=0),"",P13/$B13)</f>
        <v>1711.7117117117116</v>
      </c>
      <c r="R13" s="1013">
        <v>33</v>
      </c>
      <c r="S13" s="1024">
        <f t="shared" ref="S13:S29" si="6">IF(OR($B13=0,R13=0),"",R13/$B13)</f>
        <v>297.29729729729729</v>
      </c>
      <c r="T13" s="1013">
        <v>30</v>
      </c>
      <c r="U13" s="1024">
        <f t="shared" ref="U13:U29" si="7">IF(OR($B13=0,T13=0),"",T13/$B13)</f>
        <v>270.27027027027026</v>
      </c>
      <c r="W13" s="1024" t="str">
        <f t="shared" ref="W13:W29" si="8">IF(OR($B13=0,V13=0),"",V13/$B13)</f>
        <v/>
      </c>
      <c r="Y13" s="1024" t="str">
        <f t="shared" ref="Y13:Y29" si="9">IF(OR($B13=0,X13=0),"",X13/$B13)</f>
        <v/>
      </c>
      <c r="AA13" s="1024" t="str">
        <f t="shared" ref="AA13:AA29" si="10">IF(OR($B13=0,Z13=0),"",Z13/$B13)</f>
        <v/>
      </c>
      <c r="AB13" s="1013">
        <v>1016</v>
      </c>
      <c r="AC13" s="1024">
        <f t="shared" ref="AC13:AC29" si="11">IF(OR($B13=0,AB13=0),"",AB13/$B13)</f>
        <v>9153.1531531531527</v>
      </c>
      <c r="AE13" s="1024" t="str">
        <f t="shared" ref="AE13:AE29" si="12">IF(OR($B13=0,AD13=0),"",AD13/$B13)</f>
        <v/>
      </c>
      <c r="AG13" s="1024" t="str">
        <f t="shared" ref="AG13:AG29" si="13">IF(OR($B13=0,AF13=0),"",AF13/$B13)</f>
        <v/>
      </c>
      <c r="AI13" s="1024" t="str">
        <f t="shared" ref="AI13:AI29" si="14">IF(OR($B13=0,AH13=0),"",AH13/$B13)</f>
        <v/>
      </c>
      <c r="AJ13" s="1013">
        <v>58</v>
      </c>
      <c r="AK13" s="1024">
        <f t="shared" ref="AK13:AK29" si="15">IF(OR($B13=0,AJ13=0),"",AJ13/$B13)</f>
        <v>522.52252252252254</v>
      </c>
      <c r="AM13" s="1024" t="str">
        <f t="shared" ref="AM13:AM29" si="16">IF(OR($B13=0,AL13=0),"",AL13/$B13)</f>
        <v/>
      </c>
      <c r="AO13" s="1024" t="str">
        <f t="shared" ref="AO13:AO29" si="17">IF(OR($B13=0,AN13=0),"",AN13/$B13)</f>
        <v/>
      </c>
      <c r="AP13" s="1022">
        <v>1350</v>
      </c>
      <c r="AQ13" s="1024">
        <f t="shared" ref="AQ13:AQ29" si="18">IF(OR($B13=0,AP13=0),"",AP13/$B13)</f>
        <v>12162.162162162162</v>
      </c>
    </row>
    <row r="14" spans="1:43" x14ac:dyDescent="0.2">
      <c r="B14" s="1013">
        <v>16.812473514227801</v>
      </c>
      <c r="D14" s="1022">
        <v>232540</v>
      </c>
      <c r="E14" s="1023">
        <f t="shared" si="0"/>
        <v>13831.397254140484</v>
      </c>
      <c r="F14" s="1013">
        <v>3654</v>
      </c>
      <c r="G14" s="1024">
        <f t="shared" si="0"/>
        <v>217.3386323498294</v>
      </c>
      <c r="I14" s="1024" t="str">
        <f t="shared" si="1"/>
        <v/>
      </c>
      <c r="K14" s="1024" t="str">
        <f t="shared" si="2"/>
        <v/>
      </c>
      <c r="M14" s="1024" t="str">
        <f t="shared" si="3"/>
        <v/>
      </c>
      <c r="N14" s="1013">
        <v>166</v>
      </c>
      <c r="O14" s="1024">
        <f t="shared" si="4"/>
        <v>9.8736215024826706</v>
      </c>
      <c r="P14" s="1013">
        <v>408</v>
      </c>
      <c r="Q14" s="1024">
        <f t="shared" si="5"/>
        <v>24.267696222969455</v>
      </c>
      <c r="R14" s="1013">
        <v>23068</v>
      </c>
      <c r="S14" s="1024">
        <f t="shared" si="6"/>
        <v>1372.0765109594593</v>
      </c>
      <c r="T14" s="1013">
        <v>10120</v>
      </c>
      <c r="U14" s="1024">
        <f t="shared" si="7"/>
        <v>601.93403376581102</v>
      </c>
      <c r="W14" s="1024" t="str">
        <f t="shared" si="8"/>
        <v/>
      </c>
      <c r="Y14" s="1024" t="str">
        <f t="shared" si="9"/>
        <v/>
      </c>
      <c r="AA14" s="1024" t="str">
        <f t="shared" si="10"/>
        <v/>
      </c>
      <c r="AB14" s="1013">
        <v>8678</v>
      </c>
      <c r="AC14" s="1024">
        <f t="shared" si="11"/>
        <v>516.16438191894349</v>
      </c>
      <c r="AE14" s="1024" t="str">
        <f t="shared" si="12"/>
        <v/>
      </c>
      <c r="AG14" s="1024" t="str">
        <f t="shared" si="13"/>
        <v/>
      </c>
      <c r="AI14" s="1024" t="str">
        <f t="shared" si="14"/>
        <v/>
      </c>
      <c r="AJ14" s="1013">
        <v>19106</v>
      </c>
      <c r="AK14" s="1024">
        <f t="shared" si="15"/>
        <v>1136.4181471471923</v>
      </c>
      <c r="AM14" s="1024" t="str">
        <f t="shared" si="16"/>
        <v/>
      </c>
      <c r="AO14" s="1024" t="str">
        <f t="shared" si="17"/>
        <v/>
      </c>
      <c r="AP14" s="1022">
        <v>65200</v>
      </c>
      <c r="AQ14" s="1024">
        <f t="shared" si="18"/>
        <v>3878.0730238666874</v>
      </c>
    </row>
    <row r="15" spans="1:43" x14ac:dyDescent="0.2">
      <c r="A15" s="1013" t="s">
        <v>2280</v>
      </c>
      <c r="B15" s="1013">
        <v>0.7</v>
      </c>
      <c r="D15" s="1022">
        <v>31338</v>
      </c>
      <c r="E15" s="1023">
        <f t="shared" si="0"/>
        <v>44768.571428571435</v>
      </c>
      <c r="G15" s="1024" t="str">
        <f t="shared" si="0"/>
        <v/>
      </c>
      <c r="I15" s="1024" t="str">
        <f t="shared" si="1"/>
        <v/>
      </c>
      <c r="K15" s="1024" t="str">
        <f t="shared" si="2"/>
        <v/>
      </c>
      <c r="M15" s="1024" t="str">
        <f t="shared" si="3"/>
        <v/>
      </c>
      <c r="O15" s="1024" t="str">
        <f t="shared" si="4"/>
        <v/>
      </c>
      <c r="P15" s="1013">
        <v>2760</v>
      </c>
      <c r="Q15" s="1024">
        <f t="shared" si="5"/>
        <v>3942.8571428571431</v>
      </c>
      <c r="R15" s="1013">
        <v>1941</v>
      </c>
      <c r="S15" s="1024">
        <f t="shared" si="6"/>
        <v>2772.8571428571431</v>
      </c>
      <c r="U15" s="1024" t="str">
        <f t="shared" si="7"/>
        <v/>
      </c>
      <c r="V15" s="1013">
        <v>25</v>
      </c>
      <c r="W15" s="1024">
        <f t="shared" si="8"/>
        <v>35.714285714285715</v>
      </c>
      <c r="Y15" s="1024" t="str">
        <f t="shared" si="9"/>
        <v/>
      </c>
      <c r="AA15" s="1024" t="str">
        <f t="shared" si="10"/>
        <v/>
      </c>
      <c r="AC15" s="1024" t="str">
        <f t="shared" si="11"/>
        <v/>
      </c>
      <c r="AE15" s="1024" t="str">
        <f t="shared" si="12"/>
        <v/>
      </c>
      <c r="AG15" s="1024" t="str">
        <f t="shared" si="13"/>
        <v/>
      </c>
      <c r="AI15" s="1024" t="str">
        <f t="shared" si="14"/>
        <v/>
      </c>
      <c r="AK15" s="1024" t="str">
        <f t="shared" si="15"/>
        <v/>
      </c>
      <c r="AM15" s="1024" t="str">
        <f t="shared" si="16"/>
        <v/>
      </c>
      <c r="AO15" s="1024" t="str">
        <f t="shared" si="17"/>
        <v/>
      </c>
      <c r="AP15" s="1022">
        <v>4726</v>
      </c>
      <c r="AQ15" s="1024">
        <f t="shared" si="18"/>
        <v>6751.4285714285716</v>
      </c>
    </row>
    <row r="16" spans="1:43" x14ac:dyDescent="0.2">
      <c r="A16" s="1013" t="s">
        <v>2281</v>
      </c>
      <c r="B16" s="1013">
        <v>1.0003</v>
      </c>
      <c r="D16" s="1022">
        <v>3083.26</v>
      </c>
      <c r="E16" s="1023">
        <f t="shared" si="0"/>
        <v>3082.3352994101774</v>
      </c>
      <c r="F16" s="1013">
        <v>626</v>
      </c>
      <c r="G16" s="1024">
        <f t="shared" si="0"/>
        <v>625.81225632310304</v>
      </c>
      <c r="I16" s="1024" t="str">
        <f t="shared" si="1"/>
        <v/>
      </c>
      <c r="J16" s="1013">
        <v>99844.22</v>
      </c>
      <c r="K16" s="1024">
        <f t="shared" si="2"/>
        <v>99814.275717284821</v>
      </c>
      <c r="M16" s="1024" t="str">
        <f t="shared" si="3"/>
        <v/>
      </c>
      <c r="N16" s="1013">
        <v>1873.53</v>
      </c>
      <c r="O16" s="1024">
        <f t="shared" si="4"/>
        <v>1872.9681095671299</v>
      </c>
      <c r="P16" s="1013">
        <v>2199.77</v>
      </c>
      <c r="Q16" s="1024">
        <f t="shared" si="5"/>
        <v>2199.110266919924</v>
      </c>
      <c r="S16" s="1024" t="str">
        <f t="shared" si="6"/>
        <v/>
      </c>
      <c r="U16" s="1024" t="str">
        <f t="shared" si="7"/>
        <v/>
      </c>
      <c r="W16" s="1024" t="str">
        <f t="shared" si="8"/>
        <v/>
      </c>
      <c r="Y16" s="1024" t="str">
        <f t="shared" si="9"/>
        <v/>
      </c>
      <c r="AA16" s="1024" t="str">
        <f t="shared" si="10"/>
        <v/>
      </c>
      <c r="AC16" s="1024" t="str">
        <f t="shared" si="11"/>
        <v/>
      </c>
      <c r="AE16" s="1024" t="str">
        <f t="shared" si="12"/>
        <v/>
      </c>
      <c r="AG16" s="1024" t="str">
        <f t="shared" si="13"/>
        <v/>
      </c>
      <c r="AI16" s="1024" t="str">
        <f t="shared" si="14"/>
        <v/>
      </c>
      <c r="AJ16" s="1013">
        <v>267</v>
      </c>
      <c r="AK16" s="1024">
        <f t="shared" si="15"/>
        <v>266.91992402279317</v>
      </c>
      <c r="AM16" s="1024" t="str">
        <f t="shared" si="16"/>
        <v/>
      </c>
      <c r="AO16" s="1024" t="str">
        <f t="shared" si="17"/>
        <v/>
      </c>
      <c r="AP16" s="1022">
        <v>104810.52</v>
      </c>
      <c r="AQ16" s="1024">
        <f t="shared" si="18"/>
        <v>104779.08627411777</v>
      </c>
    </row>
    <row r="17" spans="1:43" x14ac:dyDescent="0.2">
      <c r="A17" s="1013" t="s">
        <v>2282</v>
      </c>
      <c r="B17" s="1013">
        <v>11.386887316152</v>
      </c>
      <c r="D17" s="1022">
        <v>85909</v>
      </c>
      <c r="E17" s="1023">
        <f t="shared" si="0"/>
        <v>7544.555207650149</v>
      </c>
      <c r="F17" s="1013">
        <v>560</v>
      </c>
      <c r="G17" s="1024">
        <f t="shared" si="0"/>
        <v>49.179374876719358</v>
      </c>
      <c r="I17" s="1024" t="str">
        <f t="shared" si="1"/>
        <v/>
      </c>
      <c r="K17" s="1024" t="str">
        <f t="shared" si="2"/>
        <v/>
      </c>
      <c r="M17" s="1024" t="str">
        <f t="shared" si="3"/>
        <v/>
      </c>
      <c r="N17" s="1013">
        <v>-753</v>
      </c>
      <c r="O17" s="1024">
        <f t="shared" si="4"/>
        <v>-66.128695146731559</v>
      </c>
      <c r="P17" s="1013">
        <v>1413</v>
      </c>
      <c r="Q17" s="1024">
        <f t="shared" si="5"/>
        <v>124.09010125143652</v>
      </c>
      <c r="R17" s="1013">
        <v>21818</v>
      </c>
      <c r="S17" s="1024">
        <f t="shared" si="6"/>
        <v>1916.063573321898</v>
      </c>
      <c r="T17" s="1013">
        <v>10408</v>
      </c>
      <c r="U17" s="1024">
        <f t="shared" si="7"/>
        <v>914.03381020874122</v>
      </c>
      <c r="V17" s="1013">
        <v>4611</v>
      </c>
      <c r="W17" s="1024">
        <f t="shared" si="8"/>
        <v>404.93945992241601</v>
      </c>
      <c r="Y17" s="1024" t="str">
        <f t="shared" si="9"/>
        <v/>
      </c>
      <c r="AA17" s="1024" t="str">
        <f t="shared" si="10"/>
        <v/>
      </c>
      <c r="AB17" s="1013">
        <v>537</v>
      </c>
      <c r="AC17" s="1024">
        <f t="shared" si="11"/>
        <v>47.159507694282667</v>
      </c>
      <c r="AE17" s="1024" t="str">
        <f t="shared" si="12"/>
        <v/>
      </c>
      <c r="AG17" s="1024" t="str">
        <f t="shared" si="13"/>
        <v/>
      </c>
      <c r="AI17" s="1024" t="str">
        <f t="shared" si="14"/>
        <v/>
      </c>
      <c r="AJ17" s="1013">
        <v>26208</v>
      </c>
      <c r="AK17" s="1024">
        <f t="shared" si="15"/>
        <v>2301.5947442304659</v>
      </c>
      <c r="AM17" s="1024" t="str">
        <f t="shared" si="16"/>
        <v/>
      </c>
      <c r="AO17" s="1024" t="str">
        <f t="shared" si="17"/>
        <v/>
      </c>
      <c r="AP17" s="1022">
        <v>64802</v>
      </c>
      <c r="AQ17" s="1024">
        <f t="shared" si="18"/>
        <v>5690.9318763592282</v>
      </c>
    </row>
    <row r="18" spans="1:43" x14ac:dyDescent="0.2">
      <c r="B18" s="1013">
        <v>0.84831829727599195</v>
      </c>
      <c r="D18" s="1022">
        <v>24769</v>
      </c>
      <c r="E18" s="1023">
        <f t="shared" si="0"/>
        <v>29197.767016855527</v>
      </c>
      <c r="G18" s="1024" t="str">
        <f t="shared" si="0"/>
        <v/>
      </c>
      <c r="I18" s="1024" t="str">
        <f t="shared" si="1"/>
        <v/>
      </c>
      <c r="K18" s="1024" t="str">
        <f t="shared" si="2"/>
        <v/>
      </c>
      <c r="M18" s="1024" t="str">
        <f t="shared" si="3"/>
        <v/>
      </c>
      <c r="O18" s="1024" t="str">
        <f t="shared" si="4"/>
        <v/>
      </c>
      <c r="P18" s="1013">
        <v>1728</v>
      </c>
      <c r="Q18" s="1024">
        <f t="shared" si="5"/>
        <v>2036.971270746754</v>
      </c>
      <c r="R18" s="1013">
        <v>4324</v>
      </c>
      <c r="S18" s="1024">
        <f t="shared" si="6"/>
        <v>5097.1433881417615</v>
      </c>
      <c r="U18" s="1024" t="str">
        <f t="shared" si="7"/>
        <v/>
      </c>
      <c r="W18" s="1024" t="str">
        <f t="shared" si="8"/>
        <v/>
      </c>
      <c r="Y18" s="1024" t="str">
        <f t="shared" si="9"/>
        <v/>
      </c>
      <c r="AA18" s="1024" t="str">
        <f t="shared" si="10"/>
        <v/>
      </c>
      <c r="AB18" s="1013">
        <v>3973</v>
      </c>
      <c r="AC18" s="1024">
        <f t="shared" si="11"/>
        <v>4683.3835987713273</v>
      </c>
      <c r="AE18" s="1024" t="str">
        <f t="shared" si="12"/>
        <v/>
      </c>
      <c r="AG18" s="1024" t="str">
        <f t="shared" si="13"/>
        <v/>
      </c>
      <c r="AI18" s="1024" t="str">
        <f t="shared" si="14"/>
        <v/>
      </c>
      <c r="AK18" s="1024" t="str">
        <f t="shared" si="15"/>
        <v/>
      </c>
      <c r="AM18" s="1024" t="str">
        <f t="shared" si="16"/>
        <v/>
      </c>
      <c r="AO18" s="1024" t="str">
        <f t="shared" si="17"/>
        <v/>
      </c>
      <c r="AP18" s="1022">
        <v>10025</v>
      </c>
      <c r="AQ18" s="1024">
        <f t="shared" si="18"/>
        <v>11817.498257659843</v>
      </c>
    </row>
    <row r="19" spans="1:43" x14ac:dyDescent="0.2">
      <c r="A19" s="1013" t="s">
        <v>2283</v>
      </c>
      <c r="B19" s="1013">
        <v>0.13</v>
      </c>
      <c r="D19" s="1022">
        <v>6465</v>
      </c>
      <c r="E19" s="1023">
        <f t="shared" si="0"/>
        <v>49730.769230769227</v>
      </c>
      <c r="F19" s="1013">
        <v>6665</v>
      </c>
      <c r="G19" s="1024">
        <f t="shared" si="0"/>
        <v>51269.230769230766</v>
      </c>
      <c r="I19" s="1024" t="str">
        <f t="shared" si="1"/>
        <v/>
      </c>
      <c r="K19" s="1024" t="str">
        <f t="shared" si="2"/>
        <v/>
      </c>
      <c r="M19" s="1024" t="str">
        <f t="shared" si="3"/>
        <v/>
      </c>
      <c r="O19" s="1024" t="str">
        <f t="shared" si="4"/>
        <v/>
      </c>
      <c r="Q19" s="1024" t="str">
        <f t="shared" si="5"/>
        <v/>
      </c>
      <c r="R19" s="1013">
        <v>20</v>
      </c>
      <c r="S19" s="1024">
        <f t="shared" si="6"/>
        <v>153.84615384615384</v>
      </c>
      <c r="U19" s="1024" t="str">
        <f t="shared" si="7"/>
        <v/>
      </c>
      <c r="W19" s="1024" t="str">
        <f t="shared" si="8"/>
        <v/>
      </c>
      <c r="Y19" s="1024" t="str">
        <f t="shared" si="9"/>
        <v/>
      </c>
      <c r="AA19" s="1024" t="str">
        <f t="shared" si="10"/>
        <v/>
      </c>
      <c r="AC19" s="1024" t="str">
        <f t="shared" si="11"/>
        <v/>
      </c>
      <c r="AD19" s="1013">
        <v>626</v>
      </c>
      <c r="AE19" s="1024">
        <f t="shared" si="12"/>
        <v>4815.3846153846152</v>
      </c>
      <c r="AG19" s="1024" t="str">
        <f t="shared" si="13"/>
        <v/>
      </c>
      <c r="AI19" s="1024" t="str">
        <f t="shared" si="14"/>
        <v/>
      </c>
      <c r="AJ19" s="1013">
        <v>14046</v>
      </c>
      <c r="AK19" s="1024">
        <f t="shared" si="15"/>
        <v>108046.15384615384</v>
      </c>
      <c r="AM19" s="1024" t="str">
        <f t="shared" si="16"/>
        <v/>
      </c>
      <c r="AN19" s="1013">
        <v>74</v>
      </c>
      <c r="AO19" s="1024">
        <f t="shared" si="17"/>
        <v>569.23076923076917</v>
      </c>
      <c r="AP19" s="1022">
        <v>21431</v>
      </c>
      <c r="AQ19" s="1024">
        <f t="shared" si="18"/>
        <v>164853.84615384616</v>
      </c>
    </row>
    <row r="20" spans="1:43" x14ac:dyDescent="0.2">
      <c r="D20" s="1022"/>
      <c r="E20" s="1024" t="str">
        <f t="shared" si="0"/>
        <v/>
      </c>
      <c r="G20" s="1024" t="str">
        <f t="shared" si="0"/>
        <v/>
      </c>
      <c r="I20" s="1024" t="str">
        <f t="shared" si="1"/>
        <v/>
      </c>
      <c r="K20" s="1024" t="str">
        <f t="shared" si="2"/>
        <v/>
      </c>
      <c r="M20" s="1024" t="str">
        <f t="shared" si="3"/>
        <v/>
      </c>
      <c r="O20" s="1024" t="str">
        <f t="shared" si="4"/>
        <v/>
      </c>
      <c r="Q20" s="1024" t="str">
        <f t="shared" si="5"/>
        <v/>
      </c>
      <c r="S20" s="1024" t="str">
        <f t="shared" si="6"/>
        <v/>
      </c>
      <c r="U20" s="1024" t="str">
        <f t="shared" si="7"/>
        <v/>
      </c>
      <c r="W20" s="1024" t="str">
        <f t="shared" si="8"/>
        <v/>
      </c>
      <c r="Y20" s="1024" t="str">
        <f t="shared" si="9"/>
        <v/>
      </c>
      <c r="AA20" s="1024" t="str">
        <f t="shared" si="10"/>
        <v/>
      </c>
      <c r="AC20" s="1024" t="str">
        <f t="shared" si="11"/>
        <v/>
      </c>
      <c r="AE20" s="1024" t="str">
        <f t="shared" si="12"/>
        <v/>
      </c>
      <c r="AG20" s="1024" t="str">
        <f t="shared" si="13"/>
        <v/>
      </c>
      <c r="AI20" s="1024" t="str">
        <f t="shared" si="14"/>
        <v/>
      </c>
      <c r="AK20" s="1024" t="str">
        <f t="shared" si="15"/>
        <v/>
      </c>
      <c r="AM20" s="1024" t="str">
        <f t="shared" si="16"/>
        <v/>
      </c>
      <c r="AO20" s="1024" t="str">
        <f t="shared" si="17"/>
        <v/>
      </c>
      <c r="AP20" s="1022"/>
      <c r="AQ20" s="1024" t="str">
        <f t="shared" si="18"/>
        <v/>
      </c>
    </row>
    <row r="21" spans="1:43" x14ac:dyDescent="0.2">
      <c r="A21" s="1013" t="s">
        <v>2284</v>
      </c>
      <c r="B21" s="1013">
        <f>SUM(B12:B19)</f>
        <v>32.578979127655799</v>
      </c>
      <c r="D21" s="1022"/>
      <c r="E21" s="1024" t="str">
        <f t="shared" si="0"/>
        <v/>
      </c>
      <c r="G21" s="1024" t="str">
        <f t="shared" si="0"/>
        <v/>
      </c>
      <c r="I21" s="1024" t="str">
        <f t="shared" si="1"/>
        <v/>
      </c>
      <c r="K21" s="1024" t="str">
        <f t="shared" si="2"/>
        <v/>
      </c>
      <c r="M21" s="1024" t="str">
        <f t="shared" si="3"/>
        <v/>
      </c>
      <c r="O21" s="1024" t="str">
        <f t="shared" si="4"/>
        <v/>
      </c>
      <c r="Q21" s="1024" t="str">
        <f t="shared" si="5"/>
        <v/>
      </c>
      <c r="S21" s="1024" t="str">
        <f t="shared" si="6"/>
        <v/>
      </c>
      <c r="U21" s="1024" t="str">
        <f t="shared" si="7"/>
        <v/>
      </c>
      <c r="W21" s="1024" t="str">
        <f t="shared" si="8"/>
        <v/>
      </c>
      <c r="Y21" s="1024" t="str">
        <f t="shared" si="9"/>
        <v/>
      </c>
      <c r="AA21" s="1024" t="str">
        <f t="shared" si="10"/>
        <v/>
      </c>
      <c r="AC21" s="1024" t="str">
        <f t="shared" si="11"/>
        <v/>
      </c>
      <c r="AE21" s="1024" t="str">
        <f t="shared" si="12"/>
        <v/>
      </c>
      <c r="AG21" s="1024" t="str">
        <f t="shared" si="13"/>
        <v/>
      </c>
      <c r="AI21" s="1024" t="str">
        <f t="shared" si="14"/>
        <v/>
      </c>
      <c r="AK21" s="1024" t="str">
        <f t="shared" si="15"/>
        <v/>
      </c>
      <c r="AM21" s="1024" t="str">
        <f t="shared" si="16"/>
        <v/>
      </c>
      <c r="AO21" s="1024" t="str">
        <f t="shared" si="17"/>
        <v/>
      </c>
      <c r="AP21" s="1022"/>
      <c r="AQ21" s="1024" t="str">
        <f t="shared" si="18"/>
        <v/>
      </c>
    </row>
    <row r="22" spans="1:43" x14ac:dyDescent="0.2">
      <c r="D22" s="1022">
        <f>SUM(D12:D19)</f>
        <v>515128.12</v>
      </c>
      <c r="E22" s="1024" t="str">
        <f t="shared" si="0"/>
        <v/>
      </c>
      <c r="G22" s="1024" t="str">
        <f t="shared" si="0"/>
        <v/>
      </c>
      <c r="I22" s="1024" t="str">
        <f t="shared" si="1"/>
        <v/>
      </c>
      <c r="K22" s="1024" t="str">
        <f t="shared" si="2"/>
        <v/>
      </c>
      <c r="M22" s="1024" t="str">
        <f t="shared" si="3"/>
        <v/>
      </c>
      <c r="N22" s="1025">
        <f>SUM(E12:E19)</f>
        <v>288516.95960533858</v>
      </c>
      <c r="O22" s="1024" t="str">
        <f t="shared" si="4"/>
        <v/>
      </c>
      <c r="Q22" s="1024" t="str">
        <f t="shared" si="5"/>
        <v/>
      </c>
      <c r="S22" s="1024" t="str">
        <f t="shared" si="6"/>
        <v/>
      </c>
      <c r="U22" s="1024" t="str">
        <f t="shared" si="7"/>
        <v/>
      </c>
      <c r="W22" s="1024" t="str">
        <f t="shared" si="8"/>
        <v/>
      </c>
      <c r="Y22" s="1024" t="str">
        <f t="shared" si="9"/>
        <v/>
      </c>
      <c r="Z22" s="1022">
        <f>SUM(N12:N16)-753</f>
        <v>1483.5299999999997</v>
      </c>
      <c r="AA22" s="1024" t="str">
        <f t="shared" si="10"/>
        <v/>
      </c>
      <c r="AC22" s="1024" t="str">
        <f t="shared" si="11"/>
        <v/>
      </c>
      <c r="AE22" s="1024" t="str">
        <f t="shared" si="12"/>
        <v/>
      </c>
      <c r="AG22" s="1024" t="str">
        <f t="shared" si="13"/>
        <v/>
      </c>
      <c r="AI22" s="1024" t="str">
        <f t="shared" si="14"/>
        <v/>
      </c>
      <c r="AK22" s="1024" t="str">
        <f t="shared" si="15"/>
        <v/>
      </c>
      <c r="AM22" s="1024" t="str">
        <f t="shared" si="16"/>
        <v/>
      </c>
      <c r="AO22" s="1024" t="str">
        <f t="shared" si="17"/>
        <v/>
      </c>
      <c r="AP22" s="1022">
        <f>SUM(AP12:AP19)</f>
        <v>311210.51</v>
      </c>
      <c r="AQ22" s="1024" t="str">
        <f t="shared" si="18"/>
        <v/>
      </c>
    </row>
    <row r="23" spans="1:43" x14ac:dyDescent="0.2">
      <c r="D23" s="1022">
        <f>D22/B21</f>
        <v>15811.671629781535</v>
      </c>
      <c r="E23" s="1024" t="str">
        <f t="shared" si="0"/>
        <v/>
      </c>
      <c r="G23" s="1024" t="str">
        <f t="shared" si="0"/>
        <v/>
      </c>
      <c r="I23" s="1024" t="str">
        <f t="shared" si="1"/>
        <v/>
      </c>
      <c r="K23" s="1024" t="str">
        <f t="shared" si="2"/>
        <v/>
      </c>
      <c r="M23" s="1024" t="str">
        <f t="shared" si="3"/>
        <v/>
      </c>
      <c r="N23" s="1025">
        <f>N22/B21</f>
        <v>8855.9238911332523</v>
      </c>
      <c r="O23" s="1024" t="str">
        <f t="shared" si="4"/>
        <v/>
      </c>
      <c r="Q23" s="1024" t="str">
        <f t="shared" si="5"/>
        <v/>
      </c>
      <c r="S23" s="1024" t="str">
        <f t="shared" si="6"/>
        <v/>
      </c>
      <c r="U23" s="1024" t="str">
        <f t="shared" si="7"/>
        <v/>
      </c>
      <c r="W23" s="1024" t="str">
        <f t="shared" si="8"/>
        <v/>
      </c>
      <c r="Y23" s="1024" t="str">
        <f t="shared" si="9"/>
        <v/>
      </c>
      <c r="Z23" s="1022">
        <f>SUM(AB12:AB18)</f>
        <v>27660</v>
      </c>
      <c r="AA23" s="1024" t="str">
        <f t="shared" si="10"/>
        <v/>
      </c>
      <c r="AC23" s="1024" t="str">
        <f t="shared" si="11"/>
        <v/>
      </c>
      <c r="AE23" s="1024" t="str">
        <f t="shared" si="12"/>
        <v/>
      </c>
      <c r="AG23" s="1024" t="str">
        <f t="shared" si="13"/>
        <v/>
      </c>
      <c r="AI23" s="1024" t="str">
        <f t="shared" si="14"/>
        <v/>
      </c>
      <c r="AK23" s="1024" t="str">
        <f t="shared" si="15"/>
        <v/>
      </c>
      <c r="AM23" s="1024" t="str">
        <f t="shared" si="16"/>
        <v/>
      </c>
      <c r="AO23" s="1024" t="str">
        <f t="shared" si="17"/>
        <v/>
      </c>
      <c r="AP23" s="1025">
        <f>AP22/B21</f>
        <v>9552.494225818702</v>
      </c>
      <c r="AQ23" s="1024" t="str">
        <f t="shared" si="18"/>
        <v/>
      </c>
    </row>
    <row r="24" spans="1:43" ht="13.5" thickBot="1" x14ac:dyDescent="0.25">
      <c r="E24" s="1024" t="str">
        <f t="shared" si="0"/>
        <v/>
      </c>
      <c r="G24" s="1024" t="str">
        <f t="shared" si="0"/>
        <v/>
      </c>
      <c r="I24" s="1024" t="str">
        <f t="shared" si="1"/>
        <v/>
      </c>
      <c r="K24" s="1024" t="str">
        <f t="shared" si="2"/>
        <v/>
      </c>
      <c r="M24" s="1024" t="str">
        <f t="shared" si="3"/>
        <v/>
      </c>
      <c r="O24" s="1024" t="str">
        <f t="shared" si="4"/>
        <v/>
      </c>
      <c r="Q24" s="1024" t="str">
        <f t="shared" si="5"/>
        <v/>
      </c>
      <c r="S24" s="1024" t="str">
        <f t="shared" si="6"/>
        <v/>
      </c>
      <c r="U24" s="1024" t="str">
        <f t="shared" si="7"/>
        <v/>
      </c>
      <c r="W24" s="1024" t="str">
        <f t="shared" si="8"/>
        <v/>
      </c>
      <c r="Y24" s="1024" t="str">
        <f t="shared" si="9"/>
        <v/>
      </c>
      <c r="Z24" s="1022">
        <f>SUM(AJ12:AJ19)</f>
        <v>82573.83</v>
      </c>
      <c r="AA24" s="1024" t="str">
        <f t="shared" si="10"/>
        <v/>
      </c>
      <c r="AC24" s="1024" t="str">
        <f t="shared" si="11"/>
        <v/>
      </c>
      <c r="AE24" s="1024" t="str">
        <f t="shared" si="12"/>
        <v/>
      </c>
      <c r="AG24" s="1024" t="str">
        <f t="shared" si="13"/>
        <v/>
      </c>
      <c r="AI24" s="1024" t="str">
        <f t="shared" si="14"/>
        <v/>
      </c>
      <c r="AK24" s="1024" t="str">
        <f t="shared" si="15"/>
        <v/>
      </c>
      <c r="AM24" s="1024" t="str">
        <f t="shared" si="16"/>
        <v/>
      </c>
      <c r="AO24" s="1024" t="str">
        <f t="shared" si="17"/>
        <v/>
      </c>
      <c r="AQ24" s="1024" t="str">
        <f t="shared" si="18"/>
        <v/>
      </c>
    </row>
    <row r="25" spans="1:43" x14ac:dyDescent="0.2">
      <c r="A25" s="1026" t="s">
        <v>2285</v>
      </c>
      <c r="B25" s="1027">
        <f>SUM(E12:E19)</f>
        <v>288516.95960533858</v>
      </c>
      <c r="E25" s="1024" t="str">
        <f t="shared" si="0"/>
        <v/>
      </c>
      <c r="G25" s="1024" t="str">
        <f t="shared" si="0"/>
        <v/>
      </c>
      <c r="I25" s="1024" t="str">
        <f t="shared" si="1"/>
        <v/>
      </c>
      <c r="K25" s="1024" t="str">
        <f t="shared" si="2"/>
        <v/>
      </c>
      <c r="M25" s="1024" t="str">
        <f t="shared" si="3"/>
        <v/>
      </c>
      <c r="O25" s="1024" t="str">
        <f t="shared" si="4"/>
        <v/>
      </c>
      <c r="Q25" s="1024" t="str">
        <f t="shared" si="5"/>
        <v/>
      </c>
      <c r="S25" s="1024" t="str">
        <f t="shared" si="6"/>
        <v/>
      </c>
      <c r="U25" s="1024" t="str">
        <f t="shared" si="7"/>
        <v/>
      </c>
      <c r="W25" s="1024" t="str">
        <f t="shared" si="8"/>
        <v/>
      </c>
      <c r="Y25" s="1024" t="str">
        <f t="shared" si="9"/>
        <v/>
      </c>
      <c r="Z25" s="1022">
        <f>SUM(Z22:Z24)</f>
        <v>111717.36</v>
      </c>
      <c r="AA25" s="1024"/>
      <c r="AC25" s="1024" t="str">
        <f t="shared" si="11"/>
        <v/>
      </c>
      <c r="AE25" s="1024" t="str">
        <f t="shared" si="12"/>
        <v/>
      </c>
      <c r="AG25" s="1024" t="str">
        <f t="shared" si="13"/>
        <v/>
      </c>
      <c r="AI25" s="1024" t="str">
        <f t="shared" si="14"/>
        <v/>
      </c>
      <c r="AK25" s="1024" t="str">
        <f t="shared" si="15"/>
        <v/>
      </c>
      <c r="AM25" s="1024" t="str">
        <f t="shared" si="16"/>
        <v/>
      </c>
      <c r="AO25" s="1024" t="str">
        <f t="shared" si="17"/>
        <v/>
      </c>
      <c r="AQ25" s="1024" t="str">
        <f t="shared" si="18"/>
        <v/>
      </c>
    </row>
    <row r="26" spans="1:43" x14ac:dyDescent="0.2">
      <c r="A26" s="1028" t="s">
        <v>2286</v>
      </c>
      <c r="B26" s="1029">
        <f>C37</f>
        <v>6594</v>
      </c>
      <c r="E26" s="1024" t="str">
        <f t="shared" si="0"/>
        <v/>
      </c>
      <c r="G26" s="1024" t="str">
        <f t="shared" si="0"/>
        <v/>
      </c>
      <c r="I26" s="1024" t="str">
        <f t="shared" si="1"/>
        <v/>
      </c>
      <c r="K26" s="1024" t="str">
        <f t="shared" si="2"/>
        <v/>
      </c>
      <c r="M26" s="1024" t="str">
        <f t="shared" si="3"/>
        <v/>
      </c>
      <c r="O26" s="1024" t="str">
        <f t="shared" si="4"/>
        <v/>
      </c>
      <c r="Q26" s="1024" t="str">
        <f t="shared" si="5"/>
        <v/>
      </c>
      <c r="S26" s="1024" t="str">
        <f t="shared" si="6"/>
        <v/>
      </c>
      <c r="U26" s="1024" t="str">
        <f t="shared" si="7"/>
        <v/>
      </c>
      <c r="W26" s="1024" t="str">
        <f t="shared" si="8"/>
        <v/>
      </c>
      <c r="Y26" s="1024" t="str">
        <f t="shared" si="9"/>
        <v/>
      </c>
      <c r="Z26" s="1022">
        <f>Z25/B21</f>
        <v>3429.1240238760224</v>
      </c>
      <c r="AA26" s="1024"/>
      <c r="AC26" s="1024" t="str">
        <f t="shared" si="11"/>
        <v/>
      </c>
      <c r="AE26" s="1024" t="str">
        <f t="shared" si="12"/>
        <v/>
      </c>
      <c r="AG26" s="1024" t="str">
        <f t="shared" si="13"/>
        <v/>
      </c>
      <c r="AI26" s="1024" t="str">
        <f t="shared" si="14"/>
        <v/>
      </c>
      <c r="AK26" s="1024" t="str">
        <f t="shared" si="15"/>
        <v/>
      </c>
      <c r="AM26" s="1024" t="str">
        <f t="shared" si="16"/>
        <v/>
      </c>
      <c r="AO26" s="1024" t="str">
        <f t="shared" si="17"/>
        <v/>
      </c>
      <c r="AQ26" s="1024" t="str">
        <f t="shared" si="18"/>
        <v/>
      </c>
    </row>
    <row r="27" spans="1:43" ht="13.5" thickBot="1" x14ac:dyDescent="0.25">
      <c r="A27" s="1030" t="s">
        <v>2287</v>
      </c>
      <c r="B27" s="1031">
        <f>B25/B26</f>
        <v>43.754467638055594</v>
      </c>
      <c r="E27" s="1024" t="str">
        <f t="shared" si="0"/>
        <v/>
      </c>
      <c r="G27" s="1024" t="str">
        <f t="shared" si="0"/>
        <v/>
      </c>
      <c r="I27" s="1024" t="str">
        <f t="shared" si="1"/>
        <v/>
      </c>
      <c r="K27" s="1024" t="str">
        <f t="shared" si="2"/>
        <v/>
      </c>
      <c r="M27" s="1024" t="str">
        <f t="shared" si="3"/>
        <v/>
      </c>
      <c r="O27" s="1024" t="str">
        <f t="shared" si="4"/>
        <v/>
      </c>
      <c r="Q27" s="1024" t="str">
        <f t="shared" si="5"/>
        <v/>
      </c>
      <c r="S27" s="1024" t="str">
        <f t="shared" si="6"/>
        <v/>
      </c>
      <c r="U27" s="1024" t="str">
        <f t="shared" si="7"/>
        <v/>
      </c>
      <c r="W27" s="1024" t="str">
        <f t="shared" si="8"/>
        <v/>
      </c>
      <c r="Y27" s="1024" t="str">
        <f t="shared" si="9"/>
        <v/>
      </c>
      <c r="Z27" s="1022"/>
      <c r="AA27" s="1024" t="str">
        <f t="shared" si="10"/>
        <v/>
      </c>
      <c r="AC27" s="1024" t="str">
        <f t="shared" si="11"/>
        <v/>
      </c>
      <c r="AE27" s="1024" t="str">
        <f t="shared" si="12"/>
        <v/>
      </c>
      <c r="AG27" s="1024" t="str">
        <f t="shared" si="13"/>
        <v/>
      </c>
      <c r="AI27" s="1024" t="str">
        <f t="shared" si="14"/>
        <v/>
      </c>
      <c r="AK27" s="1024" t="str">
        <f t="shared" si="15"/>
        <v/>
      </c>
      <c r="AM27" s="1024" t="str">
        <f t="shared" si="16"/>
        <v/>
      </c>
      <c r="AO27" s="1024" t="str">
        <f t="shared" si="17"/>
        <v/>
      </c>
      <c r="AP27" s="1025">
        <f>AP23*30.68</f>
        <v>293070.52284811775</v>
      </c>
      <c r="AQ27" s="1024"/>
    </row>
    <row r="28" spans="1:43" x14ac:dyDescent="0.2">
      <c r="B28" s="1032"/>
      <c r="E28" s="1024"/>
      <c r="G28" s="1024"/>
      <c r="I28" s="1024"/>
      <c r="K28" s="1024"/>
      <c r="M28" s="1024"/>
      <c r="O28" s="1024"/>
      <c r="Q28" s="1024"/>
      <c r="S28" s="1024"/>
      <c r="U28" s="1024"/>
      <c r="W28" s="1024"/>
      <c r="Y28" s="1024"/>
      <c r="Z28" s="1022"/>
      <c r="AA28" s="1024"/>
      <c r="AC28" s="1024"/>
      <c r="AE28" s="1024"/>
      <c r="AG28" s="1024"/>
      <c r="AI28" s="1024"/>
      <c r="AK28" s="1024"/>
      <c r="AM28" s="1024"/>
      <c r="AO28" s="1024"/>
      <c r="AP28" s="1025">
        <f>AP27/6616</f>
        <v>44.297237431698569</v>
      </c>
      <c r="AQ28" s="1024"/>
    </row>
    <row r="29" spans="1:43" ht="13.5" thickBot="1" x14ac:dyDescent="0.25">
      <c r="C29" s="1013" t="s">
        <v>2288</v>
      </c>
      <c r="E29" s="1033" t="str">
        <f t="shared" ref="E29:G32" si="19">IF(OR($B29=0,D29=0),"",D29/$B29)</f>
        <v/>
      </c>
      <c r="G29" s="1033" t="str">
        <f t="shared" si="19"/>
        <v/>
      </c>
      <c r="I29" s="1033" t="str">
        <f t="shared" ref="I29:I32" si="20">IF(OR($B29=0,H29=0),"",H29/$B29)</f>
        <v/>
      </c>
      <c r="K29" s="1033" t="str">
        <f t="shared" ref="K29:K32" si="21">IF(OR($B29=0,J29=0),"",J29/$B29)</f>
        <v/>
      </c>
      <c r="M29" s="1033" t="str">
        <f t="shared" ref="M29:M32" si="22">IF(OR($B29=0,L29=0),"",L29/$B29)</f>
        <v/>
      </c>
      <c r="O29" s="1024" t="str">
        <f t="shared" si="4"/>
        <v/>
      </c>
      <c r="Q29" s="1024" t="str">
        <f t="shared" si="5"/>
        <v/>
      </c>
      <c r="S29" s="1024" t="str">
        <f t="shared" si="6"/>
        <v/>
      </c>
      <c r="U29" s="1024" t="str">
        <f t="shared" si="7"/>
        <v/>
      </c>
      <c r="W29" s="1024" t="str">
        <f t="shared" si="8"/>
        <v/>
      </c>
      <c r="Y29" s="1024" t="str">
        <f t="shared" si="9"/>
        <v/>
      </c>
      <c r="Z29" s="1022"/>
      <c r="AA29" s="1024" t="str">
        <f t="shared" si="10"/>
        <v/>
      </c>
      <c r="AC29" s="1024" t="str">
        <f t="shared" si="11"/>
        <v/>
      </c>
      <c r="AE29" s="1024" t="str">
        <f t="shared" si="12"/>
        <v/>
      </c>
      <c r="AG29" s="1024" t="str">
        <f t="shared" si="13"/>
        <v/>
      </c>
      <c r="AI29" s="1024" t="str">
        <f t="shared" si="14"/>
        <v/>
      </c>
      <c r="AK29" s="1024" t="str">
        <f t="shared" si="15"/>
        <v/>
      </c>
      <c r="AM29" s="1024" t="str">
        <f t="shared" si="16"/>
        <v/>
      </c>
      <c r="AO29" s="1024" t="str">
        <f t="shared" si="17"/>
        <v/>
      </c>
      <c r="AQ29" s="1024" t="str">
        <f t="shared" si="18"/>
        <v/>
      </c>
    </row>
    <row r="30" spans="1:43" x14ac:dyDescent="0.2">
      <c r="A30" s="1026" t="s">
        <v>2279</v>
      </c>
      <c r="B30" s="1034" t="s">
        <v>2289</v>
      </c>
      <c r="C30" s="1035">
        <v>1254</v>
      </c>
      <c r="E30" s="1026" t="s">
        <v>2290</v>
      </c>
      <c r="F30" s="1034"/>
      <c r="G30" s="1036" t="str">
        <f t="shared" si="19"/>
        <v/>
      </c>
      <c r="H30" s="1034"/>
      <c r="I30" s="1036" t="str">
        <f t="shared" si="20"/>
        <v/>
      </c>
      <c r="J30" s="1034"/>
      <c r="K30" s="1036" t="str">
        <f t="shared" si="21"/>
        <v/>
      </c>
      <c r="L30" s="1034"/>
      <c r="M30" s="1036" t="str">
        <f t="shared" si="22"/>
        <v/>
      </c>
      <c r="N30" s="1027">
        <f>D23*30.68</f>
        <v>485102.0856016975</v>
      </c>
      <c r="O30" s="1024"/>
      <c r="Q30" s="1024" t="e">
        <f>IF(OR(#REF!=0,P30=0),"",P30/#REF!)</f>
        <v>#REF!</v>
      </c>
      <c r="S30" s="1024" t="e">
        <f>IF(OR(#REF!=0,R30=0),"",R30/#REF!)</f>
        <v>#REF!</v>
      </c>
      <c r="U30" s="1024" t="e">
        <f>IF(OR(#REF!=0,T30=0),"",T30/#REF!)</f>
        <v>#REF!</v>
      </c>
      <c r="W30" s="1024" t="e">
        <f>IF(OR(#REF!=0,V30=0),"",V30/#REF!)</f>
        <v>#REF!</v>
      </c>
      <c r="Y30" s="1024" t="e">
        <f>IF(OR(#REF!=0,X30=0),"",X30/#REF!)</f>
        <v>#REF!</v>
      </c>
      <c r="Z30" s="1022">
        <f>Z26*30.68</f>
        <v>105205.52505251637</v>
      </c>
      <c r="AA30" s="1024"/>
      <c r="AC30" s="1024" t="e">
        <f>IF(OR(#REF!=0,AB30=0),"",AB30/#REF!)</f>
        <v>#REF!</v>
      </c>
      <c r="AE30" s="1024" t="e">
        <f>IF(OR(#REF!=0,AD30=0),"",AD30/#REF!)</f>
        <v>#REF!</v>
      </c>
      <c r="AG30" s="1024" t="e">
        <f>IF(OR(#REF!=0,AF30=0),"",AF30/#REF!)</f>
        <v>#REF!</v>
      </c>
      <c r="AI30" s="1024" t="e">
        <f>IF(OR(#REF!=0,AH30=0),"",AH30/#REF!)</f>
        <v>#REF!</v>
      </c>
      <c r="AK30" s="1024"/>
      <c r="AM30" s="1024" t="e">
        <f>IF(OR(#REF!=0,AL30=0),"",AL30/#REF!)</f>
        <v>#REF!</v>
      </c>
      <c r="AO30" s="1024" t="e">
        <f>IF(OR(#REF!=0,AN30=0),"",AN30/#REF!)</f>
        <v>#REF!</v>
      </c>
      <c r="AQ30" s="1024"/>
    </row>
    <row r="31" spans="1:43" x14ac:dyDescent="0.2">
      <c r="A31" s="1028"/>
      <c r="C31" s="1037">
        <v>143</v>
      </c>
      <c r="E31" s="1028"/>
      <c r="G31" s="1033" t="str">
        <f t="shared" si="19"/>
        <v/>
      </c>
      <c r="I31" s="1033" t="str">
        <f t="shared" si="20"/>
        <v/>
      </c>
      <c r="K31" s="1033" t="str">
        <f t="shared" si="21"/>
        <v/>
      </c>
      <c r="M31" s="1033" t="str">
        <f t="shared" si="22"/>
        <v/>
      </c>
      <c r="N31" s="1029">
        <f>N30/6616</f>
        <v>73.322564329156208</v>
      </c>
      <c r="O31" s="1024"/>
      <c r="Q31" s="1024" t="str">
        <f t="shared" ref="Q31:Q94" si="23">IF(OR($B30=0,P31=0),"",P31/$B30)</f>
        <v/>
      </c>
      <c r="S31" s="1024" t="str">
        <f t="shared" ref="S31:S94" si="24">IF(OR($B30=0,R31=0),"",R31/$B30)</f>
        <v/>
      </c>
      <c r="U31" s="1024" t="str">
        <f t="shared" ref="U31:U94" si="25">IF(OR($B30=0,T31=0),"",T31/$B30)</f>
        <v/>
      </c>
      <c r="W31" s="1024" t="str">
        <f t="shared" ref="W31:W94" si="26">IF(OR($B30=0,V31=0),"",V31/$B30)</f>
        <v/>
      </c>
      <c r="Y31" s="1024" t="str">
        <f t="shared" ref="Y31:Y94" si="27">IF(OR($B30=0,X31=0),"",X31/$B30)</f>
        <v/>
      </c>
      <c r="Z31" s="1038">
        <f>Z30/6616</f>
        <v>15.901681537562935</v>
      </c>
      <c r="AA31" s="1024"/>
      <c r="AC31" s="1024" t="str">
        <f t="shared" ref="AC31:AC94" si="28">IF(OR($B30=0,AB31=0),"",AB31/$B30)</f>
        <v/>
      </c>
      <c r="AE31" s="1024" t="str">
        <f t="shared" ref="AE31:AE94" si="29">IF(OR($B30=0,AD31=0),"",AD31/$B30)</f>
        <v/>
      </c>
      <c r="AG31" s="1024" t="str">
        <f t="shared" ref="AG31:AG94" si="30">IF(OR($B30=0,AF31=0),"",AF31/$B30)</f>
        <v/>
      </c>
      <c r="AI31" s="1024" t="str">
        <f t="shared" ref="AI31:AI94" si="31">IF(OR($B30=0,AH31=0),"",AH31/$B30)</f>
        <v/>
      </c>
      <c r="AK31" s="1024" t="str">
        <f t="shared" ref="AK31:AK94" si="32">IF(OR($B30=0,AJ31=0),"",AJ31/$B30)</f>
        <v/>
      </c>
      <c r="AM31" s="1024" t="str">
        <f t="shared" ref="AM31:AM94" si="33">IF(OR($B30=0,AL31=0),"",AL31/$B30)</f>
        <v/>
      </c>
      <c r="AO31" s="1024" t="str">
        <f t="shared" ref="AO31:AO94" si="34">IF(OR($B30=0,AN31=0),"",AN31/$B30)</f>
        <v/>
      </c>
      <c r="AQ31" s="1024" t="str">
        <f t="shared" ref="AQ31:AQ94" si="35">IF(OR($B30=0,AP31=0),"",AP31/$B30)</f>
        <v/>
      </c>
    </row>
    <row r="32" spans="1:43" x14ac:dyDescent="0.2">
      <c r="A32" s="1028" t="s">
        <v>2280</v>
      </c>
      <c r="C32" s="1037">
        <v>438</v>
      </c>
      <c r="E32" s="1028" t="s">
        <v>2291</v>
      </c>
      <c r="G32" s="1033" t="str">
        <f t="shared" si="19"/>
        <v/>
      </c>
      <c r="I32" s="1033" t="str">
        <f t="shared" si="20"/>
        <v/>
      </c>
      <c r="K32" s="1033" t="str">
        <f t="shared" si="21"/>
        <v/>
      </c>
      <c r="M32" s="1033" t="str">
        <f t="shared" si="22"/>
        <v/>
      </c>
      <c r="N32" s="1039">
        <f>N31*0.6</f>
        <v>43.993538597493725</v>
      </c>
      <c r="O32" s="1024" t="str">
        <f>IF(OR($B31=0,N32=0),"",N32/$B31)</f>
        <v/>
      </c>
      <c r="Q32" s="1024" t="str">
        <f t="shared" si="23"/>
        <v/>
      </c>
      <c r="S32" s="1024" t="str">
        <f t="shared" si="24"/>
        <v/>
      </c>
      <c r="U32" s="1024" t="str">
        <f t="shared" si="25"/>
        <v/>
      </c>
      <c r="W32" s="1024" t="str">
        <f t="shared" si="26"/>
        <v/>
      </c>
      <c r="Y32" s="1024" t="str">
        <f t="shared" si="27"/>
        <v/>
      </c>
      <c r="AA32" s="1024" t="str">
        <f t="shared" ref="AA32:AA95" si="36">IF(OR($B31=0,Z32=0),"",Z32/$B31)</f>
        <v/>
      </c>
      <c r="AC32" s="1024" t="str">
        <f t="shared" si="28"/>
        <v/>
      </c>
      <c r="AE32" s="1024" t="str">
        <f t="shared" si="29"/>
        <v/>
      </c>
      <c r="AG32" s="1024" t="str">
        <f t="shared" si="30"/>
        <v/>
      </c>
      <c r="AI32" s="1024" t="str">
        <f t="shared" si="31"/>
        <v/>
      </c>
      <c r="AK32" s="1024" t="str">
        <f t="shared" si="32"/>
        <v/>
      </c>
      <c r="AM32" s="1024" t="str">
        <f t="shared" si="33"/>
        <v/>
      </c>
      <c r="AO32" s="1024" t="str">
        <f t="shared" si="34"/>
        <v/>
      </c>
      <c r="AQ32" s="1024" t="str">
        <f t="shared" si="35"/>
        <v/>
      </c>
    </row>
    <row r="33" spans="1:43" x14ac:dyDescent="0.2">
      <c r="A33" s="1028" t="s">
        <v>2282</v>
      </c>
      <c r="B33" s="1013" t="s">
        <v>2289</v>
      </c>
      <c r="C33" s="1037">
        <v>1240</v>
      </c>
      <c r="E33" s="1028" t="s">
        <v>2292</v>
      </c>
      <c r="G33" s="1033" t="e">
        <f>IF(OR(#REF!=0,F33=0),"",F33/#REF!)</f>
        <v>#REF!</v>
      </c>
      <c r="I33" s="1033" t="e">
        <f>IF(OR(#REF!=0,H33=0),"",H33/#REF!)</f>
        <v>#REF!</v>
      </c>
      <c r="K33" s="1033" t="e">
        <f>IF(OR(#REF!=0,J33=0),"",J33/#REF!)</f>
        <v>#REF!</v>
      </c>
      <c r="M33" s="1033" t="e">
        <f>IF(OR(#REF!=0,L33=0),"",L33/#REF!)</f>
        <v>#REF!</v>
      </c>
      <c r="N33" s="1029">
        <f>N32*0.3</f>
        <v>13.198061579248117</v>
      </c>
      <c r="O33" s="1024" t="str">
        <f>IF(OR($B32=0,N33=0),"",N33/$B32)</f>
        <v/>
      </c>
      <c r="Q33" s="1024" t="str">
        <f t="shared" si="23"/>
        <v/>
      </c>
      <c r="S33" s="1024" t="str">
        <f t="shared" si="24"/>
        <v/>
      </c>
      <c r="U33" s="1024" t="str">
        <f t="shared" si="25"/>
        <v/>
      </c>
      <c r="W33" s="1024" t="str">
        <f t="shared" si="26"/>
        <v/>
      </c>
      <c r="Y33" s="1024" t="str">
        <f t="shared" si="27"/>
        <v/>
      </c>
      <c r="AA33" s="1024" t="str">
        <f t="shared" si="36"/>
        <v/>
      </c>
      <c r="AC33" s="1024" t="str">
        <f t="shared" si="28"/>
        <v/>
      </c>
      <c r="AE33" s="1024" t="str">
        <f t="shared" si="29"/>
        <v/>
      </c>
      <c r="AG33" s="1024" t="str">
        <f t="shared" si="30"/>
        <v/>
      </c>
      <c r="AI33" s="1024" t="str">
        <f t="shared" si="31"/>
        <v/>
      </c>
      <c r="AK33" s="1024" t="str">
        <f t="shared" si="32"/>
        <v/>
      </c>
      <c r="AM33" s="1024" t="str">
        <f t="shared" si="33"/>
        <v/>
      </c>
      <c r="AO33" s="1024" t="str">
        <f t="shared" si="34"/>
        <v/>
      </c>
      <c r="AQ33" s="1024" t="str">
        <f t="shared" si="35"/>
        <v/>
      </c>
    </row>
    <row r="34" spans="1:43" ht="13.5" thickBot="1" x14ac:dyDescent="0.25">
      <c r="A34" s="1028"/>
      <c r="C34" s="1037">
        <v>346</v>
      </c>
      <c r="E34" s="1030" t="s">
        <v>2293</v>
      </c>
      <c r="F34" s="1040"/>
      <c r="G34" s="1041" t="str">
        <f t="shared" ref="G34:G97" si="37">IF(OR($B33=0,F34=0),"",F34/$B33)</f>
        <v/>
      </c>
      <c r="H34" s="1040"/>
      <c r="I34" s="1041" t="str">
        <f t="shared" ref="I34:I97" si="38">IF(OR($B33=0,H34=0),"",H34/$B33)</f>
        <v/>
      </c>
      <c r="J34" s="1040"/>
      <c r="K34" s="1041" t="str">
        <f t="shared" ref="K34:K97" si="39">IF(OR($B33=0,J34=0),"",J34/$B33)</f>
        <v/>
      </c>
      <c r="L34" s="1040"/>
      <c r="M34" s="1041" t="str">
        <f t="shared" ref="M34:M97" si="40">IF(OR($B33=0,L34=0),"",L34/$B33)</f>
        <v/>
      </c>
      <c r="N34" s="1042">
        <f>N31*10%</f>
        <v>7.3322564329156208</v>
      </c>
      <c r="O34" s="1024"/>
      <c r="Q34" s="1024" t="str">
        <f t="shared" si="23"/>
        <v/>
      </c>
      <c r="S34" s="1024" t="str">
        <f t="shared" si="24"/>
        <v/>
      </c>
      <c r="U34" s="1024" t="str">
        <f t="shared" si="25"/>
        <v/>
      </c>
      <c r="W34" s="1024" t="str">
        <f t="shared" si="26"/>
        <v/>
      </c>
      <c r="Y34" s="1024" t="str">
        <f t="shared" si="27"/>
        <v/>
      </c>
      <c r="AA34" s="1024" t="str">
        <f t="shared" si="36"/>
        <v/>
      </c>
      <c r="AC34" s="1024" t="str">
        <f t="shared" si="28"/>
        <v/>
      </c>
      <c r="AE34" s="1024" t="str">
        <f t="shared" si="29"/>
        <v/>
      </c>
      <c r="AG34" s="1024" t="str">
        <f t="shared" si="30"/>
        <v/>
      </c>
      <c r="AI34" s="1024" t="str">
        <f t="shared" si="31"/>
        <v/>
      </c>
      <c r="AK34" s="1024" t="str">
        <f t="shared" si="32"/>
        <v/>
      </c>
      <c r="AM34" s="1024" t="str">
        <f t="shared" si="33"/>
        <v/>
      </c>
      <c r="AO34" s="1024" t="str">
        <f t="shared" si="34"/>
        <v/>
      </c>
      <c r="AQ34" s="1024" t="str">
        <f t="shared" si="35"/>
        <v/>
      </c>
    </row>
    <row r="35" spans="1:43" x14ac:dyDescent="0.2">
      <c r="A35" s="1028" t="s">
        <v>2294</v>
      </c>
      <c r="B35" s="1013" t="s">
        <v>2289</v>
      </c>
      <c r="C35" s="1037">
        <v>3173</v>
      </c>
      <c r="E35" s="1024" t="str">
        <f t="shared" ref="E35:E98" si="41">IF(OR($B34=0,D35=0),"",D35/$B34)</f>
        <v/>
      </c>
      <c r="G35" s="1024" t="str">
        <f t="shared" si="37"/>
        <v/>
      </c>
      <c r="I35" s="1024" t="str">
        <f t="shared" si="38"/>
        <v/>
      </c>
      <c r="K35" s="1024" t="str">
        <f t="shared" si="39"/>
        <v/>
      </c>
      <c r="M35" s="1024" t="str">
        <f t="shared" si="40"/>
        <v/>
      </c>
      <c r="O35" s="1024" t="str">
        <f t="shared" ref="O35:O98" si="42">IF(OR($B34=0,N35=0),"",N35/$B34)</f>
        <v/>
      </c>
      <c r="Q35" s="1024" t="str">
        <f t="shared" si="23"/>
        <v/>
      </c>
      <c r="S35" s="1024" t="str">
        <f t="shared" si="24"/>
        <v/>
      </c>
      <c r="U35" s="1024" t="str">
        <f t="shared" si="25"/>
        <v/>
      </c>
      <c r="W35" s="1024" t="str">
        <f t="shared" si="26"/>
        <v/>
      </c>
      <c r="Y35" s="1024" t="str">
        <f t="shared" si="27"/>
        <v/>
      </c>
      <c r="AA35" s="1024" t="str">
        <f t="shared" si="36"/>
        <v/>
      </c>
      <c r="AC35" s="1024" t="str">
        <f t="shared" si="28"/>
        <v/>
      </c>
      <c r="AE35" s="1024" t="str">
        <f t="shared" si="29"/>
        <v/>
      </c>
      <c r="AG35" s="1024" t="str">
        <f t="shared" si="30"/>
        <v/>
      </c>
      <c r="AI35" s="1024" t="str">
        <f t="shared" si="31"/>
        <v/>
      </c>
      <c r="AK35" s="1024" t="str">
        <f t="shared" si="32"/>
        <v/>
      </c>
      <c r="AM35" s="1024" t="str">
        <f t="shared" si="33"/>
        <v/>
      </c>
      <c r="AO35" s="1024" t="str">
        <f t="shared" si="34"/>
        <v/>
      </c>
      <c r="AQ35" s="1024" t="str">
        <f t="shared" si="35"/>
        <v/>
      </c>
    </row>
    <row r="36" spans="1:43" x14ac:dyDescent="0.2">
      <c r="A36" s="1028" t="s">
        <v>2295</v>
      </c>
      <c r="C36" s="1037">
        <v>0</v>
      </c>
      <c r="E36" s="1024" t="str">
        <f t="shared" si="41"/>
        <v/>
      </c>
      <c r="G36" s="1024" t="str">
        <f t="shared" si="37"/>
        <v/>
      </c>
      <c r="I36" s="1024" t="str">
        <f t="shared" si="38"/>
        <v/>
      </c>
      <c r="K36" s="1024" t="str">
        <f t="shared" si="39"/>
        <v/>
      </c>
      <c r="M36" s="1024" t="str">
        <f t="shared" si="40"/>
        <v/>
      </c>
      <c r="O36" s="1024" t="str">
        <f t="shared" si="42"/>
        <v/>
      </c>
      <c r="Q36" s="1024" t="str">
        <f t="shared" si="23"/>
        <v/>
      </c>
      <c r="S36" s="1024" t="str">
        <f t="shared" si="24"/>
        <v/>
      </c>
      <c r="U36" s="1024" t="str">
        <f t="shared" si="25"/>
        <v/>
      </c>
      <c r="W36" s="1024" t="str">
        <f t="shared" si="26"/>
        <v/>
      </c>
      <c r="Y36" s="1024" t="str">
        <f t="shared" si="27"/>
        <v/>
      </c>
      <c r="AA36" s="1024" t="str">
        <f t="shared" si="36"/>
        <v/>
      </c>
      <c r="AC36" s="1024" t="str">
        <f t="shared" si="28"/>
        <v/>
      </c>
      <c r="AE36" s="1024" t="str">
        <f t="shared" si="29"/>
        <v/>
      </c>
      <c r="AG36" s="1024" t="str">
        <f t="shared" si="30"/>
        <v/>
      </c>
      <c r="AI36" s="1024" t="str">
        <f t="shared" si="31"/>
        <v/>
      </c>
      <c r="AK36" s="1024" t="str">
        <f t="shared" si="32"/>
        <v/>
      </c>
      <c r="AM36" s="1024" t="str">
        <f t="shared" si="33"/>
        <v/>
      </c>
      <c r="AO36" s="1024" t="str">
        <f t="shared" si="34"/>
        <v/>
      </c>
      <c r="AQ36" s="1024" t="str">
        <f t="shared" si="35"/>
        <v/>
      </c>
    </row>
    <row r="37" spans="1:43" ht="13.5" thickBot="1" x14ac:dyDescent="0.25">
      <c r="A37" s="1030" t="s">
        <v>2296</v>
      </c>
      <c r="B37" s="1040"/>
      <c r="C37" s="1043">
        <f>SUM(C30:C36)</f>
        <v>6594</v>
      </c>
      <c r="E37" s="1024" t="str">
        <f t="shared" si="41"/>
        <v/>
      </c>
      <c r="G37" s="1024" t="str">
        <f t="shared" si="37"/>
        <v/>
      </c>
      <c r="I37" s="1024" t="str">
        <f t="shared" si="38"/>
        <v/>
      </c>
      <c r="K37" s="1024" t="str">
        <f t="shared" si="39"/>
        <v/>
      </c>
      <c r="M37" s="1024" t="str">
        <f t="shared" si="40"/>
        <v/>
      </c>
      <c r="O37" s="1024" t="str">
        <f t="shared" si="42"/>
        <v/>
      </c>
      <c r="Q37" s="1024" t="str">
        <f t="shared" si="23"/>
        <v/>
      </c>
      <c r="S37" s="1024" t="str">
        <f t="shared" si="24"/>
        <v/>
      </c>
      <c r="U37" s="1024" t="str">
        <f t="shared" si="25"/>
        <v/>
      </c>
      <c r="W37" s="1024" t="str">
        <f t="shared" si="26"/>
        <v/>
      </c>
      <c r="Y37" s="1024" t="str">
        <f t="shared" si="27"/>
        <v/>
      </c>
      <c r="AA37" s="1024" t="str">
        <f t="shared" si="36"/>
        <v/>
      </c>
      <c r="AC37" s="1024" t="str">
        <f t="shared" si="28"/>
        <v/>
      </c>
      <c r="AE37" s="1024" t="str">
        <f t="shared" si="29"/>
        <v/>
      </c>
      <c r="AG37" s="1024" t="str">
        <f t="shared" si="30"/>
        <v/>
      </c>
      <c r="AI37" s="1024" t="str">
        <f t="shared" si="31"/>
        <v/>
      </c>
      <c r="AK37" s="1024" t="str">
        <f t="shared" si="32"/>
        <v/>
      </c>
      <c r="AM37" s="1024" t="str">
        <f t="shared" si="33"/>
        <v/>
      </c>
      <c r="AO37" s="1024" t="str">
        <f t="shared" si="34"/>
        <v/>
      </c>
      <c r="AQ37" s="1024" t="str">
        <f t="shared" si="35"/>
        <v/>
      </c>
    </row>
    <row r="38" spans="1:43" x14ac:dyDescent="0.2">
      <c r="E38" s="1024" t="str">
        <f t="shared" si="41"/>
        <v/>
      </c>
      <c r="G38" s="1024" t="str">
        <f t="shared" si="37"/>
        <v/>
      </c>
      <c r="I38" s="1024" t="str">
        <f t="shared" si="38"/>
        <v/>
      </c>
      <c r="K38" s="1024" t="str">
        <f t="shared" si="39"/>
        <v/>
      </c>
      <c r="M38" s="1024" t="str">
        <f t="shared" si="40"/>
        <v/>
      </c>
      <c r="O38" s="1024" t="str">
        <f t="shared" si="42"/>
        <v/>
      </c>
      <c r="Q38" s="1024" t="str">
        <f t="shared" si="23"/>
        <v/>
      </c>
      <c r="S38" s="1024" t="str">
        <f t="shared" si="24"/>
        <v/>
      </c>
      <c r="U38" s="1024" t="str">
        <f t="shared" si="25"/>
        <v/>
      </c>
      <c r="W38" s="1024" t="str">
        <f t="shared" si="26"/>
        <v/>
      </c>
      <c r="Y38" s="1024" t="str">
        <f t="shared" si="27"/>
        <v/>
      </c>
      <c r="AA38" s="1024" t="str">
        <f t="shared" si="36"/>
        <v/>
      </c>
      <c r="AC38" s="1024" t="str">
        <f t="shared" si="28"/>
        <v/>
      </c>
      <c r="AE38" s="1024" t="str">
        <f t="shared" si="29"/>
        <v/>
      </c>
      <c r="AG38" s="1024" t="str">
        <f t="shared" si="30"/>
        <v/>
      </c>
      <c r="AI38" s="1024" t="str">
        <f t="shared" si="31"/>
        <v/>
      </c>
      <c r="AK38" s="1024" t="str">
        <f t="shared" si="32"/>
        <v/>
      </c>
      <c r="AM38" s="1024" t="str">
        <f t="shared" si="33"/>
        <v/>
      </c>
      <c r="AO38" s="1024" t="str">
        <f t="shared" si="34"/>
        <v/>
      </c>
      <c r="AQ38" s="1024" t="str">
        <f t="shared" si="35"/>
        <v/>
      </c>
    </row>
    <row r="39" spans="1:43" x14ac:dyDescent="0.2">
      <c r="E39" s="1024" t="str">
        <f t="shared" si="41"/>
        <v/>
      </c>
      <c r="G39" s="1024" t="str">
        <f t="shared" si="37"/>
        <v/>
      </c>
      <c r="I39" s="1024" t="str">
        <f t="shared" si="38"/>
        <v/>
      </c>
      <c r="K39" s="1024" t="str">
        <f t="shared" si="39"/>
        <v/>
      </c>
      <c r="M39" s="1024" t="str">
        <f t="shared" si="40"/>
        <v/>
      </c>
      <c r="O39" s="1024" t="str">
        <f t="shared" si="42"/>
        <v/>
      </c>
      <c r="Q39" s="1024" t="str">
        <f t="shared" si="23"/>
        <v/>
      </c>
      <c r="S39" s="1024" t="str">
        <f t="shared" si="24"/>
        <v/>
      </c>
      <c r="U39" s="1024" t="str">
        <f t="shared" si="25"/>
        <v/>
      </c>
      <c r="W39" s="1024" t="str">
        <f t="shared" si="26"/>
        <v/>
      </c>
      <c r="Y39" s="1024" t="str">
        <f t="shared" si="27"/>
        <v/>
      </c>
      <c r="AA39" s="1024" t="str">
        <f t="shared" si="36"/>
        <v/>
      </c>
      <c r="AC39" s="1024" t="str">
        <f t="shared" si="28"/>
        <v/>
      </c>
      <c r="AE39" s="1024" t="str">
        <f t="shared" si="29"/>
        <v/>
      </c>
      <c r="AG39" s="1024" t="str">
        <f t="shared" si="30"/>
        <v/>
      </c>
      <c r="AI39" s="1024" t="str">
        <f t="shared" si="31"/>
        <v/>
      </c>
      <c r="AK39" s="1024" t="str">
        <f t="shared" si="32"/>
        <v/>
      </c>
      <c r="AM39" s="1024" t="str">
        <f t="shared" si="33"/>
        <v/>
      </c>
      <c r="AO39" s="1024" t="str">
        <f t="shared" si="34"/>
        <v/>
      </c>
      <c r="AQ39" s="1024" t="str">
        <f t="shared" si="35"/>
        <v/>
      </c>
    </row>
    <row r="40" spans="1:43" x14ac:dyDescent="0.2">
      <c r="E40" s="1024" t="str">
        <f t="shared" si="41"/>
        <v/>
      </c>
      <c r="G40" s="1024" t="str">
        <f t="shared" si="37"/>
        <v/>
      </c>
      <c r="I40" s="1024" t="str">
        <f t="shared" si="38"/>
        <v/>
      </c>
      <c r="K40" s="1024" t="str">
        <f t="shared" si="39"/>
        <v/>
      </c>
      <c r="M40" s="1024" t="str">
        <f t="shared" si="40"/>
        <v/>
      </c>
      <c r="O40" s="1024" t="str">
        <f t="shared" si="42"/>
        <v/>
      </c>
      <c r="Q40" s="1024" t="str">
        <f t="shared" si="23"/>
        <v/>
      </c>
      <c r="S40" s="1024" t="str">
        <f t="shared" si="24"/>
        <v/>
      </c>
      <c r="U40" s="1024" t="str">
        <f t="shared" si="25"/>
        <v/>
      </c>
      <c r="W40" s="1024" t="str">
        <f t="shared" si="26"/>
        <v/>
      </c>
      <c r="Y40" s="1024" t="str">
        <f t="shared" si="27"/>
        <v/>
      </c>
      <c r="AA40" s="1024" t="str">
        <f t="shared" si="36"/>
        <v/>
      </c>
      <c r="AC40" s="1024" t="str">
        <f t="shared" si="28"/>
        <v/>
      </c>
      <c r="AE40" s="1024" t="str">
        <f t="shared" si="29"/>
        <v/>
      </c>
      <c r="AG40" s="1024" t="str">
        <f t="shared" si="30"/>
        <v/>
      </c>
      <c r="AI40" s="1024" t="str">
        <f t="shared" si="31"/>
        <v/>
      </c>
      <c r="AK40" s="1024" t="str">
        <f t="shared" si="32"/>
        <v/>
      </c>
      <c r="AM40" s="1024" t="str">
        <f t="shared" si="33"/>
        <v/>
      </c>
      <c r="AO40" s="1024" t="str">
        <f t="shared" si="34"/>
        <v/>
      </c>
      <c r="AQ40" s="1024" t="str">
        <f t="shared" si="35"/>
        <v/>
      </c>
    </row>
    <row r="41" spans="1:43" x14ac:dyDescent="0.2">
      <c r="E41" s="1024" t="str">
        <f t="shared" si="41"/>
        <v/>
      </c>
      <c r="G41" s="1024" t="str">
        <f t="shared" si="37"/>
        <v/>
      </c>
      <c r="I41" s="1024" t="str">
        <f t="shared" si="38"/>
        <v/>
      </c>
      <c r="K41" s="1024" t="str">
        <f t="shared" si="39"/>
        <v/>
      </c>
      <c r="M41" s="1024" t="str">
        <f t="shared" si="40"/>
        <v/>
      </c>
      <c r="O41" s="1024" t="str">
        <f t="shared" si="42"/>
        <v/>
      </c>
      <c r="Q41" s="1024" t="str">
        <f t="shared" si="23"/>
        <v/>
      </c>
      <c r="S41" s="1024" t="str">
        <f t="shared" si="24"/>
        <v/>
      </c>
      <c r="U41" s="1024" t="str">
        <f t="shared" si="25"/>
        <v/>
      </c>
      <c r="W41" s="1024" t="str">
        <f t="shared" si="26"/>
        <v/>
      </c>
      <c r="Y41" s="1024" t="str">
        <f t="shared" si="27"/>
        <v/>
      </c>
      <c r="AA41" s="1024" t="str">
        <f t="shared" si="36"/>
        <v/>
      </c>
      <c r="AC41" s="1024" t="str">
        <f t="shared" si="28"/>
        <v/>
      </c>
      <c r="AE41" s="1024" t="str">
        <f t="shared" si="29"/>
        <v/>
      </c>
      <c r="AG41" s="1024" t="str">
        <f t="shared" si="30"/>
        <v/>
      </c>
      <c r="AI41" s="1024" t="str">
        <f t="shared" si="31"/>
        <v/>
      </c>
      <c r="AK41" s="1024" t="str">
        <f t="shared" si="32"/>
        <v/>
      </c>
      <c r="AM41" s="1024" t="str">
        <f t="shared" si="33"/>
        <v/>
      </c>
      <c r="AO41" s="1024" t="str">
        <f t="shared" si="34"/>
        <v/>
      </c>
      <c r="AQ41" s="1024" t="str">
        <f t="shared" si="35"/>
        <v/>
      </c>
    </row>
    <row r="42" spans="1:43" x14ac:dyDescent="0.2">
      <c r="E42" s="1024" t="str">
        <f t="shared" si="41"/>
        <v/>
      </c>
      <c r="G42" s="1024" t="str">
        <f t="shared" si="37"/>
        <v/>
      </c>
      <c r="I42" s="1024" t="str">
        <f t="shared" si="38"/>
        <v/>
      </c>
      <c r="K42" s="1024" t="str">
        <f t="shared" si="39"/>
        <v/>
      </c>
      <c r="M42" s="1024" t="str">
        <f t="shared" si="40"/>
        <v/>
      </c>
      <c r="O42" s="1024" t="str">
        <f t="shared" si="42"/>
        <v/>
      </c>
      <c r="Q42" s="1024" t="str">
        <f t="shared" si="23"/>
        <v/>
      </c>
      <c r="S42" s="1024" t="str">
        <f t="shared" si="24"/>
        <v/>
      </c>
      <c r="U42" s="1024" t="str">
        <f t="shared" si="25"/>
        <v/>
      </c>
      <c r="W42" s="1024" t="str">
        <f t="shared" si="26"/>
        <v/>
      </c>
      <c r="Y42" s="1024" t="str">
        <f t="shared" si="27"/>
        <v/>
      </c>
      <c r="AA42" s="1024" t="str">
        <f t="shared" si="36"/>
        <v/>
      </c>
      <c r="AC42" s="1024" t="str">
        <f t="shared" si="28"/>
        <v/>
      </c>
      <c r="AE42" s="1024" t="str">
        <f t="shared" si="29"/>
        <v/>
      </c>
      <c r="AG42" s="1024" t="str">
        <f t="shared" si="30"/>
        <v/>
      </c>
      <c r="AI42" s="1024" t="str">
        <f t="shared" si="31"/>
        <v/>
      </c>
      <c r="AK42" s="1024" t="str">
        <f t="shared" si="32"/>
        <v/>
      </c>
      <c r="AM42" s="1024" t="str">
        <f t="shared" si="33"/>
        <v/>
      </c>
      <c r="AO42" s="1024" t="str">
        <f t="shared" si="34"/>
        <v/>
      </c>
      <c r="AQ42" s="1024" t="str">
        <f t="shared" si="35"/>
        <v/>
      </c>
    </row>
    <row r="43" spans="1:43" x14ac:dyDescent="0.2">
      <c r="E43" s="1024" t="str">
        <f t="shared" si="41"/>
        <v/>
      </c>
      <c r="G43" s="1024" t="str">
        <f t="shared" si="37"/>
        <v/>
      </c>
      <c r="I43" s="1024" t="str">
        <f t="shared" si="38"/>
        <v/>
      </c>
      <c r="K43" s="1024" t="str">
        <f t="shared" si="39"/>
        <v/>
      </c>
      <c r="M43" s="1024" t="str">
        <f t="shared" si="40"/>
        <v/>
      </c>
      <c r="O43" s="1024" t="str">
        <f t="shared" si="42"/>
        <v/>
      </c>
      <c r="Q43" s="1024" t="str">
        <f t="shared" si="23"/>
        <v/>
      </c>
      <c r="S43" s="1024" t="str">
        <f t="shared" si="24"/>
        <v/>
      </c>
      <c r="U43" s="1024" t="str">
        <f t="shared" si="25"/>
        <v/>
      </c>
      <c r="W43" s="1024" t="str">
        <f t="shared" si="26"/>
        <v/>
      </c>
      <c r="Y43" s="1024" t="str">
        <f t="shared" si="27"/>
        <v/>
      </c>
      <c r="AA43" s="1024" t="str">
        <f t="shared" si="36"/>
        <v/>
      </c>
      <c r="AC43" s="1024" t="str">
        <f t="shared" si="28"/>
        <v/>
      </c>
      <c r="AE43" s="1024" t="str">
        <f t="shared" si="29"/>
        <v/>
      </c>
      <c r="AG43" s="1024" t="str">
        <f t="shared" si="30"/>
        <v/>
      </c>
      <c r="AI43" s="1024" t="str">
        <f t="shared" si="31"/>
        <v/>
      </c>
      <c r="AK43" s="1024" t="str">
        <f t="shared" si="32"/>
        <v/>
      </c>
      <c r="AM43" s="1024" t="str">
        <f t="shared" si="33"/>
        <v/>
      </c>
      <c r="AO43" s="1024" t="str">
        <f t="shared" si="34"/>
        <v/>
      </c>
      <c r="AQ43" s="1024" t="str">
        <f t="shared" si="35"/>
        <v/>
      </c>
    </row>
    <row r="44" spans="1:43" x14ac:dyDescent="0.2">
      <c r="E44" s="1024" t="str">
        <f t="shared" si="41"/>
        <v/>
      </c>
      <c r="G44" s="1024" t="str">
        <f t="shared" si="37"/>
        <v/>
      </c>
      <c r="I44" s="1024" t="str">
        <f t="shared" si="38"/>
        <v/>
      </c>
      <c r="K44" s="1024" t="str">
        <f t="shared" si="39"/>
        <v/>
      </c>
      <c r="M44" s="1024" t="str">
        <f t="shared" si="40"/>
        <v/>
      </c>
      <c r="O44" s="1024" t="str">
        <f t="shared" si="42"/>
        <v/>
      </c>
      <c r="Q44" s="1024" t="str">
        <f t="shared" si="23"/>
        <v/>
      </c>
      <c r="S44" s="1024" t="str">
        <f t="shared" si="24"/>
        <v/>
      </c>
      <c r="U44" s="1024" t="str">
        <f t="shared" si="25"/>
        <v/>
      </c>
      <c r="W44" s="1024" t="str">
        <f t="shared" si="26"/>
        <v/>
      </c>
      <c r="Y44" s="1024" t="str">
        <f t="shared" si="27"/>
        <v/>
      </c>
      <c r="AA44" s="1024" t="str">
        <f t="shared" si="36"/>
        <v/>
      </c>
      <c r="AC44" s="1024" t="str">
        <f t="shared" si="28"/>
        <v/>
      </c>
      <c r="AE44" s="1024" t="str">
        <f t="shared" si="29"/>
        <v/>
      </c>
      <c r="AG44" s="1024" t="str">
        <f t="shared" si="30"/>
        <v/>
      </c>
      <c r="AI44" s="1024" t="str">
        <f t="shared" si="31"/>
        <v/>
      </c>
      <c r="AK44" s="1024" t="str">
        <f t="shared" si="32"/>
        <v/>
      </c>
      <c r="AM44" s="1024" t="str">
        <f t="shared" si="33"/>
        <v/>
      </c>
      <c r="AO44" s="1024" t="str">
        <f t="shared" si="34"/>
        <v/>
      </c>
      <c r="AQ44" s="1024" t="str">
        <f t="shared" si="35"/>
        <v/>
      </c>
    </row>
    <row r="45" spans="1:43" x14ac:dyDescent="0.2">
      <c r="E45" s="1024" t="str">
        <f t="shared" si="41"/>
        <v/>
      </c>
      <c r="G45" s="1024" t="str">
        <f t="shared" si="37"/>
        <v/>
      </c>
      <c r="I45" s="1024" t="str">
        <f t="shared" si="38"/>
        <v/>
      </c>
      <c r="K45" s="1024" t="str">
        <f t="shared" si="39"/>
        <v/>
      </c>
      <c r="M45" s="1024" t="str">
        <f t="shared" si="40"/>
        <v/>
      </c>
      <c r="O45" s="1024" t="str">
        <f t="shared" si="42"/>
        <v/>
      </c>
      <c r="Q45" s="1024" t="str">
        <f t="shared" si="23"/>
        <v/>
      </c>
      <c r="S45" s="1024" t="str">
        <f t="shared" si="24"/>
        <v/>
      </c>
      <c r="U45" s="1024" t="str">
        <f t="shared" si="25"/>
        <v/>
      </c>
      <c r="W45" s="1024" t="str">
        <f t="shared" si="26"/>
        <v/>
      </c>
      <c r="Y45" s="1024" t="str">
        <f t="shared" si="27"/>
        <v/>
      </c>
      <c r="AA45" s="1024" t="str">
        <f t="shared" si="36"/>
        <v/>
      </c>
      <c r="AC45" s="1024" t="str">
        <f t="shared" si="28"/>
        <v/>
      </c>
      <c r="AE45" s="1024" t="str">
        <f t="shared" si="29"/>
        <v/>
      </c>
      <c r="AG45" s="1024" t="str">
        <f t="shared" si="30"/>
        <v/>
      </c>
      <c r="AI45" s="1024" t="str">
        <f t="shared" si="31"/>
        <v/>
      </c>
      <c r="AK45" s="1024" t="str">
        <f t="shared" si="32"/>
        <v/>
      </c>
      <c r="AM45" s="1024" t="str">
        <f t="shared" si="33"/>
        <v/>
      </c>
      <c r="AO45" s="1024" t="str">
        <f t="shared" si="34"/>
        <v/>
      </c>
      <c r="AQ45" s="1024" t="str">
        <f t="shared" si="35"/>
        <v/>
      </c>
    </row>
    <row r="46" spans="1:43" x14ac:dyDescent="0.2">
      <c r="E46" s="1024" t="str">
        <f t="shared" si="41"/>
        <v/>
      </c>
      <c r="G46" s="1024" t="str">
        <f t="shared" si="37"/>
        <v/>
      </c>
      <c r="I46" s="1024" t="str">
        <f t="shared" si="38"/>
        <v/>
      </c>
      <c r="K46" s="1024" t="str">
        <f t="shared" si="39"/>
        <v/>
      </c>
      <c r="M46" s="1024" t="str">
        <f t="shared" si="40"/>
        <v/>
      </c>
      <c r="O46" s="1024" t="str">
        <f t="shared" si="42"/>
        <v/>
      </c>
      <c r="Q46" s="1024" t="str">
        <f t="shared" si="23"/>
        <v/>
      </c>
      <c r="S46" s="1024" t="str">
        <f t="shared" si="24"/>
        <v/>
      </c>
      <c r="U46" s="1024" t="str">
        <f t="shared" si="25"/>
        <v/>
      </c>
      <c r="W46" s="1024" t="str">
        <f t="shared" si="26"/>
        <v/>
      </c>
      <c r="Y46" s="1024" t="str">
        <f t="shared" si="27"/>
        <v/>
      </c>
      <c r="AA46" s="1024" t="str">
        <f t="shared" si="36"/>
        <v/>
      </c>
      <c r="AC46" s="1024" t="str">
        <f t="shared" si="28"/>
        <v/>
      </c>
      <c r="AE46" s="1024" t="str">
        <f t="shared" si="29"/>
        <v/>
      </c>
      <c r="AG46" s="1024" t="str">
        <f t="shared" si="30"/>
        <v/>
      </c>
      <c r="AI46" s="1024" t="str">
        <f t="shared" si="31"/>
        <v/>
      </c>
      <c r="AK46" s="1024" t="str">
        <f t="shared" si="32"/>
        <v/>
      </c>
      <c r="AM46" s="1024" t="str">
        <f t="shared" si="33"/>
        <v/>
      </c>
      <c r="AO46" s="1024" t="str">
        <f t="shared" si="34"/>
        <v/>
      </c>
      <c r="AQ46" s="1024" t="str">
        <f t="shared" si="35"/>
        <v/>
      </c>
    </row>
    <row r="47" spans="1:43" x14ac:dyDescent="0.2">
      <c r="E47" s="1024" t="str">
        <f t="shared" si="41"/>
        <v/>
      </c>
      <c r="G47" s="1024" t="str">
        <f t="shared" si="37"/>
        <v/>
      </c>
      <c r="I47" s="1024" t="str">
        <f t="shared" si="38"/>
        <v/>
      </c>
      <c r="K47" s="1024" t="str">
        <f t="shared" si="39"/>
        <v/>
      </c>
      <c r="M47" s="1024" t="str">
        <f t="shared" si="40"/>
        <v/>
      </c>
      <c r="O47" s="1024" t="str">
        <f t="shared" si="42"/>
        <v/>
      </c>
      <c r="Q47" s="1024" t="str">
        <f t="shared" si="23"/>
        <v/>
      </c>
      <c r="S47" s="1024" t="str">
        <f t="shared" si="24"/>
        <v/>
      </c>
      <c r="U47" s="1024" t="str">
        <f t="shared" si="25"/>
        <v/>
      </c>
      <c r="W47" s="1024" t="str">
        <f t="shared" si="26"/>
        <v/>
      </c>
      <c r="Y47" s="1024" t="str">
        <f t="shared" si="27"/>
        <v/>
      </c>
      <c r="AA47" s="1024" t="str">
        <f t="shared" si="36"/>
        <v/>
      </c>
      <c r="AC47" s="1024" t="str">
        <f t="shared" si="28"/>
        <v/>
      </c>
      <c r="AE47" s="1024" t="str">
        <f t="shared" si="29"/>
        <v/>
      </c>
      <c r="AG47" s="1024" t="str">
        <f t="shared" si="30"/>
        <v/>
      </c>
      <c r="AI47" s="1024" t="str">
        <f t="shared" si="31"/>
        <v/>
      </c>
      <c r="AK47" s="1024" t="str">
        <f t="shared" si="32"/>
        <v/>
      </c>
      <c r="AM47" s="1024" t="str">
        <f t="shared" si="33"/>
        <v/>
      </c>
      <c r="AO47" s="1024" t="str">
        <f t="shared" si="34"/>
        <v/>
      </c>
      <c r="AQ47" s="1024" t="str">
        <f t="shared" si="35"/>
        <v/>
      </c>
    </row>
    <row r="48" spans="1:43" x14ac:dyDescent="0.2">
      <c r="E48" s="1024" t="str">
        <f t="shared" si="41"/>
        <v/>
      </c>
      <c r="G48" s="1024" t="str">
        <f t="shared" si="37"/>
        <v/>
      </c>
      <c r="I48" s="1024" t="str">
        <f t="shared" si="38"/>
        <v/>
      </c>
      <c r="K48" s="1024" t="str">
        <f t="shared" si="39"/>
        <v/>
      </c>
      <c r="M48" s="1024" t="str">
        <f t="shared" si="40"/>
        <v/>
      </c>
      <c r="O48" s="1024" t="str">
        <f t="shared" si="42"/>
        <v/>
      </c>
      <c r="Q48" s="1024" t="str">
        <f t="shared" si="23"/>
        <v/>
      </c>
      <c r="S48" s="1024" t="str">
        <f t="shared" si="24"/>
        <v/>
      </c>
      <c r="U48" s="1024" t="str">
        <f t="shared" si="25"/>
        <v/>
      </c>
      <c r="W48" s="1024" t="str">
        <f t="shared" si="26"/>
        <v/>
      </c>
      <c r="Y48" s="1024" t="str">
        <f t="shared" si="27"/>
        <v/>
      </c>
      <c r="AA48" s="1024" t="str">
        <f t="shared" si="36"/>
        <v/>
      </c>
      <c r="AC48" s="1024" t="str">
        <f t="shared" si="28"/>
        <v/>
      </c>
      <c r="AE48" s="1024" t="str">
        <f t="shared" si="29"/>
        <v/>
      </c>
      <c r="AG48" s="1024" t="str">
        <f t="shared" si="30"/>
        <v/>
      </c>
      <c r="AI48" s="1024" t="str">
        <f t="shared" si="31"/>
        <v/>
      </c>
      <c r="AK48" s="1024" t="str">
        <f t="shared" si="32"/>
        <v/>
      </c>
      <c r="AM48" s="1024" t="str">
        <f t="shared" si="33"/>
        <v/>
      </c>
      <c r="AO48" s="1024" t="str">
        <f t="shared" si="34"/>
        <v/>
      </c>
      <c r="AQ48" s="1024" t="str">
        <f t="shared" si="35"/>
        <v/>
      </c>
    </row>
    <row r="49" spans="5:43" x14ac:dyDescent="0.2">
      <c r="E49" s="1024" t="str">
        <f t="shared" si="41"/>
        <v/>
      </c>
      <c r="G49" s="1024" t="str">
        <f t="shared" si="37"/>
        <v/>
      </c>
      <c r="I49" s="1024" t="str">
        <f t="shared" si="38"/>
        <v/>
      </c>
      <c r="K49" s="1024" t="str">
        <f t="shared" si="39"/>
        <v/>
      </c>
      <c r="M49" s="1024" t="str">
        <f t="shared" si="40"/>
        <v/>
      </c>
      <c r="O49" s="1024" t="str">
        <f t="shared" si="42"/>
        <v/>
      </c>
      <c r="Q49" s="1024" t="str">
        <f t="shared" si="23"/>
        <v/>
      </c>
      <c r="S49" s="1024" t="str">
        <f t="shared" si="24"/>
        <v/>
      </c>
      <c r="U49" s="1024" t="str">
        <f t="shared" si="25"/>
        <v/>
      </c>
      <c r="W49" s="1024" t="str">
        <f t="shared" si="26"/>
        <v/>
      </c>
      <c r="Y49" s="1024" t="str">
        <f t="shared" si="27"/>
        <v/>
      </c>
      <c r="AA49" s="1024" t="str">
        <f t="shared" si="36"/>
        <v/>
      </c>
      <c r="AC49" s="1024" t="str">
        <f t="shared" si="28"/>
        <v/>
      </c>
      <c r="AE49" s="1024" t="str">
        <f t="shared" si="29"/>
        <v/>
      </c>
      <c r="AG49" s="1024" t="str">
        <f t="shared" si="30"/>
        <v/>
      </c>
      <c r="AI49" s="1024" t="str">
        <f t="shared" si="31"/>
        <v/>
      </c>
      <c r="AK49" s="1024" t="str">
        <f t="shared" si="32"/>
        <v/>
      </c>
      <c r="AM49" s="1024" t="str">
        <f t="shared" si="33"/>
        <v/>
      </c>
      <c r="AO49" s="1024" t="str">
        <f t="shared" si="34"/>
        <v/>
      </c>
      <c r="AQ49" s="1024" t="str">
        <f t="shared" si="35"/>
        <v/>
      </c>
    </row>
    <row r="50" spans="5:43" x14ac:dyDescent="0.2">
      <c r="E50" s="1024" t="str">
        <f t="shared" si="41"/>
        <v/>
      </c>
      <c r="G50" s="1024" t="str">
        <f t="shared" si="37"/>
        <v/>
      </c>
      <c r="I50" s="1024" t="str">
        <f t="shared" si="38"/>
        <v/>
      </c>
      <c r="K50" s="1024" t="str">
        <f t="shared" si="39"/>
        <v/>
      </c>
      <c r="M50" s="1024" t="str">
        <f t="shared" si="40"/>
        <v/>
      </c>
      <c r="O50" s="1024" t="str">
        <f t="shared" si="42"/>
        <v/>
      </c>
      <c r="Q50" s="1024" t="str">
        <f t="shared" si="23"/>
        <v/>
      </c>
      <c r="S50" s="1024" t="str">
        <f t="shared" si="24"/>
        <v/>
      </c>
      <c r="U50" s="1024" t="str">
        <f t="shared" si="25"/>
        <v/>
      </c>
      <c r="W50" s="1024" t="str">
        <f t="shared" si="26"/>
        <v/>
      </c>
      <c r="Y50" s="1024" t="str">
        <f t="shared" si="27"/>
        <v/>
      </c>
      <c r="AA50" s="1024" t="str">
        <f t="shared" si="36"/>
        <v/>
      </c>
      <c r="AC50" s="1024" t="str">
        <f t="shared" si="28"/>
        <v/>
      </c>
      <c r="AE50" s="1024" t="str">
        <f t="shared" si="29"/>
        <v/>
      </c>
      <c r="AG50" s="1024" t="str">
        <f t="shared" si="30"/>
        <v/>
      </c>
      <c r="AI50" s="1024" t="str">
        <f t="shared" si="31"/>
        <v/>
      </c>
      <c r="AK50" s="1024" t="str">
        <f t="shared" si="32"/>
        <v/>
      </c>
      <c r="AM50" s="1024" t="str">
        <f t="shared" si="33"/>
        <v/>
      </c>
      <c r="AO50" s="1024" t="str">
        <f t="shared" si="34"/>
        <v/>
      </c>
      <c r="AQ50" s="1024" t="str">
        <f t="shared" si="35"/>
        <v/>
      </c>
    </row>
    <row r="51" spans="5:43" x14ac:dyDescent="0.2">
      <c r="E51" s="1024" t="str">
        <f t="shared" si="41"/>
        <v/>
      </c>
      <c r="G51" s="1024" t="str">
        <f t="shared" si="37"/>
        <v/>
      </c>
      <c r="I51" s="1024" t="str">
        <f t="shared" si="38"/>
        <v/>
      </c>
      <c r="K51" s="1024" t="str">
        <f t="shared" si="39"/>
        <v/>
      </c>
      <c r="M51" s="1024" t="str">
        <f t="shared" si="40"/>
        <v/>
      </c>
      <c r="O51" s="1024" t="str">
        <f t="shared" si="42"/>
        <v/>
      </c>
      <c r="Q51" s="1024" t="str">
        <f t="shared" si="23"/>
        <v/>
      </c>
      <c r="S51" s="1024" t="str">
        <f t="shared" si="24"/>
        <v/>
      </c>
      <c r="U51" s="1024" t="str">
        <f t="shared" si="25"/>
        <v/>
      </c>
      <c r="W51" s="1024" t="str">
        <f t="shared" si="26"/>
        <v/>
      </c>
      <c r="Y51" s="1024" t="str">
        <f t="shared" si="27"/>
        <v/>
      </c>
      <c r="AA51" s="1024" t="str">
        <f t="shared" si="36"/>
        <v/>
      </c>
      <c r="AC51" s="1024" t="str">
        <f t="shared" si="28"/>
        <v/>
      </c>
      <c r="AE51" s="1024" t="str">
        <f t="shared" si="29"/>
        <v/>
      </c>
      <c r="AG51" s="1024" t="str">
        <f t="shared" si="30"/>
        <v/>
      </c>
      <c r="AI51" s="1024" t="str">
        <f t="shared" si="31"/>
        <v/>
      </c>
      <c r="AK51" s="1024" t="str">
        <f t="shared" si="32"/>
        <v/>
      </c>
      <c r="AM51" s="1024" t="str">
        <f t="shared" si="33"/>
        <v/>
      </c>
      <c r="AO51" s="1024" t="str">
        <f t="shared" si="34"/>
        <v/>
      </c>
      <c r="AQ51" s="1024" t="str">
        <f t="shared" si="35"/>
        <v/>
      </c>
    </row>
    <row r="52" spans="5:43" x14ac:dyDescent="0.2">
      <c r="E52" s="1024" t="str">
        <f t="shared" si="41"/>
        <v/>
      </c>
      <c r="G52" s="1024" t="str">
        <f t="shared" si="37"/>
        <v/>
      </c>
      <c r="I52" s="1024" t="str">
        <f t="shared" si="38"/>
        <v/>
      </c>
      <c r="K52" s="1024" t="str">
        <f t="shared" si="39"/>
        <v/>
      </c>
      <c r="M52" s="1024" t="str">
        <f t="shared" si="40"/>
        <v/>
      </c>
      <c r="O52" s="1024" t="str">
        <f t="shared" si="42"/>
        <v/>
      </c>
      <c r="Q52" s="1024" t="str">
        <f t="shared" si="23"/>
        <v/>
      </c>
      <c r="S52" s="1024" t="str">
        <f t="shared" si="24"/>
        <v/>
      </c>
      <c r="U52" s="1024" t="str">
        <f t="shared" si="25"/>
        <v/>
      </c>
      <c r="W52" s="1024" t="str">
        <f t="shared" si="26"/>
        <v/>
      </c>
      <c r="Y52" s="1024" t="str">
        <f t="shared" si="27"/>
        <v/>
      </c>
      <c r="AA52" s="1024" t="str">
        <f t="shared" si="36"/>
        <v/>
      </c>
      <c r="AC52" s="1024" t="str">
        <f t="shared" si="28"/>
        <v/>
      </c>
      <c r="AE52" s="1024" t="str">
        <f t="shared" si="29"/>
        <v/>
      </c>
      <c r="AG52" s="1024" t="str">
        <f t="shared" si="30"/>
        <v/>
      </c>
      <c r="AI52" s="1024" t="str">
        <f t="shared" si="31"/>
        <v/>
      </c>
      <c r="AK52" s="1024" t="str">
        <f t="shared" si="32"/>
        <v/>
      </c>
      <c r="AM52" s="1024" t="str">
        <f t="shared" si="33"/>
        <v/>
      </c>
      <c r="AO52" s="1024" t="str">
        <f t="shared" si="34"/>
        <v/>
      </c>
      <c r="AQ52" s="1024" t="str">
        <f t="shared" si="35"/>
        <v/>
      </c>
    </row>
    <row r="53" spans="5:43" x14ac:dyDescent="0.2">
      <c r="E53" s="1024" t="str">
        <f t="shared" si="41"/>
        <v/>
      </c>
      <c r="G53" s="1024" t="str">
        <f t="shared" si="37"/>
        <v/>
      </c>
      <c r="I53" s="1024" t="str">
        <f t="shared" si="38"/>
        <v/>
      </c>
      <c r="K53" s="1024" t="str">
        <f t="shared" si="39"/>
        <v/>
      </c>
      <c r="M53" s="1024" t="str">
        <f t="shared" si="40"/>
        <v/>
      </c>
      <c r="O53" s="1024" t="str">
        <f t="shared" si="42"/>
        <v/>
      </c>
      <c r="Q53" s="1024" t="str">
        <f t="shared" si="23"/>
        <v/>
      </c>
      <c r="S53" s="1024" t="str">
        <f t="shared" si="24"/>
        <v/>
      </c>
      <c r="U53" s="1024" t="str">
        <f t="shared" si="25"/>
        <v/>
      </c>
      <c r="W53" s="1024" t="str">
        <f t="shared" si="26"/>
        <v/>
      </c>
      <c r="Y53" s="1024" t="str">
        <f t="shared" si="27"/>
        <v/>
      </c>
      <c r="AA53" s="1024" t="str">
        <f t="shared" si="36"/>
        <v/>
      </c>
      <c r="AC53" s="1024" t="str">
        <f t="shared" si="28"/>
        <v/>
      </c>
      <c r="AE53" s="1024" t="str">
        <f t="shared" si="29"/>
        <v/>
      </c>
      <c r="AG53" s="1024" t="str">
        <f t="shared" si="30"/>
        <v/>
      </c>
      <c r="AI53" s="1024" t="str">
        <f t="shared" si="31"/>
        <v/>
      </c>
      <c r="AK53" s="1024" t="str">
        <f t="shared" si="32"/>
        <v/>
      </c>
      <c r="AM53" s="1024" t="str">
        <f t="shared" si="33"/>
        <v/>
      </c>
      <c r="AO53" s="1024" t="str">
        <f t="shared" si="34"/>
        <v/>
      </c>
      <c r="AQ53" s="1024" t="str">
        <f t="shared" si="35"/>
        <v/>
      </c>
    </row>
    <row r="54" spans="5:43" x14ac:dyDescent="0.2">
      <c r="E54" s="1024" t="str">
        <f t="shared" si="41"/>
        <v/>
      </c>
      <c r="G54" s="1024" t="str">
        <f t="shared" si="37"/>
        <v/>
      </c>
      <c r="I54" s="1024" t="str">
        <f t="shared" si="38"/>
        <v/>
      </c>
      <c r="K54" s="1024" t="str">
        <f t="shared" si="39"/>
        <v/>
      </c>
      <c r="M54" s="1024" t="str">
        <f t="shared" si="40"/>
        <v/>
      </c>
      <c r="O54" s="1024" t="str">
        <f t="shared" si="42"/>
        <v/>
      </c>
      <c r="Q54" s="1024" t="str">
        <f t="shared" si="23"/>
        <v/>
      </c>
      <c r="S54" s="1024" t="str">
        <f t="shared" si="24"/>
        <v/>
      </c>
      <c r="U54" s="1024" t="str">
        <f t="shared" si="25"/>
        <v/>
      </c>
      <c r="W54" s="1024" t="str">
        <f t="shared" si="26"/>
        <v/>
      </c>
      <c r="Y54" s="1024" t="str">
        <f t="shared" si="27"/>
        <v/>
      </c>
      <c r="AA54" s="1024" t="str">
        <f t="shared" si="36"/>
        <v/>
      </c>
      <c r="AC54" s="1024" t="str">
        <f t="shared" si="28"/>
        <v/>
      </c>
      <c r="AE54" s="1024" t="str">
        <f t="shared" si="29"/>
        <v/>
      </c>
      <c r="AG54" s="1024" t="str">
        <f t="shared" si="30"/>
        <v/>
      </c>
      <c r="AI54" s="1024" t="str">
        <f t="shared" si="31"/>
        <v/>
      </c>
      <c r="AK54" s="1024" t="str">
        <f t="shared" si="32"/>
        <v/>
      </c>
      <c r="AM54" s="1024" t="str">
        <f t="shared" si="33"/>
        <v/>
      </c>
      <c r="AO54" s="1024" t="str">
        <f t="shared" si="34"/>
        <v/>
      </c>
      <c r="AQ54" s="1024" t="str">
        <f t="shared" si="35"/>
        <v/>
      </c>
    </row>
    <row r="55" spans="5:43" x14ac:dyDescent="0.2">
      <c r="E55" s="1024" t="str">
        <f t="shared" si="41"/>
        <v/>
      </c>
      <c r="G55" s="1024" t="str">
        <f t="shared" si="37"/>
        <v/>
      </c>
      <c r="I55" s="1024" t="str">
        <f t="shared" si="38"/>
        <v/>
      </c>
      <c r="K55" s="1024" t="str">
        <f t="shared" si="39"/>
        <v/>
      </c>
      <c r="M55" s="1024" t="str">
        <f t="shared" si="40"/>
        <v/>
      </c>
      <c r="O55" s="1024" t="str">
        <f t="shared" si="42"/>
        <v/>
      </c>
      <c r="Q55" s="1024" t="str">
        <f t="shared" si="23"/>
        <v/>
      </c>
      <c r="S55" s="1024" t="str">
        <f t="shared" si="24"/>
        <v/>
      </c>
      <c r="U55" s="1024" t="str">
        <f t="shared" si="25"/>
        <v/>
      </c>
      <c r="W55" s="1024" t="str">
        <f t="shared" si="26"/>
        <v/>
      </c>
      <c r="Y55" s="1024" t="str">
        <f t="shared" si="27"/>
        <v/>
      </c>
      <c r="AA55" s="1024" t="str">
        <f t="shared" si="36"/>
        <v/>
      </c>
      <c r="AC55" s="1024" t="str">
        <f t="shared" si="28"/>
        <v/>
      </c>
      <c r="AE55" s="1024" t="str">
        <f t="shared" si="29"/>
        <v/>
      </c>
      <c r="AG55" s="1024" t="str">
        <f t="shared" si="30"/>
        <v/>
      </c>
      <c r="AI55" s="1024" t="str">
        <f t="shared" si="31"/>
        <v/>
      </c>
      <c r="AK55" s="1024" t="str">
        <f t="shared" si="32"/>
        <v/>
      </c>
      <c r="AM55" s="1024" t="str">
        <f t="shared" si="33"/>
        <v/>
      </c>
      <c r="AO55" s="1024" t="str">
        <f t="shared" si="34"/>
        <v/>
      </c>
      <c r="AQ55" s="1024" t="str">
        <f t="shared" si="35"/>
        <v/>
      </c>
    </row>
    <row r="56" spans="5:43" x14ac:dyDescent="0.2">
      <c r="E56" s="1024" t="str">
        <f t="shared" si="41"/>
        <v/>
      </c>
      <c r="G56" s="1024" t="str">
        <f t="shared" si="37"/>
        <v/>
      </c>
      <c r="I56" s="1024" t="str">
        <f t="shared" si="38"/>
        <v/>
      </c>
      <c r="K56" s="1024" t="str">
        <f t="shared" si="39"/>
        <v/>
      </c>
      <c r="M56" s="1024" t="str">
        <f t="shared" si="40"/>
        <v/>
      </c>
      <c r="O56" s="1024" t="str">
        <f t="shared" si="42"/>
        <v/>
      </c>
      <c r="Q56" s="1024" t="str">
        <f t="shared" si="23"/>
        <v/>
      </c>
      <c r="S56" s="1024" t="str">
        <f t="shared" si="24"/>
        <v/>
      </c>
      <c r="U56" s="1024" t="str">
        <f t="shared" si="25"/>
        <v/>
      </c>
      <c r="W56" s="1024" t="str">
        <f t="shared" si="26"/>
        <v/>
      </c>
      <c r="Y56" s="1024" t="str">
        <f t="shared" si="27"/>
        <v/>
      </c>
      <c r="AA56" s="1024" t="str">
        <f t="shared" si="36"/>
        <v/>
      </c>
      <c r="AC56" s="1024" t="str">
        <f t="shared" si="28"/>
        <v/>
      </c>
      <c r="AE56" s="1024" t="str">
        <f t="shared" si="29"/>
        <v/>
      </c>
      <c r="AG56" s="1024" t="str">
        <f t="shared" si="30"/>
        <v/>
      </c>
      <c r="AI56" s="1024" t="str">
        <f t="shared" si="31"/>
        <v/>
      </c>
      <c r="AK56" s="1024" t="str">
        <f t="shared" si="32"/>
        <v/>
      </c>
      <c r="AM56" s="1024" t="str">
        <f t="shared" si="33"/>
        <v/>
      </c>
      <c r="AO56" s="1024" t="str">
        <f t="shared" si="34"/>
        <v/>
      </c>
      <c r="AQ56" s="1024" t="str">
        <f t="shared" si="35"/>
        <v/>
      </c>
    </row>
    <row r="57" spans="5:43" x14ac:dyDescent="0.2">
      <c r="E57" s="1024" t="str">
        <f t="shared" si="41"/>
        <v/>
      </c>
      <c r="G57" s="1024" t="str">
        <f t="shared" si="37"/>
        <v/>
      </c>
      <c r="I57" s="1024" t="str">
        <f t="shared" si="38"/>
        <v/>
      </c>
      <c r="K57" s="1024" t="str">
        <f t="shared" si="39"/>
        <v/>
      </c>
      <c r="M57" s="1024" t="str">
        <f t="shared" si="40"/>
        <v/>
      </c>
      <c r="O57" s="1024" t="str">
        <f t="shared" si="42"/>
        <v/>
      </c>
      <c r="Q57" s="1024" t="str">
        <f t="shared" si="23"/>
        <v/>
      </c>
      <c r="S57" s="1024" t="str">
        <f t="shared" si="24"/>
        <v/>
      </c>
      <c r="U57" s="1024" t="str">
        <f t="shared" si="25"/>
        <v/>
      </c>
      <c r="W57" s="1024" t="str">
        <f t="shared" si="26"/>
        <v/>
      </c>
      <c r="Y57" s="1024" t="str">
        <f t="shared" si="27"/>
        <v/>
      </c>
      <c r="AA57" s="1024" t="str">
        <f t="shared" si="36"/>
        <v/>
      </c>
      <c r="AC57" s="1024" t="str">
        <f t="shared" si="28"/>
        <v/>
      </c>
      <c r="AE57" s="1024" t="str">
        <f t="shared" si="29"/>
        <v/>
      </c>
      <c r="AG57" s="1024" t="str">
        <f t="shared" si="30"/>
        <v/>
      </c>
      <c r="AI57" s="1024" t="str">
        <f t="shared" si="31"/>
        <v/>
      </c>
      <c r="AK57" s="1024" t="str">
        <f t="shared" si="32"/>
        <v/>
      </c>
      <c r="AM57" s="1024" t="str">
        <f t="shared" si="33"/>
        <v/>
      </c>
      <c r="AO57" s="1024" t="str">
        <f t="shared" si="34"/>
        <v/>
      </c>
      <c r="AQ57" s="1024" t="str">
        <f t="shared" si="35"/>
        <v/>
      </c>
    </row>
    <row r="58" spans="5:43" x14ac:dyDescent="0.2">
      <c r="E58" s="1024" t="str">
        <f t="shared" si="41"/>
        <v/>
      </c>
      <c r="G58" s="1024" t="str">
        <f t="shared" si="37"/>
        <v/>
      </c>
      <c r="I58" s="1024" t="str">
        <f t="shared" si="38"/>
        <v/>
      </c>
      <c r="K58" s="1024" t="str">
        <f t="shared" si="39"/>
        <v/>
      </c>
      <c r="M58" s="1024" t="str">
        <f t="shared" si="40"/>
        <v/>
      </c>
      <c r="O58" s="1024" t="str">
        <f t="shared" si="42"/>
        <v/>
      </c>
      <c r="Q58" s="1024" t="str">
        <f t="shared" si="23"/>
        <v/>
      </c>
      <c r="S58" s="1024" t="str">
        <f t="shared" si="24"/>
        <v/>
      </c>
      <c r="U58" s="1024" t="str">
        <f t="shared" si="25"/>
        <v/>
      </c>
      <c r="W58" s="1024" t="str">
        <f t="shared" si="26"/>
        <v/>
      </c>
      <c r="Y58" s="1024" t="str">
        <f t="shared" si="27"/>
        <v/>
      </c>
      <c r="AA58" s="1024" t="str">
        <f t="shared" si="36"/>
        <v/>
      </c>
      <c r="AC58" s="1024" t="str">
        <f t="shared" si="28"/>
        <v/>
      </c>
      <c r="AE58" s="1024" t="str">
        <f t="shared" si="29"/>
        <v/>
      </c>
      <c r="AG58" s="1024" t="str">
        <f t="shared" si="30"/>
        <v/>
      </c>
      <c r="AI58" s="1024" t="str">
        <f t="shared" si="31"/>
        <v/>
      </c>
      <c r="AK58" s="1024" t="str">
        <f t="shared" si="32"/>
        <v/>
      </c>
      <c r="AM58" s="1024" t="str">
        <f t="shared" si="33"/>
        <v/>
      </c>
      <c r="AO58" s="1024" t="str">
        <f t="shared" si="34"/>
        <v/>
      </c>
      <c r="AQ58" s="1024" t="str">
        <f t="shared" si="35"/>
        <v/>
      </c>
    </row>
    <row r="59" spans="5:43" x14ac:dyDescent="0.2">
      <c r="E59" s="1024" t="str">
        <f t="shared" si="41"/>
        <v/>
      </c>
      <c r="G59" s="1024" t="str">
        <f t="shared" si="37"/>
        <v/>
      </c>
      <c r="I59" s="1024" t="str">
        <f t="shared" si="38"/>
        <v/>
      </c>
      <c r="K59" s="1024" t="str">
        <f t="shared" si="39"/>
        <v/>
      </c>
      <c r="M59" s="1024" t="str">
        <f t="shared" si="40"/>
        <v/>
      </c>
      <c r="O59" s="1024" t="str">
        <f t="shared" si="42"/>
        <v/>
      </c>
      <c r="Q59" s="1024" t="str">
        <f t="shared" si="23"/>
        <v/>
      </c>
      <c r="S59" s="1024" t="str">
        <f t="shared" si="24"/>
        <v/>
      </c>
      <c r="U59" s="1024" t="str">
        <f t="shared" si="25"/>
        <v/>
      </c>
      <c r="W59" s="1024" t="str">
        <f t="shared" si="26"/>
        <v/>
      </c>
      <c r="Y59" s="1024" t="str">
        <f t="shared" si="27"/>
        <v/>
      </c>
      <c r="AA59" s="1024" t="str">
        <f t="shared" si="36"/>
        <v/>
      </c>
      <c r="AC59" s="1024" t="str">
        <f t="shared" si="28"/>
        <v/>
      </c>
      <c r="AE59" s="1024" t="str">
        <f t="shared" si="29"/>
        <v/>
      </c>
      <c r="AG59" s="1024" t="str">
        <f t="shared" si="30"/>
        <v/>
      </c>
      <c r="AI59" s="1024" t="str">
        <f t="shared" si="31"/>
        <v/>
      </c>
      <c r="AK59" s="1024" t="str">
        <f t="shared" si="32"/>
        <v/>
      </c>
      <c r="AM59" s="1024" t="str">
        <f t="shared" si="33"/>
        <v/>
      </c>
      <c r="AO59" s="1024" t="str">
        <f t="shared" si="34"/>
        <v/>
      </c>
      <c r="AQ59" s="1024" t="str">
        <f t="shared" si="35"/>
        <v/>
      </c>
    </row>
    <row r="60" spans="5:43" x14ac:dyDescent="0.2">
      <c r="E60" s="1024" t="str">
        <f t="shared" si="41"/>
        <v/>
      </c>
      <c r="G60" s="1024" t="str">
        <f t="shared" si="37"/>
        <v/>
      </c>
      <c r="I60" s="1024" t="str">
        <f t="shared" si="38"/>
        <v/>
      </c>
      <c r="K60" s="1024" t="str">
        <f t="shared" si="39"/>
        <v/>
      </c>
      <c r="M60" s="1024" t="str">
        <f t="shared" si="40"/>
        <v/>
      </c>
      <c r="O60" s="1024" t="str">
        <f t="shared" si="42"/>
        <v/>
      </c>
      <c r="Q60" s="1024" t="str">
        <f t="shared" si="23"/>
        <v/>
      </c>
      <c r="S60" s="1024" t="str">
        <f t="shared" si="24"/>
        <v/>
      </c>
      <c r="U60" s="1024" t="str">
        <f t="shared" si="25"/>
        <v/>
      </c>
      <c r="W60" s="1024" t="str">
        <f t="shared" si="26"/>
        <v/>
      </c>
      <c r="Y60" s="1024" t="str">
        <f t="shared" si="27"/>
        <v/>
      </c>
      <c r="AA60" s="1024" t="str">
        <f t="shared" si="36"/>
        <v/>
      </c>
      <c r="AC60" s="1024" t="str">
        <f t="shared" si="28"/>
        <v/>
      </c>
      <c r="AE60" s="1024" t="str">
        <f t="shared" si="29"/>
        <v/>
      </c>
      <c r="AG60" s="1024" t="str">
        <f t="shared" si="30"/>
        <v/>
      </c>
      <c r="AI60" s="1024" t="str">
        <f t="shared" si="31"/>
        <v/>
      </c>
      <c r="AK60" s="1024" t="str">
        <f t="shared" si="32"/>
        <v/>
      </c>
      <c r="AM60" s="1024" t="str">
        <f t="shared" si="33"/>
        <v/>
      </c>
      <c r="AO60" s="1024" t="str">
        <f t="shared" si="34"/>
        <v/>
      </c>
      <c r="AQ60" s="1024" t="str">
        <f t="shared" si="35"/>
        <v/>
      </c>
    </row>
    <row r="61" spans="5:43" x14ac:dyDescent="0.2">
      <c r="E61" s="1024" t="str">
        <f t="shared" si="41"/>
        <v/>
      </c>
      <c r="G61" s="1024" t="str">
        <f t="shared" si="37"/>
        <v/>
      </c>
      <c r="I61" s="1024" t="str">
        <f t="shared" si="38"/>
        <v/>
      </c>
      <c r="K61" s="1024" t="str">
        <f t="shared" si="39"/>
        <v/>
      </c>
      <c r="M61" s="1024" t="str">
        <f t="shared" si="40"/>
        <v/>
      </c>
      <c r="O61" s="1024" t="str">
        <f t="shared" si="42"/>
        <v/>
      </c>
      <c r="Q61" s="1024" t="str">
        <f t="shared" si="23"/>
        <v/>
      </c>
      <c r="S61" s="1024" t="str">
        <f t="shared" si="24"/>
        <v/>
      </c>
      <c r="U61" s="1024" t="str">
        <f t="shared" si="25"/>
        <v/>
      </c>
      <c r="W61" s="1024" t="str">
        <f t="shared" si="26"/>
        <v/>
      </c>
      <c r="Y61" s="1024" t="str">
        <f t="shared" si="27"/>
        <v/>
      </c>
      <c r="AA61" s="1024" t="str">
        <f t="shared" si="36"/>
        <v/>
      </c>
      <c r="AC61" s="1024" t="str">
        <f t="shared" si="28"/>
        <v/>
      </c>
      <c r="AE61" s="1024" t="str">
        <f t="shared" si="29"/>
        <v/>
      </c>
      <c r="AG61" s="1024" t="str">
        <f t="shared" si="30"/>
        <v/>
      </c>
      <c r="AI61" s="1024" t="str">
        <f t="shared" si="31"/>
        <v/>
      </c>
      <c r="AK61" s="1024" t="str">
        <f t="shared" si="32"/>
        <v/>
      </c>
      <c r="AM61" s="1024" t="str">
        <f t="shared" si="33"/>
        <v/>
      </c>
      <c r="AO61" s="1024" t="str">
        <f t="shared" si="34"/>
        <v/>
      </c>
      <c r="AQ61" s="1024" t="str">
        <f t="shared" si="35"/>
        <v/>
      </c>
    </row>
    <row r="62" spans="5:43" x14ac:dyDescent="0.2">
      <c r="E62" s="1024" t="str">
        <f t="shared" si="41"/>
        <v/>
      </c>
      <c r="G62" s="1024" t="str">
        <f t="shared" si="37"/>
        <v/>
      </c>
      <c r="I62" s="1024" t="str">
        <f t="shared" si="38"/>
        <v/>
      </c>
      <c r="K62" s="1024" t="str">
        <f t="shared" si="39"/>
        <v/>
      </c>
      <c r="M62" s="1024" t="str">
        <f t="shared" si="40"/>
        <v/>
      </c>
      <c r="O62" s="1024" t="str">
        <f t="shared" si="42"/>
        <v/>
      </c>
      <c r="Q62" s="1024" t="str">
        <f t="shared" si="23"/>
        <v/>
      </c>
      <c r="S62" s="1024" t="str">
        <f t="shared" si="24"/>
        <v/>
      </c>
      <c r="U62" s="1024" t="str">
        <f t="shared" si="25"/>
        <v/>
      </c>
      <c r="W62" s="1024" t="str">
        <f t="shared" si="26"/>
        <v/>
      </c>
      <c r="Y62" s="1024" t="str">
        <f t="shared" si="27"/>
        <v/>
      </c>
      <c r="AA62" s="1024" t="str">
        <f t="shared" si="36"/>
        <v/>
      </c>
      <c r="AC62" s="1024" t="str">
        <f t="shared" si="28"/>
        <v/>
      </c>
      <c r="AE62" s="1024" t="str">
        <f t="shared" si="29"/>
        <v/>
      </c>
      <c r="AG62" s="1024" t="str">
        <f t="shared" si="30"/>
        <v/>
      </c>
      <c r="AI62" s="1024" t="str">
        <f t="shared" si="31"/>
        <v/>
      </c>
      <c r="AK62" s="1024" t="str">
        <f t="shared" si="32"/>
        <v/>
      </c>
      <c r="AM62" s="1024" t="str">
        <f t="shared" si="33"/>
        <v/>
      </c>
      <c r="AO62" s="1024" t="str">
        <f t="shared" si="34"/>
        <v/>
      </c>
      <c r="AQ62" s="1024" t="str">
        <f t="shared" si="35"/>
        <v/>
      </c>
    </row>
    <row r="63" spans="5:43" x14ac:dyDescent="0.2">
      <c r="E63" s="1024" t="str">
        <f t="shared" si="41"/>
        <v/>
      </c>
      <c r="G63" s="1024" t="str">
        <f t="shared" si="37"/>
        <v/>
      </c>
      <c r="I63" s="1024" t="str">
        <f t="shared" si="38"/>
        <v/>
      </c>
      <c r="K63" s="1024" t="str">
        <f t="shared" si="39"/>
        <v/>
      </c>
      <c r="M63" s="1024" t="str">
        <f t="shared" si="40"/>
        <v/>
      </c>
      <c r="O63" s="1024" t="str">
        <f t="shared" si="42"/>
        <v/>
      </c>
      <c r="Q63" s="1024" t="str">
        <f t="shared" si="23"/>
        <v/>
      </c>
      <c r="S63" s="1024" t="str">
        <f t="shared" si="24"/>
        <v/>
      </c>
      <c r="U63" s="1024" t="str">
        <f t="shared" si="25"/>
        <v/>
      </c>
      <c r="W63" s="1024" t="str">
        <f t="shared" si="26"/>
        <v/>
      </c>
      <c r="Y63" s="1024" t="str">
        <f t="shared" si="27"/>
        <v/>
      </c>
      <c r="AA63" s="1024" t="str">
        <f t="shared" si="36"/>
        <v/>
      </c>
      <c r="AC63" s="1024" t="str">
        <f t="shared" si="28"/>
        <v/>
      </c>
      <c r="AE63" s="1024" t="str">
        <f t="shared" si="29"/>
        <v/>
      </c>
      <c r="AG63" s="1024" t="str">
        <f t="shared" si="30"/>
        <v/>
      </c>
      <c r="AI63" s="1024" t="str">
        <f t="shared" si="31"/>
        <v/>
      </c>
      <c r="AK63" s="1024" t="str">
        <f t="shared" si="32"/>
        <v/>
      </c>
      <c r="AM63" s="1024" t="str">
        <f t="shared" si="33"/>
        <v/>
      </c>
      <c r="AO63" s="1024" t="str">
        <f t="shared" si="34"/>
        <v/>
      </c>
      <c r="AQ63" s="1024" t="str">
        <f t="shared" si="35"/>
        <v/>
      </c>
    </row>
    <row r="64" spans="5:43" x14ac:dyDescent="0.2">
      <c r="E64" s="1024" t="str">
        <f t="shared" si="41"/>
        <v/>
      </c>
      <c r="G64" s="1024" t="str">
        <f t="shared" si="37"/>
        <v/>
      </c>
      <c r="I64" s="1024" t="str">
        <f t="shared" si="38"/>
        <v/>
      </c>
      <c r="K64" s="1024" t="str">
        <f t="shared" si="39"/>
        <v/>
      </c>
      <c r="M64" s="1024" t="str">
        <f t="shared" si="40"/>
        <v/>
      </c>
      <c r="O64" s="1024" t="str">
        <f t="shared" si="42"/>
        <v/>
      </c>
      <c r="Q64" s="1024" t="str">
        <f t="shared" si="23"/>
        <v/>
      </c>
      <c r="S64" s="1024" t="str">
        <f t="shared" si="24"/>
        <v/>
      </c>
      <c r="U64" s="1024" t="str">
        <f t="shared" si="25"/>
        <v/>
      </c>
      <c r="W64" s="1024" t="str">
        <f t="shared" si="26"/>
        <v/>
      </c>
      <c r="Y64" s="1024" t="str">
        <f t="shared" si="27"/>
        <v/>
      </c>
      <c r="AA64" s="1024" t="str">
        <f t="shared" si="36"/>
        <v/>
      </c>
      <c r="AC64" s="1024" t="str">
        <f t="shared" si="28"/>
        <v/>
      </c>
      <c r="AE64" s="1024" t="str">
        <f t="shared" si="29"/>
        <v/>
      </c>
      <c r="AG64" s="1024" t="str">
        <f t="shared" si="30"/>
        <v/>
      </c>
      <c r="AI64" s="1024" t="str">
        <f t="shared" si="31"/>
        <v/>
      </c>
      <c r="AK64" s="1024" t="str">
        <f t="shared" si="32"/>
        <v/>
      </c>
      <c r="AM64" s="1024" t="str">
        <f t="shared" si="33"/>
        <v/>
      </c>
      <c r="AO64" s="1024" t="str">
        <f t="shared" si="34"/>
        <v/>
      </c>
      <c r="AQ64" s="1024" t="str">
        <f t="shared" si="35"/>
        <v/>
      </c>
    </row>
    <row r="65" spans="5:43" x14ac:dyDescent="0.2">
      <c r="E65" s="1024" t="str">
        <f t="shared" si="41"/>
        <v/>
      </c>
      <c r="G65" s="1024" t="str">
        <f t="shared" si="37"/>
        <v/>
      </c>
      <c r="I65" s="1024" t="str">
        <f t="shared" si="38"/>
        <v/>
      </c>
      <c r="K65" s="1024" t="str">
        <f t="shared" si="39"/>
        <v/>
      </c>
      <c r="M65" s="1024" t="str">
        <f t="shared" si="40"/>
        <v/>
      </c>
      <c r="O65" s="1024" t="str">
        <f t="shared" si="42"/>
        <v/>
      </c>
      <c r="Q65" s="1024" t="str">
        <f t="shared" si="23"/>
        <v/>
      </c>
      <c r="S65" s="1024" t="str">
        <f t="shared" si="24"/>
        <v/>
      </c>
      <c r="U65" s="1024" t="str">
        <f t="shared" si="25"/>
        <v/>
      </c>
      <c r="W65" s="1024" t="str">
        <f t="shared" si="26"/>
        <v/>
      </c>
      <c r="Y65" s="1024" t="str">
        <f t="shared" si="27"/>
        <v/>
      </c>
      <c r="AA65" s="1024" t="str">
        <f t="shared" si="36"/>
        <v/>
      </c>
      <c r="AC65" s="1024" t="str">
        <f t="shared" si="28"/>
        <v/>
      </c>
      <c r="AE65" s="1024" t="str">
        <f t="shared" si="29"/>
        <v/>
      </c>
      <c r="AG65" s="1024" t="str">
        <f t="shared" si="30"/>
        <v/>
      </c>
      <c r="AI65" s="1024" t="str">
        <f t="shared" si="31"/>
        <v/>
      </c>
      <c r="AK65" s="1024" t="str">
        <f t="shared" si="32"/>
        <v/>
      </c>
      <c r="AM65" s="1024" t="str">
        <f t="shared" si="33"/>
        <v/>
      </c>
      <c r="AO65" s="1024" t="str">
        <f t="shared" si="34"/>
        <v/>
      </c>
      <c r="AQ65" s="1024" t="str">
        <f t="shared" si="35"/>
        <v/>
      </c>
    </row>
    <row r="66" spans="5:43" x14ac:dyDescent="0.2">
      <c r="E66" s="1024" t="str">
        <f t="shared" si="41"/>
        <v/>
      </c>
      <c r="G66" s="1024" t="str">
        <f t="shared" si="37"/>
        <v/>
      </c>
      <c r="I66" s="1024" t="str">
        <f t="shared" si="38"/>
        <v/>
      </c>
      <c r="K66" s="1024" t="str">
        <f t="shared" si="39"/>
        <v/>
      </c>
      <c r="M66" s="1024" t="str">
        <f t="shared" si="40"/>
        <v/>
      </c>
      <c r="O66" s="1024" t="str">
        <f t="shared" si="42"/>
        <v/>
      </c>
      <c r="Q66" s="1024" t="str">
        <f t="shared" si="23"/>
        <v/>
      </c>
      <c r="S66" s="1024" t="str">
        <f t="shared" si="24"/>
        <v/>
      </c>
      <c r="U66" s="1024" t="str">
        <f t="shared" si="25"/>
        <v/>
      </c>
      <c r="W66" s="1024" t="str">
        <f t="shared" si="26"/>
        <v/>
      </c>
      <c r="Y66" s="1024" t="str">
        <f t="shared" si="27"/>
        <v/>
      </c>
      <c r="AA66" s="1024" t="str">
        <f t="shared" si="36"/>
        <v/>
      </c>
      <c r="AC66" s="1024" t="str">
        <f t="shared" si="28"/>
        <v/>
      </c>
      <c r="AE66" s="1024" t="str">
        <f t="shared" si="29"/>
        <v/>
      </c>
      <c r="AG66" s="1024" t="str">
        <f t="shared" si="30"/>
        <v/>
      </c>
      <c r="AI66" s="1024" t="str">
        <f t="shared" si="31"/>
        <v/>
      </c>
      <c r="AK66" s="1024" t="str">
        <f t="shared" si="32"/>
        <v/>
      </c>
      <c r="AM66" s="1024" t="str">
        <f t="shared" si="33"/>
        <v/>
      </c>
      <c r="AO66" s="1024" t="str">
        <f t="shared" si="34"/>
        <v/>
      </c>
      <c r="AQ66" s="1024" t="str">
        <f t="shared" si="35"/>
        <v/>
      </c>
    </row>
    <row r="67" spans="5:43" x14ac:dyDescent="0.2">
      <c r="E67" s="1024" t="str">
        <f t="shared" si="41"/>
        <v/>
      </c>
      <c r="G67" s="1024" t="str">
        <f t="shared" si="37"/>
        <v/>
      </c>
      <c r="I67" s="1024" t="str">
        <f t="shared" si="38"/>
        <v/>
      </c>
      <c r="K67" s="1024" t="str">
        <f t="shared" si="39"/>
        <v/>
      </c>
      <c r="M67" s="1024" t="str">
        <f t="shared" si="40"/>
        <v/>
      </c>
      <c r="O67" s="1024" t="str">
        <f t="shared" si="42"/>
        <v/>
      </c>
      <c r="Q67" s="1024" t="str">
        <f t="shared" si="23"/>
        <v/>
      </c>
      <c r="S67" s="1024" t="str">
        <f t="shared" si="24"/>
        <v/>
      </c>
      <c r="U67" s="1024" t="str">
        <f t="shared" si="25"/>
        <v/>
      </c>
      <c r="W67" s="1024" t="str">
        <f t="shared" si="26"/>
        <v/>
      </c>
      <c r="Y67" s="1024" t="str">
        <f t="shared" si="27"/>
        <v/>
      </c>
      <c r="AA67" s="1024" t="str">
        <f t="shared" si="36"/>
        <v/>
      </c>
      <c r="AC67" s="1024" t="str">
        <f t="shared" si="28"/>
        <v/>
      </c>
      <c r="AE67" s="1024" t="str">
        <f t="shared" si="29"/>
        <v/>
      </c>
      <c r="AG67" s="1024" t="str">
        <f t="shared" si="30"/>
        <v/>
      </c>
      <c r="AI67" s="1024" t="str">
        <f t="shared" si="31"/>
        <v/>
      </c>
      <c r="AK67" s="1024" t="str">
        <f t="shared" si="32"/>
        <v/>
      </c>
      <c r="AM67" s="1024" t="str">
        <f t="shared" si="33"/>
        <v/>
      </c>
      <c r="AO67" s="1024" t="str">
        <f t="shared" si="34"/>
        <v/>
      </c>
      <c r="AQ67" s="1024" t="str">
        <f t="shared" si="35"/>
        <v/>
      </c>
    </row>
    <row r="68" spans="5:43" x14ac:dyDescent="0.2">
      <c r="E68" s="1024" t="str">
        <f t="shared" si="41"/>
        <v/>
      </c>
      <c r="G68" s="1024" t="str">
        <f t="shared" si="37"/>
        <v/>
      </c>
      <c r="I68" s="1024" t="str">
        <f t="shared" si="38"/>
        <v/>
      </c>
      <c r="K68" s="1024" t="str">
        <f t="shared" si="39"/>
        <v/>
      </c>
      <c r="M68" s="1024" t="str">
        <f t="shared" si="40"/>
        <v/>
      </c>
      <c r="O68" s="1024" t="str">
        <f t="shared" si="42"/>
        <v/>
      </c>
      <c r="Q68" s="1024" t="str">
        <f t="shared" si="23"/>
        <v/>
      </c>
      <c r="S68" s="1024" t="str">
        <f t="shared" si="24"/>
        <v/>
      </c>
      <c r="U68" s="1024" t="str">
        <f t="shared" si="25"/>
        <v/>
      </c>
      <c r="W68" s="1024" t="str">
        <f t="shared" si="26"/>
        <v/>
      </c>
      <c r="Y68" s="1024" t="str">
        <f t="shared" si="27"/>
        <v/>
      </c>
      <c r="AA68" s="1024" t="str">
        <f t="shared" si="36"/>
        <v/>
      </c>
      <c r="AC68" s="1024" t="str">
        <f t="shared" si="28"/>
        <v/>
      </c>
      <c r="AE68" s="1024" t="str">
        <f t="shared" si="29"/>
        <v/>
      </c>
      <c r="AG68" s="1024" t="str">
        <f t="shared" si="30"/>
        <v/>
      </c>
      <c r="AI68" s="1024" t="str">
        <f t="shared" si="31"/>
        <v/>
      </c>
      <c r="AK68" s="1024" t="str">
        <f t="shared" si="32"/>
        <v/>
      </c>
      <c r="AM68" s="1024" t="str">
        <f t="shared" si="33"/>
        <v/>
      </c>
      <c r="AO68" s="1024" t="str">
        <f t="shared" si="34"/>
        <v/>
      </c>
      <c r="AQ68" s="1024" t="str">
        <f t="shared" si="35"/>
        <v/>
      </c>
    </row>
    <row r="69" spans="5:43" x14ac:dyDescent="0.2">
      <c r="E69" s="1024" t="str">
        <f t="shared" si="41"/>
        <v/>
      </c>
      <c r="G69" s="1024" t="str">
        <f t="shared" si="37"/>
        <v/>
      </c>
      <c r="I69" s="1024" t="str">
        <f t="shared" si="38"/>
        <v/>
      </c>
      <c r="K69" s="1024" t="str">
        <f t="shared" si="39"/>
        <v/>
      </c>
      <c r="M69" s="1024" t="str">
        <f t="shared" si="40"/>
        <v/>
      </c>
      <c r="O69" s="1024" t="str">
        <f t="shared" si="42"/>
        <v/>
      </c>
      <c r="Q69" s="1024" t="str">
        <f t="shared" si="23"/>
        <v/>
      </c>
      <c r="S69" s="1024" t="str">
        <f t="shared" si="24"/>
        <v/>
      </c>
      <c r="U69" s="1024" t="str">
        <f t="shared" si="25"/>
        <v/>
      </c>
      <c r="W69" s="1024" t="str">
        <f t="shared" si="26"/>
        <v/>
      </c>
      <c r="Y69" s="1024" t="str">
        <f t="shared" si="27"/>
        <v/>
      </c>
      <c r="AA69" s="1024" t="str">
        <f t="shared" si="36"/>
        <v/>
      </c>
      <c r="AC69" s="1024" t="str">
        <f t="shared" si="28"/>
        <v/>
      </c>
      <c r="AE69" s="1024" t="str">
        <f t="shared" si="29"/>
        <v/>
      </c>
      <c r="AG69" s="1024" t="str">
        <f t="shared" si="30"/>
        <v/>
      </c>
      <c r="AI69" s="1024" t="str">
        <f t="shared" si="31"/>
        <v/>
      </c>
      <c r="AK69" s="1024" t="str">
        <f t="shared" si="32"/>
        <v/>
      </c>
      <c r="AM69" s="1024" t="str">
        <f t="shared" si="33"/>
        <v/>
      </c>
      <c r="AO69" s="1024" t="str">
        <f t="shared" si="34"/>
        <v/>
      </c>
      <c r="AQ69" s="1024" t="str">
        <f t="shared" si="35"/>
        <v/>
      </c>
    </row>
    <row r="70" spans="5:43" x14ac:dyDescent="0.2">
      <c r="E70" s="1024" t="str">
        <f t="shared" si="41"/>
        <v/>
      </c>
      <c r="G70" s="1024" t="str">
        <f t="shared" si="37"/>
        <v/>
      </c>
      <c r="I70" s="1024" t="str">
        <f t="shared" si="38"/>
        <v/>
      </c>
      <c r="K70" s="1024" t="str">
        <f t="shared" si="39"/>
        <v/>
      </c>
      <c r="M70" s="1024" t="str">
        <f t="shared" si="40"/>
        <v/>
      </c>
      <c r="O70" s="1024" t="str">
        <f t="shared" si="42"/>
        <v/>
      </c>
      <c r="Q70" s="1024" t="str">
        <f t="shared" si="23"/>
        <v/>
      </c>
      <c r="S70" s="1024" t="str">
        <f t="shared" si="24"/>
        <v/>
      </c>
      <c r="U70" s="1024" t="str">
        <f t="shared" si="25"/>
        <v/>
      </c>
      <c r="W70" s="1024" t="str">
        <f t="shared" si="26"/>
        <v/>
      </c>
      <c r="Y70" s="1024" t="str">
        <f t="shared" si="27"/>
        <v/>
      </c>
      <c r="AA70" s="1024" t="str">
        <f t="shared" si="36"/>
        <v/>
      </c>
      <c r="AC70" s="1024" t="str">
        <f t="shared" si="28"/>
        <v/>
      </c>
      <c r="AE70" s="1024" t="str">
        <f t="shared" si="29"/>
        <v/>
      </c>
      <c r="AG70" s="1024" t="str">
        <f t="shared" si="30"/>
        <v/>
      </c>
      <c r="AI70" s="1024" t="str">
        <f t="shared" si="31"/>
        <v/>
      </c>
      <c r="AK70" s="1024" t="str">
        <f t="shared" si="32"/>
        <v/>
      </c>
      <c r="AM70" s="1024" t="str">
        <f t="shared" si="33"/>
        <v/>
      </c>
      <c r="AO70" s="1024" t="str">
        <f t="shared" si="34"/>
        <v/>
      </c>
      <c r="AQ70" s="1024" t="str">
        <f t="shared" si="35"/>
        <v/>
      </c>
    </row>
    <row r="71" spans="5:43" x14ac:dyDescent="0.2">
      <c r="E71" s="1024" t="str">
        <f t="shared" si="41"/>
        <v/>
      </c>
      <c r="G71" s="1024" t="str">
        <f t="shared" si="37"/>
        <v/>
      </c>
      <c r="I71" s="1024" t="str">
        <f t="shared" si="38"/>
        <v/>
      </c>
      <c r="K71" s="1024" t="str">
        <f t="shared" si="39"/>
        <v/>
      </c>
      <c r="M71" s="1024" t="str">
        <f t="shared" si="40"/>
        <v/>
      </c>
      <c r="O71" s="1024" t="str">
        <f t="shared" si="42"/>
        <v/>
      </c>
      <c r="Q71" s="1024" t="str">
        <f t="shared" si="23"/>
        <v/>
      </c>
      <c r="S71" s="1024" t="str">
        <f t="shared" si="24"/>
        <v/>
      </c>
      <c r="U71" s="1024" t="str">
        <f t="shared" si="25"/>
        <v/>
      </c>
      <c r="W71" s="1024" t="str">
        <f t="shared" si="26"/>
        <v/>
      </c>
      <c r="Y71" s="1024" t="str">
        <f t="shared" si="27"/>
        <v/>
      </c>
      <c r="AA71" s="1024" t="str">
        <f t="shared" si="36"/>
        <v/>
      </c>
      <c r="AC71" s="1024" t="str">
        <f t="shared" si="28"/>
        <v/>
      </c>
      <c r="AE71" s="1024" t="str">
        <f t="shared" si="29"/>
        <v/>
      </c>
      <c r="AG71" s="1024" t="str">
        <f t="shared" si="30"/>
        <v/>
      </c>
      <c r="AI71" s="1024" t="str">
        <f t="shared" si="31"/>
        <v/>
      </c>
      <c r="AK71" s="1024" t="str">
        <f t="shared" si="32"/>
        <v/>
      </c>
      <c r="AM71" s="1024" t="str">
        <f t="shared" si="33"/>
        <v/>
      </c>
      <c r="AO71" s="1024" t="str">
        <f t="shared" si="34"/>
        <v/>
      </c>
      <c r="AQ71" s="1024" t="str">
        <f t="shared" si="35"/>
        <v/>
      </c>
    </row>
    <row r="72" spans="5:43" x14ac:dyDescent="0.2">
      <c r="E72" s="1024" t="str">
        <f t="shared" si="41"/>
        <v/>
      </c>
      <c r="G72" s="1024" t="str">
        <f t="shared" si="37"/>
        <v/>
      </c>
      <c r="I72" s="1024" t="str">
        <f t="shared" si="38"/>
        <v/>
      </c>
      <c r="K72" s="1024" t="str">
        <f t="shared" si="39"/>
        <v/>
      </c>
      <c r="M72" s="1024" t="str">
        <f t="shared" si="40"/>
        <v/>
      </c>
      <c r="O72" s="1024" t="str">
        <f t="shared" si="42"/>
        <v/>
      </c>
      <c r="Q72" s="1024" t="str">
        <f t="shared" si="23"/>
        <v/>
      </c>
      <c r="S72" s="1024" t="str">
        <f t="shared" si="24"/>
        <v/>
      </c>
      <c r="U72" s="1024" t="str">
        <f t="shared" si="25"/>
        <v/>
      </c>
      <c r="W72" s="1024" t="str">
        <f t="shared" si="26"/>
        <v/>
      </c>
      <c r="Y72" s="1024" t="str">
        <f t="shared" si="27"/>
        <v/>
      </c>
      <c r="AA72" s="1024" t="str">
        <f t="shared" si="36"/>
        <v/>
      </c>
      <c r="AC72" s="1024" t="str">
        <f t="shared" si="28"/>
        <v/>
      </c>
      <c r="AE72" s="1024" t="str">
        <f t="shared" si="29"/>
        <v/>
      </c>
      <c r="AG72" s="1024" t="str">
        <f t="shared" si="30"/>
        <v/>
      </c>
      <c r="AI72" s="1024" t="str">
        <f t="shared" si="31"/>
        <v/>
      </c>
      <c r="AK72" s="1024" t="str">
        <f t="shared" si="32"/>
        <v/>
      </c>
      <c r="AM72" s="1024" t="str">
        <f t="shared" si="33"/>
        <v/>
      </c>
      <c r="AO72" s="1024" t="str">
        <f t="shared" si="34"/>
        <v/>
      </c>
      <c r="AQ72" s="1024" t="str">
        <f t="shared" si="35"/>
        <v/>
      </c>
    </row>
    <row r="73" spans="5:43" x14ac:dyDescent="0.2">
      <c r="E73" s="1024" t="str">
        <f t="shared" si="41"/>
        <v/>
      </c>
      <c r="G73" s="1024" t="str">
        <f t="shared" si="37"/>
        <v/>
      </c>
      <c r="I73" s="1024" t="str">
        <f t="shared" si="38"/>
        <v/>
      </c>
      <c r="K73" s="1024" t="str">
        <f t="shared" si="39"/>
        <v/>
      </c>
      <c r="M73" s="1024" t="str">
        <f t="shared" si="40"/>
        <v/>
      </c>
      <c r="O73" s="1024" t="str">
        <f t="shared" si="42"/>
        <v/>
      </c>
      <c r="Q73" s="1024" t="str">
        <f t="shared" si="23"/>
        <v/>
      </c>
      <c r="S73" s="1024" t="str">
        <f t="shared" si="24"/>
        <v/>
      </c>
      <c r="U73" s="1024" t="str">
        <f t="shared" si="25"/>
        <v/>
      </c>
      <c r="W73" s="1024" t="str">
        <f t="shared" si="26"/>
        <v/>
      </c>
      <c r="Y73" s="1024" t="str">
        <f t="shared" si="27"/>
        <v/>
      </c>
      <c r="AA73" s="1024" t="str">
        <f t="shared" si="36"/>
        <v/>
      </c>
      <c r="AC73" s="1024" t="str">
        <f t="shared" si="28"/>
        <v/>
      </c>
      <c r="AE73" s="1024" t="str">
        <f t="shared" si="29"/>
        <v/>
      </c>
      <c r="AG73" s="1024" t="str">
        <f t="shared" si="30"/>
        <v/>
      </c>
      <c r="AI73" s="1024" t="str">
        <f t="shared" si="31"/>
        <v/>
      </c>
      <c r="AK73" s="1024" t="str">
        <f t="shared" si="32"/>
        <v/>
      </c>
      <c r="AM73" s="1024" t="str">
        <f t="shared" si="33"/>
        <v/>
      </c>
      <c r="AO73" s="1024" t="str">
        <f t="shared" si="34"/>
        <v/>
      </c>
      <c r="AQ73" s="1024" t="str">
        <f t="shared" si="35"/>
        <v/>
      </c>
    </row>
    <row r="74" spans="5:43" x14ac:dyDescent="0.2">
      <c r="E74" s="1024" t="str">
        <f t="shared" si="41"/>
        <v/>
      </c>
      <c r="G74" s="1024" t="str">
        <f t="shared" si="37"/>
        <v/>
      </c>
      <c r="I74" s="1024" t="str">
        <f t="shared" si="38"/>
        <v/>
      </c>
      <c r="K74" s="1024" t="str">
        <f t="shared" si="39"/>
        <v/>
      </c>
      <c r="M74" s="1024" t="str">
        <f t="shared" si="40"/>
        <v/>
      </c>
      <c r="O74" s="1024" t="str">
        <f t="shared" si="42"/>
        <v/>
      </c>
      <c r="Q74" s="1024" t="str">
        <f t="shared" si="23"/>
        <v/>
      </c>
      <c r="S74" s="1024" t="str">
        <f t="shared" si="24"/>
        <v/>
      </c>
      <c r="U74" s="1024" t="str">
        <f t="shared" si="25"/>
        <v/>
      </c>
      <c r="W74" s="1024" t="str">
        <f t="shared" si="26"/>
        <v/>
      </c>
      <c r="Y74" s="1024" t="str">
        <f t="shared" si="27"/>
        <v/>
      </c>
      <c r="AA74" s="1024" t="str">
        <f t="shared" si="36"/>
        <v/>
      </c>
      <c r="AC74" s="1024" t="str">
        <f t="shared" si="28"/>
        <v/>
      </c>
      <c r="AE74" s="1024" t="str">
        <f t="shared" si="29"/>
        <v/>
      </c>
      <c r="AG74" s="1024" t="str">
        <f t="shared" si="30"/>
        <v/>
      </c>
      <c r="AI74" s="1024" t="str">
        <f t="shared" si="31"/>
        <v/>
      </c>
      <c r="AK74" s="1024" t="str">
        <f t="shared" si="32"/>
        <v/>
      </c>
      <c r="AM74" s="1024" t="str">
        <f t="shared" si="33"/>
        <v/>
      </c>
      <c r="AO74" s="1024" t="str">
        <f t="shared" si="34"/>
        <v/>
      </c>
      <c r="AQ74" s="1024" t="str">
        <f t="shared" si="35"/>
        <v/>
      </c>
    </row>
    <row r="75" spans="5:43" x14ac:dyDescent="0.2">
      <c r="E75" s="1024" t="str">
        <f t="shared" si="41"/>
        <v/>
      </c>
      <c r="G75" s="1024" t="str">
        <f t="shared" si="37"/>
        <v/>
      </c>
      <c r="I75" s="1024" t="str">
        <f t="shared" si="38"/>
        <v/>
      </c>
      <c r="K75" s="1024" t="str">
        <f t="shared" si="39"/>
        <v/>
      </c>
      <c r="M75" s="1024" t="str">
        <f t="shared" si="40"/>
        <v/>
      </c>
      <c r="O75" s="1024" t="str">
        <f t="shared" si="42"/>
        <v/>
      </c>
      <c r="Q75" s="1024" t="str">
        <f t="shared" si="23"/>
        <v/>
      </c>
      <c r="S75" s="1024" t="str">
        <f t="shared" si="24"/>
        <v/>
      </c>
      <c r="U75" s="1024" t="str">
        <f t="shared" si="25"/>
        <v/>
      </c>
      <c r="W75" s="1024" t="str">
        <f t="shared" si="26"/>
        <v/>
      </c>
      <c r="Y75" s="1024" t="str">
        <f t="shared" si="27"/>
        <v/>
      </c>
      <c r="AA75" s="1024" t="str">
        <f t="shared" si="36"/>
        <v/>
      </c>
      <c r="AC75" s="1024" t="str">
        <f t="shared" si="28"/>
        <v/>
      </c>
      <c r="AE75" s="1024" t="str">
        <f t="shared" si="29"/>
        <v/>
      </c>
      <c r="AG75" s="1024" t="str">
        <f t="shared" si="30"/>
        <v/>
      </c>
      <c r="AI75" s="1024" t="str">
        <f t="shared" si="31"/>
        <v/>
      </c>
      <c r="AK75" s="1024" t="str">
        <f t="shared" si="32"/>
        <v/>
      </c>
      <c r="AM75" s="1024" t="str">
        <f t="shared" si="33"/>
        <v/>
      </c>
      <c r="AO75" s="1024" t="str">
        <f t="shared" si="34"/>
        <v/>
      </c>
      <c r="AQ75" s="1024" t="str">
        <f t="shared" si="35"/>
        <v/>
      </c>
    </row>
    <row r="76" spans="5:43" x14ac:dyDescent="0.2">
      <c r="E76" s="1024" t="str">
        <f t="shared" si="41"/>
        <v/>
      </c>
      <c r="G76" s="1024" t="str">
        <f t="shared" si="37"/>
        <v/>
      </c>
      <c r="I76" s="1024" t="str">
        <f t="shared" si="38"/>
        <v/>
      </c>
      <c r="K76" s="1024" t="str">
        <f t="shared" si="39"/>
        <v/>
      </c>
      <c r="M76" s="1024" t="str">
        <f t="shared" si="40"/>
        <v/>
      </c>
      <c r="O76" s="1024" t="str">
        <f t="shared" si="42"/>
        <v/>
      </c>
      <c r="Q76" s="1024" t="str">
        <f t="shared" si="23"/>
        <v/>
      </c>
      <c r="S76" s="1024" t="str">
        <f t="shared" si="24"/>
        <v/>
      </c>
      <c r="U76" s="1024" t="str">
        <f t="shared" si="25"/>
        <v/>
      </c>
      <c r="W76" s="1024" t="str">
        <f t="shared" si="26"/>
        <v/>
      </c>
      <c r="Y76" s="1024" t="str">
        <f t="shared" si="27"/>
        <v/>
      </c>
      <c r="AA76" s="1024" t="str">
        <f t="shared" si="36"/>
        <v/>
      </c>
      <c r="AC76" s="1024" t="str">
        <f t="shared" si="28"/>
        <v/>
      </c>
      <c r="AE76" s="1024" t="str">
        <f t="shared" si="29"/>
        <v/>
      </c>
      <c r="AG76" s="1024" t="str">
        <f t="shared" si="30"/>
        <v/>
      </c>
      <c r="AI76" s="1024" t="str">
        <f t="shared" si="31"/>
        <v/>
      </c>
      <c r="AK76" s="1024" t="str">
        <f t="shared" si="32"/>
        <v/>
      </c>
      <c r="AM76" s="1024" t="str">
        <f t="shared" si="33"/>
        <v/>
      </c>
      <c r="AO76" s="1024" t="str">
        <f t="shared" si="34"/>
        <v/>
      </c>
      <c r="AQ76" s="1024" t="str">
        <f t="shared" si="35"/>
        <v/>
      </c>
    </row>
    <row r="77" spans="5:43" x14ac:dyDescent="0.2">
      <c r="E77" s="1024" t="str">
        <f t="shared" si="41"/>
        <v/>
      </c>
      <c r="G77" s="1024" t="str">
        <f t="shared" si="37"/>
        <v/>
      </c>
      <c r="I77" s="1024" t="str">
        <f t="shared" si="38"/>
        <v/>
      </c>
      <c r="K77" s="1024" t="str">
        <f t="shared" si="39"/>
        <v/>
      </c>
      <c r="M77" s="1024" t="str">
        <f t="shared" si="40"/>
        <v/>
      </c>
      <c r="O77" s="1024" t="str">
        <f t="shared" si="42"/>
        <v/>
      </c>
      <c r="Q77" s="1024" t="str">
        <f t="shared" si="23"/>
        <v/>
      </c>
      <c r="S77" s="1024" t="str">
        <f t="shared" si="24"/>
        <v/>
      </c>
      <c r="U77" s="1024" t="str">
        <f t="shared" si="25"/>
        <v/>
      </c>
      <c r="W77" s="1024" t="str">
        <f t="shared" si="26"/>
        <v/>
      </c>
      <c r="Y77" s="1024" t="str">
        <f t="shared" si="27"/>
        <v/>
      </c>
      <c r="AA77" s="1024" t="str">
        <f t="shared" si="36"/>
        <v/>
      </c>
      <c r="AC77" s="1024" t="str">
        <f t="shared" si="28"/>
        <v/>
      </c>
      <c r="AE77" s="1024" t="str">
        <f t="shared" si="29"/>
        <v/>
      </c>
      <c r="AG77" s="1024" t="str">
        <f t="shared" si="30"/>
        <v/>
      </c>
      <c r="AI77" s="1024" t="str">
        <f t="shared" si="31"/>
        <v/>
      </c>
      <c r="AK77" s="1024" t="str">
        <f t="shared" si="32"/>
        <v/>
      </c>
      <c r="AM77" s="1024" t="str">
        <f t="shared" si="33"/>
        <v/>
      </c>
      <c r="AO77" s="1024" t="str">
        <f t="shared" si="34"/>
        <v/>
      </c>
      <c r="AQ77" s="1024" t="str">
        <f t="shared" si="35"/>
        <v/>
      </c>
    </row>
    <row r="78" spans="5:43" x14ac:dyDescent="0.2">
      <c r="E78" s="1024" t="str">
        <f t="shared" si="41"/>
        <v/>
      </c>
      <c r="G78" s="1024" t="str">
        <f t="shared" si="37"/>
        <v/>
      </c>
      <c r="I78" s="1024" t="str">
        <f t="shared" si="38"/>
        <v/>
      </c>
      <c r="K78" s="1024" t="str">
        <f t="shared" si="39"/>
        <v/>
      </c>
      <c r="M78" s="1024" t="str">
        <f t="shared" si="40"/>
        <v/>
      </c>
      <c r="O78" s="1024" t="str">
        <f t="shared" si="42"/>
        <v/>
      </c>
      <c r="Q78" s="1024" t="str">
        <f t="shared" si="23"/>
        <v/>
      </c>
      <c r="S78" s="1024" t="str">
        <f t="shared" si="24"/>
        <v/>
      </c>
      <c r="U78" s="1024" t="str">
        <f t="shared" si="25"/>
        <v/>
      </c>
      <c r="W78" s="1024" t="str">
        <f t="shared" si="26"/>
        <v/>
      </c>
      <c r="Y78" s="1024" t="str">
        <f t="shared" si="27"/>
        <v/>
      </c>
      <c r="AA78" s="1024" t="str">
        <f t="shared" si="36"/>
        <v/>
      </c>
      <c r="AC78" s="1024" t="str">
        <f t="shared" si="28"/>
        <v/>
      </c>
      <c r="AE78" s="1024" t="str">
        <f t="shared" si="29"/>
        <v/>
      </c>
      <c r="AG78" s="1024" t="str">
        <f t="shared" si="30"/>
        <v/>
      </c>
      <c r="AI78" s="1024" t="str">
        <f t="shared" si="31"/>
        <v/>
      </c>
      <c r="AK78" s="1024" t="str">
        <f t="shared" si="32"/>
        <v/>
      </c>
      <c r="AM78" s="1024" t="str">
        <f t="shared" si="33"/>
        <v/>
      </c>
      <c r="AO78" s="1024" t="str">
        <f t="shared" si="34"/>
        <v/>
      </c>
      <c r="AQ78" s="1024" t="str">
        <f t="shared" si="35"/>
        <v/>
      </c>
    </row>
    <row r="79" spans="5:43" x14ac:dyDescent="0.2">
      <c r="E79" s="1024" t="str">
        <f t="shared" si="41"/>
        <v/>
      </c>
      <c r="G79" s="1024" t="str">
        <f t="shared" si="37"/>
        <v/>
      </c>
      <c r="I79" s="1024" t="str">
        <f t="shared" si="38"/>
        <v/>
      </c>
      <c r="K79" s="1024" t="str">
        <f t="shared" si="39"/>
        <v/>
      </c>
      <c r="M79" s="1024" t="str">
        <f t="shared" si="40"/>
        <v/>
      </c>
      <c r="O79" s="1024" t="str">
        <f t="shared" si="42"/>
        <v/>
      </c>
      <c r="Q79" s="1024" t="str">
        <f t="shared" si="23"/>
        <v/>
      </c>
      <c r="S79" s="1024" t="str">
        <f t="shared" si="24"/>
        <v/>
      </c>
      <c r="U79" s="1024" t="str">
        <f t="shared" si="25"/>
        <v/>
      </c>
      <c r="W79" s="1024" t="str">
        <f t="shared" si="26"/>
        <v/>
      </c>
      <c r="Y79" s="1024" t="str">
        <f t="shared" si="27"/>
        <v/>
      </c>
      <c r="AA79" s="1024" t="str">
        <f t="shared" si="36"/>
        <v/>
      </c>
      <c r="AC79" s="1024" t="str">
        <f t="shared" si="28"/>
        <v/>
      </c>
      <c r="AE79" s="1024" t="str">
        <f t="shared" si="29"/>
        <v/>
      </c>
      <c r="AG79" s="1024" t="str">
        <f t="shared" si="30"/>
        <v/>
      </c>
      <c r="AI79" s="1024" t="str">
        <f t="shared" si="31"/>
        <v/>
      </c>
      <c r="AK79" s="1024" t="str">
        <f t="shared" si="32"/>
        <v/>
      </c>
      <c r="AM79" s="1024" t="str">
        <f t="shared" si="33"/>
        <v/>
      </c>
      <c r="AO79" s="1024" t="str">
        <f t="shared" si="34"/>
        <v/>
      </c>
      <c r="AQ79" s="1024" t="str">
        <f t="shared" si="35"/>
        <v/>
      </c>
    </row>
    <row r="80" spans="5:43" x14ac:dyDescent="0.2">
      <c r="E80" s="1024" t="str">
        <f t="shared" si="41"/>
        <v/>
      </c>
      <c r="G80" s="1024" t="str">
        <f t="shared" si="37"/>
        <v/>
      </c>
      <c r="I80" s="1024" t="str">
        <f t="shared" si="38"/>
        <v/>
      </c>
      <c r="K80" s="1024" t="str">
        <f t="shared" si="39"/>
        <v/>
      </c>
      <c r="M80" s="1024" t="str">
        <f t="shared" si="40"/>
        <v/>
      </c>
      <c r="O80" s="1024" t="str">
        <f t="shared" si="42"/>
        <v/>
      </c>
      <c r="Q80" s="1024" t="str">
        <f t="shared" si="23"/>
        <v/>
      </c>
      <c r="S80" s="1024" t="str">
        <f t="shared" si="24"/>
        <v/>
      </c>
      <c r="U80" s="1024" t="str">
        <f t="shared" si="25"/>
        <v/>
      </c>
      <c r="W80" s="1024" t="str">
        <f t="shared" si="26"/>
        <v/>
      </c>
      <c r="Y80" s="1024" t="str">
        <f t="shared" si="27"/>
        <v/>
      </c>
      <c r="AA80" s="1024" t="str">
        <f t="shared" si="36"/>
        <v/>
      </c>
      <c r="AC80" s="1024" t="str">
        <f t="shared" si="28"/>
        <v/>
      </c>
      <c r="AE80" s="1024" t="str">
        <f t="shared" si="29"/>
        <v/>
      </c>
      <c r="AG80" s="1024" t="str">
        <f t="shared" si="30"/>
        <v/>
      </c>
      <c r="AI80" s="1024" t="str">
        <f t="shared" si="31"/>
        <v/>
      </c>
      <c r="AK80" s="1024" t="str">
        <f t="shared" si="32"/>
        <v/>
      </c>
      <c r="AM80" s="1024" t="str">
        <f t="shared" si="33"/>
        <v/>
      </c>
      <c r="AO80" s="1024" t="str">
        <f t="shared" si="34"/>
        <v/>
      </c>
      <c r="AQ80" s="1024" t="str">
        <f t="shared" si="35"/>
        <v/>
      </c>
    </row>
    <row r="81" spans="5:43" x14ac:dyDescent="0.2">
      <c r="E81" s="1024" t="str">
        <f t="shared" si="41"/>
        <v/>
      </c>
      <c r="G81" s="1024" t="str">
        <f t="shared" si="37"/>
        <v/>
      </c>
      <c r="I81" s="1024" t="str">
        <f t="shared" si="38"/>
        <v/>
      </c>
      <c r="K81" s="1024" t="str">
        <f t="shared" si="39"/>
        <v/>
      </c>
      <c r="M81" s="1024" t="str">
        <f t="shared" si="40"/>
        <v/>
      </c>
      <c r="O81" s="1024" t="str">
        <f t="shared" si="42"/>
        <v/>
      </c>
      <c r="Q81" s="1024" t="str">
        <f t="shared" si="23"/>
        <v/>
      </c>
      <c r="S81" s="1024" t="str">
        <f t="shared" si="24"/>
        <v/>
      </c>
      <c r="U81" s="1024" t="str">
        <f t="shared" si="25"/>
        <v/>
      </c>
      <c r="W81" s="1024" t="str">
        <f t="shared" si="26"/>
        <v/>
      </c>
      <c r="Y81" s="1024" t="str">
        <f t="shared" si="27"/>
        <v/>
      </c>
      <c r="AA81" s="1024" t="str">
        <f t="shared" si="36"/>
        <v/>
      </c>
      <c r="AC81" s="1024" t="str">
        <f t="shared" si="28"/>
        <v/>
      </c>
      <c r="AE81" s="1024" t="str">
        <f t="shared" si="29"/>
        <v/>
      </c>
      <c r="AG81" s="1024" t="str">
        <f t="shared" si="30"/>
        <v/>
      </c>
      <c r="AI81" s="1024" t="str">
        <f t="shared" si="31"/>
        <v/>
      </c>
      <c r="AK81" s="1024" t="str">
        <f t="shared" si="32"/>
        <v/>
      </c>
      <c r="AM81" s="1024" t="str">
        <f t="shared" si="33"/>
        <v/>
      </c>
      <c r="AO81" s="1024" t="str">
        <f t="shared" si="34"/>
        <v/>
      </c>
      <c r="AQ81" s="1024" t="str">
        <f t="shared" si="35"/>
        <v/>
      </c>
    </row>
    <row r="82" spans="5:43" x14ac:dyDescent="0.2">
      <c r="E82" s="1024" t="str">
        <f t="shared" si="41"/>
        <v/>
      </c>
      <c r="G82" s="1024" t="str">
        <f t="shared" si="37"/>
        <v/>
      </c>
      <c r="I82" s="1024" t="str">
        <f t="shared" si="38"/>
        <v/>
      </c>
      <c r="K82" s="1024" t="str">
        <f t="shared" si="39"/>
        <v/>
      </c>
      <c r="M82" s="1024" t="str">
        <f t="shared" si="40"/>
        <v/>
      </c>
      <c r="O82" s="1024" t="str">
        <f t="shared" si="42"/>
        <v/>
      </c>
      <c r="Q82" s="1024" t="str">
        <f t="shared" si="23"/>
        <v/>
      </c>
      <c r="S82" s="1024" t="str">
        <f t="shared" si="24"/>
        <v/>
      </c>
      <c r="U82" s="1024" t="str">
        <f t="shared" si="25"/>
        <v/>
      </c>
      <c r="W82" s="1024" t="str">
        <f t="shared" si="26"/>
        <v/>
      </c>
      <c r="Y82" s="1024" t="str">
        <f t="shared" si="27"/>
        <v/>
      </c>
      <c r="AA82" s="1024" t="str">
        <f t="shared" si="36"/>
        <v/>
      </c>
      <c r="AC82" s="1024" t="str">
        <f t="shared" si="28"/>
        <v/>
      </c>
      <c r="AE82" s="1024" t="str">
        <f t="shared" si="29"/>
        <v/>
      </c>
      <c r="AG82" s="1024" t="str">
        <f t="shared" si="30"/>
        <v/>
      </c>
      <c r="AI82" s="1024" t="str">
        <f t="shared" si="31"/>
        <v/>
      </c>
      <c r="AK82" s="1024" t="str">
        <f t="shared" si="32"/>
        <v/>
      </c>
      <c r="AM82" s="1024" t="str">
        <f t="shared" si="33"/>
        <v/>
      </c>
      <c r="AO82" s="1024" t="str">
        <f t="shared" si="34"/>
        <v/>
      </c>
      <c r="AQ82" s="1024" t="str">
        <f t="shared" si="35"/>
        <v/>
      </c>
    </row>
    <row r="83" spans="5:43" x14ac:dyDescent="0.2">
      <c r="E83" s="1024" t="str">
        <f t="shared" si="41"/>
        <v/>
      </c>
      <c r="G83" s="1024" t="str">
        <f t="shared" si="37"/>
        <v/>
      </c>
      <c r="I83" s="1024" t="str">
        <f t="shared" si="38"/>
        <v/>
      </c>
      <c r="K83" s="1024" t="str">
        <f t="shared" si="39"/>
        <v/>
      </c>
      <c r="M83" s="1024" t="str">
        <f t="shared" si="40"/>
        <v/>
      </c>
      <c r="O83" s="1024" t="str">
        <f t="shared" si="42"/>
        <v/>
      </c>
      <c r="Q83" s="1024" t="str">
        <f t="shared" si="23"/>
        <v/>
      </c>
      <c r="S83" s="1024" t="str">
        <f t="shared" si="24"/>
        <v/>
      </c>
      <c r="U83" s="1024" t="str">
        <f t="shared" si="25"/>
        <v/>
      </c>
      <c r="W83" s="1024" t="str">
        <f t="shared" si="26"/>
        <v/>
      </c>
      <c r="Y83" s="1024" t="str">
        <f t="shared" si="27"/>
        <v/>
      </c>
      <c r="AA83" s="1024" t="str">
        <f t="shared" si="36"/>
        <v/>
      </c>
      <c r="AC83" s="1024" t="str">
        <f t="shared" si="28"/>
        <v/>
      </c>
      <c r="AE83" s="1024" t="str">
        <f t="shared" si="29"/>
        <v/>
      </c>
      <c r="AG83" s="1024" t="str">
        <f t="shared" si="30"/>
        <v/>
      </c>
      <c r="AI83" s="1024" t="str">
        <f t="shared" si="31"/>
        <v/>
      </c>
      <c r="AK83" s="1024" t="str">
        <f t="shared" si="32"/>
        <v/>
      </c>
      <c r="AM83" s="1024" t="str">
        <f t="shared" si="33"/>
        <v/>
      </c>
      <c r="AO83" s="1024" t="str">
        <f t="shared" si="34"/>
        <v/>
      </c>
      <c r="AQ83" s="1024" t="str">
        <f t="shared" si="35"/>
        <v/>
      </c>
    </row>
    <row r="84" spans="5:43" x14ac:dyDescent="0.2">
      <c r="E84" s="1024" t="str">
        <f t="shared" si="41"/>
        <v/>
      </c>
      <c r="G84" s="1024" t="str">
        <f t="shared" si="37"/>
        <v/>
      </c>
      <c r="I84" s="1024" t="str">
        <f t="shared" si="38"/>
        <v/>
      </c>
      <c r="K84" s="1024" t="str">
        <f t="shared" si="39"/>
        <v/>
      </c>
      <c r="M84" s="1024" t="str">
        <f t="shared" si="40"/>
        <v/>
      </c>
      <c r="O84" s="1024" t="str">
        <f t="shared" si="42"/>
        <v/>
      </c>
      <c r="Q84" s="1024" t="str">
        <f t="shared" si="23"/>
        <v/>
      </c>
      <c r="S84" s="1024" t="str">
        <f t="shared" si="24"/>
        <v/>
      </c>
      <c r="U84" s="1024" t="str">
        <f t="shared" si="25"/>
        <v/>
      </c>
      <c r="W84" s="1024" t="str">
        <f t="shared" si="26"/>
        <v/>
      </c>
      <c r="Y84" s="1024" t="str">
        <f t="shared" si="27"/>
        <v/>
      </c>
      <c r="AA84" s="1024" t="str">
        <f t="shared" si="36"/>
        <v/>
      </c>
      <c r="AC84" s="1024" t="str">
        <f t="shared" si="28"/>
        <v/>
      </c>
      <c r="AE84" s="1024" t="str">
        <f t="shared" si="29"/>
        <v/>
      </c>
      <c r="AG84" s="1024" t="str">
        <f t="shared" si="30"/>
        <v/>
      </c>
      <c r="AI84" s="1024" t="str">
        <f t="shared" si="31"/>
        <v/>
      </c>
      <c r="AK84" s="1024" t="str">
        <f t="shared" si="32"/>
        <v/>
      </c>
      <c r="AM84" s="1024" t="str">
        <f t="shared" si="33"/>
        <v/>
      </c>
      <c r="AO84" s="1024" t="str">
        <f t="shared" si="34"/>
        <v/>
      </c>
      <c r="AQ84" s="1024" t="str">
        <f t="shared" si="35"/>
        <v/>
      </c>
    </row>
    <row r="85" spans="5:43" x14ac:dyDescent="0.2">
      <c r="E85" s="1024" t="str">
        <f t="shared" si="41"/>
        <v/>
      </c>
      <c r="G85" s="1024" t="str">
        <f t="shared" si="37"/>
        <v/>
      </c>
      <c r="I85" s="1024" t="str">
        <f t="shared" si="38"/>
        <v/>
      </c>
      <c r="K85" s="1024" t="str">
        <f t="shared" si="39"/>
        <v/>
      </c>
      <c r="M85" s="1024" t="str">
        <f t="shared" si="40"/>
        <v/>
      </c>
      <c r="O85" s="1024" t="str">
        <f t="shared" si="42"/>
        <v/>
      </c>
      <c r="Q85" s="1024" t="str">
        <f t="shared" si="23"/>
        <v/>
      </c>
      <c r="S85" s="1024" t="str">
        <f t="shared" si="24"/>
        <v/>
      </c>
      <c r="U85" s="1024" t="str">
        <f t="shared" si="25"/>
        <v/>
      </c>
      <c r="W85" s="1024" t="str">
        <f t="shared" si="26"/>
        <v/>
      </c>
      <c r="Y85" s="1024" t="str">
        <f t="shared" si="27"/>
        <v/>
      </c>
      <c r="AA85" s="1024" t="str">
        <f t="shared" si="36"/>
        <v/>
      </c>
      <c r="AC85" s="1024" t="str">
        <f t="shared" si="28"/>
        <v/>
      </c>
      <c r="AE85" s="1024" t="str">
        <f t="shared" si="29"/>
        <v/>
      </c>
      <c r="AG85" s="1024" t="str">
        <f t="shared" si="30"/>
        <v/>
      </c>
      <c r="AI85" s="1024" t="str">
        <f t="shared" si="31"/>
        <v/>
      </c>
      <c r="AK85" s="1024" t="str">
        <f t="shared" si="32"/>
        <v/>
      </c>
      <c r="AM85" s="1024" t="str">
        <f t="shared" si="33"/>
        <v/>
      </c>
      <c r="AO85" s="1024" t="str">
        <f t="shared" si="34"/>
        <v/>
      </c>
      <c r="AQ85" s="1024" t="str">
        <f t="shared" si="35"/>
        <v/>
      </c>
    </row>
    <row r="86" spans="5:43" x14ac:dyDescent="0.2">
      <c r="E86" s="1024" t="str">
        <f t="shared" si="41"/>
        <v/>
      </c>
      <c r="G86" s="1024" t="str">
        <f t="shared" si="37"/>
        <v/>
      </c>
      <c r="I86" s="1024" t="str">
        <f t="shared" si="38"/>
        <v/>
      </c>
      <c r="K86" s="1024" t="str">
        <f t="shared" si="39"/>
        <v/>
      </c>
      <c r="M86" s="1024" t="str">
        <f t="shared" si="40"/>
        <v/>
      </c>
      <c r="O86" s="1024" t="str">
        <f t="shared" si="42"/>
        <v/>
      </c>
      <c r="Q86" s="1024" t="str">
        <f t="shared" si="23"/>
        <v/>
      </c>
      <c r="S86" s="1024" t="str">
        <f t="shared" si="24"/>
        <v/>
      </c>
      <c r="U86" s="1024" t="str">
        <f t="shared" si="25"/>
        <v/>
      </c>
      <c r="W86" s="1024" t="str">
        <f t="shared" si="26"/>
        <v/>
      </c>
      <c r="Y86" s="1024" t="str">
        <f t="shared" si="27"/>
        <v/>
      </c>
      <c r="AA86" s="1024" t="str">
        <f t="shared" si="36"/>
        <v/>
      </c>
      <c r="AC86" s="1024" t="str">
        <f t="shared" si="28"/>
        <v/>
      </c>
      <c r="AE86" s="1024" t="str">
        <f t="shared" si="29"/>
        <v/>
      </c>
      <c r="AG86" s="1024" t="str">
        <f t="shared" si="30"/>
        <v/>
      </c>
      <c r="AI86" s="1024" t="str">
        <f t="shared" si="31"/>
        <v/>
      </c>
      <c r="AK86" s="1024" t="str">
        <f t="shared" si="32"/>
        <v/>
      </c>
      <c r="AM86" s="1024" t="str">
        <f t="shared" si="33"/>
        <v/>
      </c>
      <c r="AO86" s="1024" t="str">
        <f t="shared" si="34"/>
        <v/>
      </c>
      <c r="AQ86" s="1024" t="str">
        <f t="shared" si="35"/>
        <v/>
      </c>
    </row>
    <row r="87" spans="5:43" x14ac:dyDescent="0.2">
      <c r="E87" s="1024" t="str">
        <f t="shared" si="41"/>
        <v/>
      </c>
      <c r="G87" s="1024" t="str">
        <f t="shared" si="37"/>
        <v/>
      </c>
      <c r="I87" s="1024" t="str">
        <f t="shared" si="38"/>
        <v/>
      </c>
      <c r="K87" s="1024" t="str">
        <f t="shared" si="39"/>
        <v/>
      </c>
      <c r="M87" s="1024" t="str">
        <f t="shared" si="40"/>
        <v/>
      </c>
      <c r="O87" s="1024" t="str">
        <f t="shared" si="42"/>
        <v/>
      </c>
      <c r="Q87" s="1024" t="str">
        <f t="shared" si="23"/>
        <v/>
      </c>
      <c r="S87" s="1024" t="str">
        <f t="shared" si="24"/>
        <v/>
      </c>
      <c r="U87" s="1024" t="str">
        <f t="shared" si="25"/>
        <v/>
      </c>
      <c r="W87" s="1024" t="str">
        <f t="shared" si="26"/>
        <v/>
      </c>
      <c r="Y87" s="1024" t="str">
        <f t="shared" si="27"/>
        <v/>
      </c>
      <c r="AA87" s="1024" t="str">
        <f t="shared" si="36"/>
        <v/>
      </c>
      <c r="AC87" s="1024" t="str">
        <f t="shared" si="28"/>
        <v/>
      </c>
      <c r="AE87" s="1024" t="str">
        <f t="shared" si="29"/>
        <v/>
      </c>
      <c r="AG87" s="1024" t="str">
        <f t="shared" si="30"/>
        <v/>
      </c>
      <c r="AI87" s="1024" t="str">
        <f t="shared" si="31"/>
        <v/>
      </c>
      <c r="AK87" s="1024" t="str">
        <f t="shared" si="32"/>
        <v/>
      </c>
      <c r="AM87" s="1024" t="str">
        <f t="shared" si="33"/>
        <v/>
      </c>
      <c r="AO87" s="1024" t="str">
        <f t="shared" si="34"/>
        <v/>
      </c>
      <c r="AQ87" s="1024" t="str">
        <f t="shared" si="35"/>
        <v/>
      </c>
    </row>
    <row r="88" spans="5:43" x14ac:dyDescent="0.2">
      <c r="E88" s="1024" t="str">
        <f t="shared" si="41"/>
        <v/>
      </c>
      <c r="G88" s="1024" t="str">
        <f t="shared" si="37"/>
        <v/>
      </c>
      <c r="I88" s="1024" t="str">
        <f t="shared" si="38"/>
        <v/>
      </c>
      <c r="K88" s="1024" t="str">
        <f t="shared" si="39"/>
        <v/>
      </c>
      <c r="M88" s="1024" t="str">
        <f t="shared" si="40"/>
        <v/>
      </c>
      <c r="O88" s="1024" t="str">
        <f t="shared" si="42"/>
        <v/>
      </c>
      <c r="Q88" s="1024" t="str">
        <f t="shared" si="23"/>
        <v/>
      </c>
      <c r="S88" s="1024" t="str">
        <f t="shared" si="24"/>
        <v/>
      </c>
      <c r="U88" s="1024" t="str">
        <f t="shared" si="25"/>
        <v/>
      </c>
      <c r="W88" s="1024" t="str">
        <f t="shared" si="26"/>
        <v/>
      </c>
      <c r="Y88" s="1024" t="str">
        <f t="shared" si="27"/>
        <v/>
      </c>
      <c r="AA88" s="1024" t="str">
        <f t="shared" si="36"/>
        <v/>
      </c>
      <c r="AC88" s="1024" t="str">
        <f t="shared" si="28"/>
        <v/>
      </c>
      <c r="AE88" s="1024" t="str">
        <f t="shared" si="29"/>
        <v/>
      </c>
      <c r="AG88" s="1024" t="str">
        <f t="shared" si="30"/>
        <v/>
      </c>
      <c r="AI88" s="1024" t="str">
        <f t="shared" si="31"/>
        <v/>
      </c>
      <c r="AK88" s="1024" t="str">
        <f t="shared" si="32"/>
        <v/>
      </c>
      <c r="AM88" s="1024" t="str">
        <f t="shared" si="33"/>
        <v/>
      </c>
      <c r="AO88" s="1024" t="str">
        <f t="shared" si="34"/>
        <v/>
      </c>
      <c r="AQ88" s="1024" t="str">
        <f t="shared" si="35"/>
        <v/>
      </c>
    </row>
    <row r="89" spans="5:43" x14ac:dyDescent="0.2">
      <c r="E89" s="1024" t="str">
        <f t="shared" si="41"/>
        <v/>
      </c>
      <c r="G89" s="1024" t="str">
        <f t="shared" si="37"/>
        <v/>
      </c>
      <c r="I89" s="1024" t="str">
        <f t="shared" si="38"/>
        <v/>
      </c>
      <c r="K89" s="1024" t="str">
        <f t="shared" si="39"/>
        <v/>
      </c>
      <c r="M89" s="1024" t="str">
        <f t="shared" si="40"/>
        <v/>
      </c>
      <c r="O89" s="1024" t="str">
        <f t="shared" si="42"/>
        <v/>
      </c>
      <c r="Q89" s="1024" t="str">
        <f t="shared" si="23"/>
        <v/>
      </c>
      <c r="S89" s="1024" t="str">
        <f t="shared" si="24"/>
        <v/>
      </c>
      <c r="U89" s="1024" t="str">
        <f t="shared" si="25"/>
        <v/>
      </c>
      <c r="W89" s="1024" t="str">
        <f t="shared" si="26"/>
        <v/>
      </c>
      <c r="Y89" s="1024" t="str">
        <f t="shared" si="27"/>
        <v/>
      </c>
      <c r="AA89" s="1024" t="str">
        <f t="shared" si="36"/>
        <v/>
      </c>
      <c r="AC89" s="1024" t="str">
        <f t="shared" si="28"/>
        <v/>
      </c>
      <c r="AE89" s="1024" t="str">
        <f t="shared" si="29"/>
        <v/>
      </c>
      <c r="AG89" s="1024" t="str">
        <f t="shared" si="30"/>
        <v/>
      </c>
      <c r="AI89" s="1024" t="str">
        <f t="shared" si="31"/>
        <v/>
      </c>
      <c r="AK89" s="1024" t="str">
        <f t="shared" si="32"/>
        <v/>
      </c>
      <c r="AM89" s="1024" t="str">
        <f t="shared" si="33"/>
        <v/>
      </c>
      <c r="AO89" s="1024" t="str">
        <f t="shared" si="34"/>
        <v/>
      </c>
      <c r="AQ89" s="1024" t="str">
        <f t="shared" si="35"/>
        <v/>
      </c>
    </row>
    <row r="90" spans="5:43" x14ac:dyDescent="0.2">
      <c r="E90" s="1024" t="str">
        <f t="shared" si="41"/>
        <v/>
      </c>
      <c r="G90" s="1024" t="str">
        <f t="shared" si="37"/>
        <v/>
      </c>
      <c r="I90" s="1024" t="str">
        <f t="shared" si="38"/>
        <v/>
      </c>
      <c r="K90" s="1024" t="str">
        <f t="shared" si="39"/>
        <v/>
      </c>
      <c r="M90" s="1024" t="str">
        <f t="shared" si="40"/>
        <v/>
      </c>
      <c r="O90" s="1024" t="str">
        <f t="shared" si="42"/>
        <v/>
      </c>
      <c r="Q90" s="1024" t="str">
        <f t="shared" si="23"/>
        <v/>
      </c>
      <c r="S90" s="1024" t="str">
        <f t="shared" si="24"/>
        <v/>
      </c>
      <c r="U90" s="1024" t="str">
        <f t="shared" si="25"/>
        <v/>
      </c>
      <c r="W90" s="1024" t="str">
        <f t="shared" si="26"/>
        <v/>
      </c>
      <c r="Y90" s="1024" t="str">
        <f t="shared" si="27"/>
        <v/>
      </c>
      <c r="AA90" s="1024" t="str">
        <f t="shared" si="36"/>
        <v/>
      </c>
      <c r="AC90" s="1024" t="str">
        <f t="shared" si="28"/>
        <v/>
      </c>
      <c r="AE90" s="1024" t="str">
        <f t="shared" si="29"/>
        <v/>
      </c>
      <c r="AG90" s="1024" t="str">
        <f t="shared" si="30"/>
        <v/>
      </c>
      <c r="AI90" s="1024" t="str">
        <f t="shared" si="31"/>
        <v/>
      </c>
      <c r="AK90" s="1024" t="str">
        <f t="shared" si="32"/>
        <v/>
      </c>
      <c r="AM90" s="1024" t="str">
        <f t="shared" si="33"/>
        <v/>
      </c>
      <c r="AO90" s="1024" t="str">
        <f t="shared" si="34"/>
        <v/>
      </c>
      <c r="AQ90" s="1024" t="str">
        <f t="shared" si="35"/>
        <v/>
      </c>
    </row>
    <row r="91" spans="5:43" x14ac:dyDescent="0.2">
      <c r="E91" s="1024" t="str">
        <f t="shared" si="41"/>
        <v/>
      </c>
      <c r="G91" s="1024" t="str">
        <f t="shared" si="37"/>
        <v/>
      </c>
      <c r="I91" s="1024" t="str">
        <f t="shared" si="38"/>
        <v/>
      </c>
      <c r="K91" s="1024" t="str">
        <f t="shared" si="39"/>
        <v/>
      </c>
      <c r="M91" s="1024" t="str">
        <f t="shared" si="40"/>
        <v/>
      </c>
      <c r="O91" s="1024" t="str">
        <f t="shared" si="42"/>
        <v/>
      </c>
      <c r="Q91" s="1024" t="str">
        <f t="shared" si="23"/>
        <v/>
      </c>
      <c r="S91" s="1024" t="str">
        <f t="shared" si="24"/>
        <v/>
      </c>
      <c r="U91" s="1024" t="str">
        <f t="shared" si="25"/>
        <v/>
      </c>
      <c r="W91" s="1024" t="str">
        <f t="shared" si="26"/>
        <v/>
      </c>
      <c r="Y91" s="1024" t="str">
        <f t="shared" si="27"/>
        <v/>
      </c>
      <c r="AA91" s="1024" t="str">
        <f t="shared" si="36"/>
        <v/>
      </c>
      <c r="AC91" s="1024" t="str">
        <f t="shared" si="28"/>
        <v/>
      </c>
      <c r="AE91" s="1024" t="str">
        <f t="shared" si="29"/>
        <v/>
      </c>
      <c r="AG91" s="1024" t="str">
        <f t="shared" si="30"/>
        <v/>
      </c>
      <c r="AI91" s="1024" t="str">
        <f t="shared" si="31"/>
        <v/>
      </c>
      <c r="AK91" s="1024" t="str">
        <f t="shared" si="32"/>
        <v/>
      </c>
      <c r="AM91" s="1024" t="str">
        <f t="shared" si="33"/>
        <v/>
      </c>
      <c r="AO91" s="1024" t="str">
        <f t="shared" si="34"/>
        <v/>
      </c>
      <c r="AQ91" s="1024" t="str">
        <f t="shared" si="35"/>
        <v/>
      </c>
    </row>
    <row r="92" spans="5:43" x14ac:dyDescent="0.2">
      <c r="E92" s="1024" t="str">
        <f t="shared" si="41"/>
        <v/>
      </c>
      <c r="G92" s="1024" t="str">
        <f t="shared" si="37"/>
        <v/>
      </c>
      <c r="I92" s="1024" t="str">
        <f t="shared" si="38"/>
        <v/>
      </c>
      <c r="K92" s="1024" t="str">
        <f t="shared" si="39"/>
        <v/>
      </c>
      <c r="M92" s="1024" t="str">
        <f t="shared" si="40"/>
        <v/>
      </c>
      <c r="O92" s="1024" t="str">
        <f t="shared" si="42"/>
        <v/>
      </c>
      <c r="Q92" s="1024" t="str">
        <f t="shared" si="23"/>
        <v/>
      </c>
      <c r="S92" s="1024" t="str">
        <f t="shared" si="24"/>
        <v/>
      </c>
      <c r="U92" s="1024" t="str">
        <f t="shared" si="25"/>
        <v/>
      </c>
      <c r="W92" s="1024" t="str">
        <f t="shared" si="26"/>
        <v/>
      </c>
      <c r="Y92" s="1024" t="str">
        <f t="shared" si="27"/>
        <v/>
      </c>
      <c r="AA92" s="1024" t="str">
        <f t="shared" si="36"/>
        <v/>
      </c>
      <c r="AC92" s="1024" t="str">
        <f t="shared" si="28"/>
        <v/>
      </c>
      <c r="AE92" s="1024" t="str">
        <f t="shared" si="29"/>
        <v/>
      </c>
      <c r="AG92" s="1024" t="str">
        <f t="shared" si="30"/>
        <v/>
      </c>
      <c r="AI92" s="1024" t="str">
        <f t="shared" si="31"/>
        <v/>
      </c>
      <c r="AK92" s="1024" t="str">
        <f t="shared" si="32"/>
        <v/>
      </c>
      <c r="AM92" s="1024" t="str">
        <f t="shared" si="33"/>
        <v/>
      </c>
      <c r="AO92" s="1024" t="str">
        <f t="shared" si="34"/>
        <v/>
      </c>
      <c r="AQ92" s="1024" t="str">
        <f t="shared" si="35"/>
        <v/>
      </c>
    </row>
    <row r="93" spans="5:43" x14ac:dyDescent="0.2">
      <c r="E93" s="1024" t="str">
        <f t="shared" si="41"/>
        <v/>
      </c>
      <c r="G93" s="1024" t="str">
        <f t="shared" si="37"/>
        <v/>
      </c>
      <c r="I93" s="1024" t="str">
        <f t="shared" si="38"/>
        <v/>
      </c>
      <c r="K93" s="1024" t="str">
        <f t="shared" si="39"/>
        <v/>
      </c>
      <c r="M93" s="1024" t="str">
        <f t="shared" si="40"/>
        <v/>
      </c>
      <c r="O93" s="1024" t="str">
        <f t="shared" si="42"/>
        <v/>
      </c>
      <c r="Q93" s="1024" t="str">
        <f t="shared" si="23"/>
        <v/>
      </c>
      <c r="S93" s="1024" t="str">
        <f t="shared" si="24"/>
        <v/>
      </c>
      <c r="U93" s="1024" t="str">
        <f t="shared" si="25"/>
        <v/>
      </c>
      <c r="W93" s="1024" t="str">
        <f t="shared" si="26"/>
        <v/>
      </c>
      <c r="Y93" s="1024" t="str">
        <f t="shared" si="27"/>
        <v/>
      </c>
      <c r="AA93" s="1024" t="str">
        <f t="shared" si="36"/>
        <v/>
      </c>
      <c r="AC93" s="1024" t="str">
        <f t="shared" si="28"/>
        <v/>
      </c>
      <c r="AE93" s="1024" t="str">
        <f t="shared" si="29"/>
        <v/>
      </c>
      <c r="AG93" s="1024" t="str">
        <f t="shared" si="30"/>
        <v/>
      </c>
      <c r="AI93" s="1024" t="str">
        <f t="shared" si="31"/>
        <v/>
      </c>
      <c r="AK93" s="1024" t="str">
        <f t="shared" si="32"/>
        <v/>
      </c>
      <c r="AM93" s="1024" t="str">
        <f t="shared" si="33"/>
        <v/>
      </c>
      <c r="AO93" s="1024" t="str">
        <f t="shared" si="34"/>
        <v/>
      </c>
      <c r="AQ93" s="1024" t="str">
        <f t="shared" si="35"/>
        <v/>
      </c>
    </row>
    <row r="94" spans="5:43" x14ac:dyDescent="0.2">
      <c r="E94" s="1024" t="str">
        <f t="shared" si="41"/>
        <v/>
      </c>
      <c r="G94" s="1024" t="str">
        <f t="shared" si="37"/>
        <v/>
      </c>
      <c r="I94" s="1024" t="str">
        <f t="shared" si="38"/>
        <v/>
      </c>
      <c r="K94" s="1024" t="str">
        <f t="shared" si="39"/>
        <v/>
      </c>
      <c r="M94" s="1024" t="str">
        <f t="shared" si="40"/>
        <v/>
      </c>
      <c r="O94" s="1024" t="str">
        <f t="shared" si="42"/>
        <v/>
      </c>
      <c r="Q94" s="1024" t="str">
        <f t="shared" si="23"/>
        <v/>
      </c>
      <c r="S94" s="1024" t="str">
        <f t="shared" si="24"/>
        <v/>
      </c>
      <c r="U94" s="1024" t="str">
        <f t="shared" si="25"/>
        <v/>
      </c>
      <c r="W94" s="1024" t="str">
        <f t="shared" si="26"/>
        <v/>
      </c>
      <c r="Y94" s="1024" t="str">
        <f t="shared" si="27"/>
        <v/>
      </c>
      <c r="AA94" s="1024" t="str">
        <f t="shared" si="36"/>
        <v/>
      </c>
      <c r="AC94" s="1024" t="str">
        <f t="shared" si="28"/>
        <v/>
      </c>
      <c r="AE94" s="1024" t="str">
        <f t="shared" si="29"/>
        <v/>
      </c>
      <c r="AG94" s="1024" t="str">
        <f t="shared" si="30"/>
        <v/>
      </c>
      <c r="AI94" s="1024" t="str">
        <f t="shared" si="31"/>
        <v/>
      </c>
      <c r="AK94" s="1024" t="str">
        <f t="shared" si="32"/>
        <v/>
      </c>
      <c r="AM94" s="1024" t="str">
        <f t="shared" si="33"/>
        <v/>
      </c>
      <c r="AO94" s="1024" t="str">
        <f t="shared" si="34"/>
        <v/>
      </c>
      <c r="AQ94" s="1024" t="str">
        <f t="shared" si="35"/>
        <v/>
      </c>
    </row>
    <row r="95" spans="5:43" x14ac:dyDescent="0.2">
      <c r="E95" s="1024" t="str">
        <f t="shared" si="41"/>
        <v/>
      </c>
      <c r="G95" s="1024" t="str">
        <f t="shared" si="37"/>
        <v/>
      </c>
      <c r="I95" s="1024" t="str">
        <f t="shared" si="38"/>
        <v/>
      </c>
      <c r="K95" s="1024" t="str">
        <f t="shared" si="39"/>
        <v/>
      </c>
      <c r="M95" s="1024" t="str">
        <f t="shared" si="40"/>
        <v/>
      </c>
      <c r="O95" s="1024" t="str">
        <f t="shared" si="42"/>
        <v/>
      </c>
      <c r="Q95" s="1024" t="str">
        <f t="shared" ref="Q95:Q158" si="43">IF(OR($B94=0,P95=0),"",P95/$B94)</f>
        <v/>
      </c>
      <c r="S95" s="1024" t="str">
        <f t="shared" ref="S95:S158" si="44">IF(OR($B94=0,R95=0),"",R95/$B94)</f>
        <v/>
      </c>
      <c r="U95" s="1024" t="str">
        <f t="shared" ref="U95:U158" si="45">IF(OR($B94=0,T95=0),"",T95/$B94)</f>
        <v/>
      </c>
      <c r="W95" s="1024" t="str">
        <f t="shared" ref="W95:W158" si="46">IF(OR($B94=0,V95=0),"",V95/$B94)</f>
        <v/>
      </c>
      <c r="Y95" s="1024" t="str">
        <f t="shared" ref="Y95:Y158" si="47">IF(OR($B94=0,X95=0),"",X95/$B94)</f>
        <v/>
      </c>
      <c r="AA95" s="1024" t="str">
        <f t="shared" si="36"/>
        <v/>
      </c>
      <c r="AC95" s="1024" t="str">
        <f t="shared" ref="AC95:AC158" si="48">IF(OR($B94=0,AB95=0),"",AB95/$B94)</f>
        <v/>
      </c>
      <c r="AE95" s="1024" t="str">
        <f t="shared" ref="AE95:AE158" si="49">IF(OR($B94=0,AD95=0),"",AD95/$B94)</f>
        <v/>
      </c>
      <c r="AG95" s="1024" t="str">
        <f t="shared" ref="AG95:AG158" si="50">IF(OR($B94=0,AF95=0),"",AF95/$B94)</f>
        <v/>
      </c>
      <c r="AI95" s="1024" t="str">
        <f t="shared" ref="AI95:AI158" si="51">IF(OR($B94=0,AH95=0),"",AH95/$B94)</f>
        <v/>
      </c>
      <c r="AK95" s="1024" t="str">
        <f t="shared" ref="AK95:AK158" si="52">IF(OR($B94=0,AJ95=0),"",AJ95/$B94)</f>
        <v/>
      </c>
      <c r="AM95" s="1024" t="str">
        <f t="shared" ref="AM95:AM158" si="53">IF(OR($B94=0,AL95=0),"",AL95/$B94)</f>
        <v/>
      </c>
      <c r="AO95" s="1024" t="str">
        <f t="shared" ref="AO95:AO158" si="54">IF(OR($B94=0,AN95=0),"",AN95/$B94)</f>
        <v/>
      </c>
      <c r="AQ95" s="1024" t="str">
        <f t="shared" ref="AQ95:AQ158" si="55">IF(OR($B94=0,AP95=0),"",AP95/$B94)</f>
        <v/>
      </c>
    </row>
    <row r="96" spans="5:43" x14ac:dyDescent="0.2">
      <c r="E96" s="1024" t="str">
        <f t="shared" si="41"/>
        <v/>
      </c>
      <c r="G96" s="1024" t="str">
        <f t="shared" si="37"/>
        <v/>
      </c>
      <c r="I96" s="1024" t="str">
        <f t="shared" si="38"/>
        <v/>
      </c>
      <c r="K96" s="1024" t="str">
        <f t="shared" si="39"/>
        <v/>
      </c>
      <c r="M96" s="1024" t="str">
        <f t="shared" si="40"/>
        <v/>
      </c>
      <c r="O96" s="1024" t="str">
        <f t="shared" si="42"/>
        <v/>
      </c>
      <c r="Q96" s="1024" t="str">
        <f t="shared" si="43"/>
        <v/>
      </c>
      <c r="S96" s="1024" t="str">
        <f t="shared" si="44"/>
        <v/>
      </c>
      <c r="U96" s="1024" t="str">
        <f t="shared" si="45"/>
        <v/>
      </c>
      <c r="W96" s="1024" t="str">
        <f t="shared" si="46"/>
        <v/>
      </c>
      <c r="Y96" s="1024" t="str">
        <f t="shared" si="47"/>
        <v/>
      </c>
      <c r="AA96" s="1024" t="str">
        <f t="shared" ref="AA96:AA159" si="56">IF(OR($B95=0,Z96=0),"",Z96/$B95)</f>
        <v/>
      </c>
      <c r="AC96" s="1024" t="str">
        <f t="shared" si="48"/>
        <v/>
      </c>
      <c r="AE96" s="1024" t="str">
        <f t="shared" si="49"/>
        <v/>
      </c>
      <c r="AG96" s="1024" t="str">
        <f t="shared" si="50"/>
        <v/>
      </c>
      <c r="AI96" s="1024" t="str">
        <f t="shared" si="51"/>
        <v/>
      </c>
      <c r="AK96" s="1024" t="str">
        <f t="shared" si="52"/>
        <v/>
      </c>
      <c r="AM96" s="1024" t="str">
        <f t="shared" si="53"/>
        <v/>
      </c>
      <c r="AO96" s="1024" t="str">
        <f t="shared" si="54"/>
        <v/>
      </c>
      <c r="AQ96" s="1024" t="str">
        <f t="shared" si="55"/>
        <v/>
      </c>
    </row>
    <row r="97" spans="5:43" x14ac:dyDescent="0.2">
      <c r="E97" s="1024" t="str">
        <f t="shared" si="41"/>
        <v/>
      </c>
      <c r="G97" s="1024" t="str">
        <f t="shared" si="37"/>
        <v/>
      </c>
      <c r="I97" s="1024" t="str">
        <f t="shared" si="38"/>
        <v/>
      </c>
      <c r="K97" s="1024" t="str">
        <f t="shared" si="39"/>
        <v/>
      </c>
      <c r="M97" s="1024" t="str">
        <f t="shared" si="40"/>
        <v/>
      </c>
      <c r="O97" s="1024" t="str">
        <f t="shared" si="42"/>
        <v/>
      </c>
      <c r="Q97" s="1024" t="str">
        <f t="shared" si="43"/>
        <v/>
      </c>
      <c r="S97" s="1024" t="str">
        <f t="shared" si="44"/>
        <v/>
      </c>
      <c r="U97" s="1024" t="str">
        <f t="shared" si="45"/>
        <v/>
      </c>
      <c r="W97" s="1024" t="str">
        <f t="shared" si="46"/>
        <v/>
      </c>
      <c r="Y97" s="1024" t="str">
        <f t="shared" si="47"/>
        <v/>
      </c>
      <c r="AA97" s="1024" t="str">
        <f t="shared" si="56"/>
        <v/>
      </c>
      <c r="AC97" s="1024" t="str">
        <f t="shared" si="48"/>
        <v/>
      </c>
      <c r="AE97" s="1024" t="str">
        <f t="shared" si="49"/>
        <v/>
      </c>
      <c r="AG97" s="1024" t="str">
        <f t="shared" si="50"/>
        <v/>
      </c>
      <c r="AI97" s="1024" t="str">
        <f t="shared" si="51"/>
        <v/>
      </c>
      <c r="AK97" s="1024" t="str">
        <f t="shared" si="52"/>
        <v/>
      </c>
      <c r="AM97" s="1024" t="str">
        <f t="shared" si="53"/>
        <v/>
      </c>
      <c r="AO97" s="1024" t="str">
        <f t="shared" si="54"/>
        <v/>
      </c>
      <c r="AQ97" s="1024" t="str">
        <f t="shared" si="55"/>
        <v/>
      </c>
    </row>
    <row r="98" spans="5:43" x14ac:dyDescent="0.2">
      <c r="E98" s="1024" t="str">
        <f t="shared" si="41"/>
        <v/>
      </c>
      <c r="G98" s="1024" t="str">
        <f t="shared" ref="G98:G161" si="57">IF(OR($B97=0,F98=0),"",F98/$B97)</f>
        <v/>
      </c>
      <c r="I98" s="1024" t="str">
        <f t="shared" ref="I98:I161" si="58">IF(OR($B97=0,H98=0),"",H98/$B97)</f>
        <v/>
      </c>
      <c r="K98" s="1024" t="str">
        <f t="shared" ref="K98:K161" si="59">IF(OR($B97=0,J98=0),"",J98/$B97)</f>
        <v/>
      </c>
      <c r="M98" s="1024" t="str">
        <f t="shared" ref="M98:M161" si="60">IF(OR($B97=0,L98=0),"",L98/$B97)</f>
        <v/>
      </c>
      <c r="O98" s="1024" t="str">
        <f t="shared" si="42"/>
        <v/>
      </c>
      <c r="Q98" s="1024" t="str">
        <f t="shared" si="43"/>
        <v/>
      </c>
      <c r="S98" s="1024" t="str">
        <f t="shared" si="44"/>
        <v/>
      </c>
      <c r="U98" s="1024" t="str">
        <f t="shared" si="45"/>
        <v/>
      </c>
      <c r="W98" s="1024" t="str">
        <f t="shared" si="46"/>
        <v/>
      </c>
      <c r="Y98" s="1024" t="str">
        <f t="shared" si="47"/>
        <v/>
      </c>
      <c r="AA98" s="1024" t="str">
        <f t="shared" si="56"/>
        <v/>
      </c>
      <c r="AC98" s="1024" t="str">
        <f t="shared" si="48"/>
        <v/>
      </c>
      <c r="AE98" s="1024" t="str">
        <f t="shared" si="49"/>
        <v/>
      </c>
      <c r="AG98" s="1024" t="str">
        <f t="shared" si="50"/>
        <v/>
      </c>
      <c r="AI98" s="1024" t="str">
        <f t="shared" si="51"/>
        <v/>
      </c>
      <c r="AK98" s="1024" t="str">
        <f t="shared" si="52"/>
        <v/>
      </c>
      <c r="AM98" s="1024" t="str">
        <f t="shared" si="53"/>
        <v/>
      </c>
      <c r="AO98" s="1024" t="str">
        <f t="shared" si="54"/>
        <v/>
      </c>
      <c r="AQ98" s="1024" t="str">
        <f t="shared" si="55"/>
        <v/>
      </c>
    </row>
    <row r="99" spans="5:43" x14ac:dyDescent="0.2">
      <c r="E99" s="1024" t="str">
        <f t="shared" ref="E99:E162" si="61">IF(OR($B98=0,D99=0),"",D99/$B98)</f>
        <v/>
      </c>
      <c r="G99" s="1024" t="str">
        <f t="shared" si="57"/>
        <v/>
      </c>
      <c r="I99" s="1024" t="str">
        <f t="shared" si="58"/>
        <v/>
      </c>
      <c r="K99" s="1024" t="str">
        <f t="shared" si="59"/>
        <v/>
      </c>
      <c r="M99" s="1024" t="str">
        <f t="shared" si="60"/>
        <v/>
      </c>
      <c r="O99" s="1024" t="str">
        <f t="shared" ref="O99:O162" si="62">IF(OR($B98=0,N99=0),"",N99/$B98)</f>
        <v/>
      </c>
      <c r="Q99" s="1024" t="str">
        <f t="shared" si="43"/>
        <v/>
      </c>
      <c r="S99" s="1024" t="str">
        <f t="shared" si="44"/>
        <v/>
      </c>
      <c r="U99" s="1024" t="str">
        <f t="shared" si="45"/>
        <v/>
      </c>
      <c r="W99" s="1024" t="str">
        <f t="shared" si="46"/>
        <v/>
      </c>
      <c r="Y99" s="1024" t="str">
        <f t="shared" si="47"/>
        <v/>
      </c>
      <c r="AA99" s="1024" t="str">
        <f t="shared" si="56"/>
        <v/>
      </c>
      <c r="AC99" s="1024" t="str">
        <f t="shared" si="48"/>
        <v/>
      </c>
      <c r="AE99" s="1024" t="str">
        <f t="shared" si="49"/>
        <v/>
      </c>
      <c r="AG99" s="1024" t="str">
        <f t="shared" si="50"/>
        <v/>
      </c>
      <c r="AI99" s="1024" t="str">
        <f t="shared" si="51"/>
        <v/>
      </c>
      <c r="AK99" s="1024" t="str">
        <f t="shared" si="52"/>
        <v/>
      </c>
      <c r="AM99" s="1024" t="str">
        <f t="shared" si="53"/>
        <v/>
      </c>
      <c r="AO99" s="1024" t="str">
        <f t="shared" si="54"/>
        <v/>
      </c>
      <c r="AQ99" s="1024" t="str">
        <f t="shared" si="55"/>
        <v/>
      </c>
    </row>
    <row r="100" spans="5:43" x14ac:dyDescent="0.2">
      <c r="E100" s="1024" t="str">
        <f t="shared" si="61"/>
        <v/>
      </c>
      <c r="G100" s="1024" t="str">
        <f t="shared" si="57"/>
        <v/>
      </c>
      <c r="I100" s="1024" t="str">
        <f t="shared" si="58"/>
        <v/>
      </c>
      <c r="K100" s="1024" t="str">
        <f t="shared" si="59"/>
        <v/>
      </c>
      <c r="M100" s="1024" t="str">
        <f t="shared" si="60"/>
        <v/>
      </c>
      <c r="O100" s="1024" t="str">
        <f t="shared" si="62"/>
        <v/>
      </c>
      <c r="Q100" s="1024" t="str">
        <f t="shared" si="43"/>
        <v/>
      </c>
      <c r="S100" s="1024" t="str">
        <f t="shared" si="44"/>
        <v/>
      </c>
      <c r="U100" s="1024" t="str">
        <f t="shared" si="45"/>
        <v/>
      </c>
      <c r="W100" s="1024" t="str">
        <f t="shared" si="46"/>
        <v/>
      </c>
      <c r="Y100" s="1024" t="str">
        <f t="shared" si="47"/>
        <v/>
      </c>
      <c r="AA100" s="1024" t="str">
        <f t="shared" si="56"/>
        <v/>
      </c>
      <c r="AC100" s="1024" t="str">
        <f t="shared" si="48"/>
        <v/>
      </c>
      <c r="AE100" s="1024" t="str">
        <f t="shared" si="49"/>
        <v/>
      </c>
      <c r="AG100" s="1024" t="str">
        <f t="shared" si="50"/>
        <v/>
      </c>
      <c r="AI100" s="1024" t="str">
        <f t="shared" si="51"/>
        <v/>
      </c>
      <c r="AK100" s="1024" t="str">
        <f t="shared" si="52"/>
        <v/>
      </c>
      <c r="AM100" s="1024" t="str">
        <f t="shared" si="53"/>
        <v/>
      </c>
      <c r="AO100" s="1024" t="str">
        <f t="shared" si="54"/>
        <v/>
      </c>
      <c r="AQ100" s="1024" t="str">
        <f t="shared" si="55"/>
        <v/>
      </c>
    </row>
    <row r="101" spans="5:43" x14ac:dyDescent="0.2">
      <c r="E101" s="1024" t="str">
        <f t="shared" si="61"/>
        <v/>
      </c>
      <c r="G101" s="1024" t="str">
        <f t="shared" si="57"/>
        <v/>
      </c>
      <c r="I101" s="1024" t="str">
        <f t="shared" si="58"/>
        <v/>
      </c>
      <c r="K101" s="1024" t="str">
        <f t="shared" si="59"/>
        <v/>
      </c>
      <c r="M101" s="1024" t="str">
        <f t="shared" si="60"/>
        <v/>
      </c>
      <c r="O101" s="1024" t="str">
        <f t="shared" si="62"/>
        <v/>
      </c>
      <c r="Q101" s="1024" t="str">
        <f t="shared" si="43"/>
        <v/>
      </c>
      <c r="S101" s="1024" t="str">
        <f t="shared" si="44"/>
        <v/>
      </c>
      <c r="U101" s="1024" t="str">
        <f t="shared" si="45"/>
        <v/>
      </c>
      <c r="W101" s="1024" t="str">
        <f t="shared" si="46"/>
        <v/>
      </c>
      <c r="Y101" s="1024" t="str">
        <f t="shared" si="47"/>
        <v/>
      </c>
      <c r="AA101" s="1024" t="str">
        <f t="shared" si="56"/>
        <v/>
      </c>
      <c r="AC101" s="1024" t="str">
        <f t="shared" si="48"/>
        <v/>
      </c>
      <c r="AE101" s="1024" t="str">
        <f t="shared" si="49"/>
        <v/>
      </c>
      <c r="AG101" s="1024" t="str">
        <f t="shared" si="50"/>
        <v/>
      </c>
      <c r="AI101" s="1024" t="str">
        <f t="shared" si="51"/>
        <v/>
      </c>
      <c r="AK101" s="1024" t="str">
        <f t="shared" si="52"/>
        <v/>
      </c>
      <c r="AM101" s="1024" t="str">
        <f t="shared" si="53"/>
        <v/>
      </c>
      <c r="AO101" s="1024" t="str">
        <f t="shared" si="54"/>
        <v/>
      </c>
      <c r="AQ101" s="1024" t="str">
        <f t="shared" si="55"/>
        <v/>
      </c>
    </row>
    <row r="102" spans="5:43" x14ac:dyDescent="0.2">
      <c r="E102" s="1024" t="str">
        <f t="shared" si="61"/>
        <v/>
      </c>
      <c r="G102" s="1024" t="str">
        <f t="shared" si="57"/>
        <v/>
      </c>
      <c r="I102" s="1024" t="str">
        <f t="shared" si="58"/>
        <v/>
      </c>
      <c r="K102" s="1024" t="str">
        <f t="shared" si="59"/>
        <v/>
      </c>
      <c r="M102" s="1024" t="str">
        <f t="shared" si="60"/>
        <v/>
      </c>
      <c r="O102" s="1024" t="str">
        <f t="shared" si="62"/>
        <v/>
      </c>
      <c r="Q102" s="1024" t="str">
        <f t="shared" si="43"/>
        <v/>
      </c>
      <c r="S102" s="1024" t="str">
        <f t="shared" si="44"/>
        <v/>
      </c>
      <c r="U102" s="1024" t="str">
        <f t="shared" si="45"/>
        <v/>
      </c>
      <c r="W102" s="1024" t="str">
        <f t="shared" si="46"/>
        <v/>
      </c>
      <c r="Y102" s="1024" t="str">
        <f t="shared" si="47"/>
        <v/>
      </c>
      <c r="AA102" s="1024" t="str">
        <f t="shared" si="56"/>
        <v/>
      </c>
      <c r="AC102" s="1024" t="str">
        <f t="shared" si="48"/>
        <v/>
      </c>
      <c r="AE102" s="1024" t="str">
        <f t="shared" si="49"/>
        <v/>
      </c>
      <c r="AG102" s="1024" t="str">
        <f t="shared" si="50"/>
        <v/>
      </c>
      <c r="AI102" s="1024" t="str">
        <f t="shared" si="51"/>
        <v/>
      </c>
      <c r="AK102" s="1024" t="str">
        <f t="shared" si="52"/>
        <v/>
      </c>
      <c r="AM102" s="1024" t="str">
        <f t="shared" si="53"/>
        <v/>
      </c>
      <c r="AO102" s="1024" t="str">
        <f t="shared" si="54"/>
        <v/>
      </c>
      <c r="AQ102" s="1024" t="str">
        <f t="shared" si="55"/>
        <v/>
      </c>
    </row>
    <row r="103" spans="5:43" x14ac:dyDescent="0.2">
      <c r="E103" s="1024" t="str">
        <f t="shared" si="61"/>
        <v/>
      </c>
      <c r="G103" s="1024" t="str">
        <f t="shared" si="57"/>
        <v/>
      </c>
      <c r="I103" s="1024" t="str">
        <f t="shared" si="58"/>
        <v/>
      </c>
      <c r="K103" s="1024" t="str">
        <f t="shared" si="59"/>
        <v/>
      </c>
      <c r="M103" s="1024" t="str">
        <f t="shared" si="60"/>
        <v/>
      </c>
      <c r="O103" s="1024" t="str">
        <f t="shared" si="62"/>
        <v/>
      </c>
      <c r="Q103" s="1024" t="str">
        <f t="shared" si="43"/>
        <v/>
      </c>
      <c r="S103" s="1024" t="str">
        <f t="shared" si="44"/>
        <v/>
      </c>
      <c r="U103" s="1024" t="str">
        <f t="shared" si="45"/>
        <v/>
      </c>
      <c r="W103" s="1024" t="str">
        <f t="shared" si="46"/>
        <v/>
      </c>
      <c r="Y103" s="1024" t="str">
        <f t="shared" si="47"/>
        <v/>
      </c>
      <c r="AA103" s="1024" t="str">
        <f t="shared" si="56"/>
        <v/>
      </c>
      <c r="AC103" s="1024" t="str">
        <f t="shared" si="48"/>
        <v/>
      </c>
      <c r="AE103" s="1024" t="str">
        <f t="shared" si="49"/>
        <v/>
      </c>
      <c r="AG103" s="1024" t="str">
        <f t="shared" si="50"/>
        <v/>
      </c>
      <c r="AI103" s="1024" t="str">
        <f t="shared" si="51"/>
        <v/>
      </c>
      <c r="AK103" s="1024" t="str">
        <f t="shared" si="52"/>
        <v/>
      </c>
      <c r="AM103" s="1024" t="str">
        <f t="shared" si="53"/>
        <v/>
      </c>
      <c r="AO103" s="1024" t="str">
        <f t="shared" si="54"/>
        <v/>
      </c>
      <c r="AQ103" s="1024" t="str">
        <f t="shared" si="55"/>
        <v/>
      </c>
    </row>
    <row r="104" spans="5:43" x14ac:dyDescent="0.2">
      <c r="E104" s="1024" t="str">
        <f t="shared" si="61"/>
        <v/>
      </c>
      <c r="G104" s="1024" t="str">
        <f t="shared" si="57"/>
        <v/>
      </c>
      <c r="I104" s="1024" t="str">
        <f t="shared" si="58"/>
        <v/>
      </c>
      <c r="K104" s="1024" t="str">
        <f t="shared" si="59"/>
        <v/>
      </c>
      <c r="M104" s="1024" t="str">
        <f t="shared" si="60"/>
        <v/>
      </c>
      <c r="O104" s="1024" t="str">
        <f t="shared" si="62"/>
        <v/>
      </c>
      <c r="Q104" s="1024" t="str">
        <f t="shared" si="43"/>
        <v/>
      </c>
      <c r="S104" s="1024" t="str">
        <f t="shared" si="44"/>
        <v/>
      </c>
      <c r="U104" s="1024" t="str">
        <f t="shared" si="45"/>
        <v/>
      </c>
      <c r="W104" s="1024" t="str">
        <f t="shared" si="46"/>
        <v/>
      </c>
      <c r="Y104" s="1024" t="str">
        <f t="shared" si="47"/>
        <v/>
      </c>
      <c r="AA104" s="1024" t="str">
        <f t="shared" si="56"/>
        <v/>
      </c>
      <c r="AC104" s="1024" t="str">
        <f t="shared" si="48"/>
        <v/>
      </c>
      <c r="AE104" s="1024" t="str">
        <f t="shared" si="49"/>
        <v/>
      </c>
      <c r="AG104" s="1024" t="str">
        <f t="shared" si="50"/>
        <v/>
      </c>
      <c r="AI104" s="1024" t="str">
        <f t="shared" si="51"/>
        <v/>
      </c>
      <c r="AK104" s="1024" t="str">
        <f t="shared" si="52"/>
        <v/>
      </c>
      <c r="AM104" s="1024" t="str">
        <f t="shared" si="53"/>
        <v/>
      </c>
      <c r="AO104" s="1024" t="str">
        <f t="shared" si="54"/>
        <v/>
      </c>
      <c r="AQ104" s="1024" t="str">
        <f t="shared" si="55"/>
        <v/>
      </c>
    </row>
    <row r="105" spans="5:43" x14ac:dyDescent="0.2">
      <c r="E105" s="1024" t="str">
        <f t="shared" si="61"/>
        <v/>
      </c>
      <c r="G105" s="1024" t="str">
        <f t="shared" si="57"/>
        <v/>
      </c>
      <c r="I105" s="1024" t="str">
        <f t="shared" si="58"/>
        <v/>
      </c>
      <c r="K105" s="1024" t="str">
        <f t="shared" si="59"/>
        <v/>
      </c>
      <c r="M105" s="1024" t="str">
        <f t="shared" si="60"/>
        <v/>
      </c>
      <c r="O105" s="1024" t="str">
        <f t="shared" si="62"/>
        <v/>
      </c>
      <c r="Q105" s="1024" t="str">
        <f t="shared" si="43"/>
        <v/>
      </c>
      <c r="S105" s="1024" t="str">
        <f t="shared" si="44"/>
        <v/>
      </c>
      <c r="U105" s="1024" t="str">
        <f t="shared" si="45"/>
        <v/>
      </c>
      <c r="W105" s="1024" t="str">
        <f t="shared" si="46"/>
        <v/>
      </c>
      <c r="Y105" s="1024" t="str">
        <f t="shared" si="47"/>
        <v/>
      </c>
      <c r="AA105" s="1024" t="str">
        <f t="shared" si="56"/>
        <v/>
      </c>
      <c r="AC105" s="1024" t="str">
        <f t="shared" si="48"/>
        <v/>
      </c>
      <c r="AE105" s="1024" t="str">
        <f t="shared" si="49"/>
        <v/>
      </c>
      <c r="AG105" s="1024" t="str">
        <f t="shared" si="50"/>
        <v/>
      </c>
      <c r="AI105" s="1024" t="str">
        <f t="shared" si="51"/>
        <v/>
      </c>
      <c r="AK105" s="1024" t="str">
        <f t="shared" si="52"/>
        <v/>
      </c>
      <c r="AM105" s="1024" t="str">
        <f t="shared" si="53"/>
        <v/>
      </c>
      <c r="AO105" s="1024" t="str">
        <f t="shared" si="54"/>
        <v/>
      </c>
      <c r="AQ105" s="1024" t="str">
        <f t="shared" si="55"/>
        <v/>
      </c>
    </row>
    <row r="106" spans="5:43" x14ac:dyDescent="0.2">
      <c r="E106" s="1024" t="str">
        <f t="shared" si="61"/>
        <v/>
      </c>
      <c r="G106" s="1024" t="str">
        <f t="shared" si="57"/>
        <v/>
      </c>
      <c r="I106" s="1024" t="str">
        <f t="shared" si="58"/>
        <v/>
      </c>
      <c r="K106" s="1024" t="str">
        <f t="shared" si="59"/>
        <v/>
      </c>
      <c r="M106" s="1024" t="str">
        <f t="shared" si="60"/>
        <v/>
      </c>
      <c r="O106" s="1024" t="str">
        <f t="shared" si="62"/>
        <v/>
      </c>
      <c r="Q106" s="1024" t="str">
        <f t="shared" si="43"/>
        <v/>
      </c>
      <c r="S106" s="1024" t="str">
        <f t="shared" si="44"/>
        <v/>
      </c>
      <c r="U106" s="1024" t="str">
        <f t="shared" si="45"/>
        <v/>
      </c>
      <c r="W106" s="1024" t="str">
        <f t="shared" si="46"/>
        <v/>
      </c>
      <c r="Y106" s="1024" t="str">
        <f t="shared" si="47"/>
        <v/>
      </c>
      <c r="AA106" s="1024" t="str">
        <f t="shared" si="56"/>
        <v/>
      </c>
      <c r="AC106" s="1024" t="str">
        <f t="shared" si="48"/>
        <v/>
      </c>
      <c r="AE106" s="1024" t="str">
        <f t="shared" si="49"/>
        <v/>
      </c>
      <c r="AG106" s="1024" t="str">
        <f t="shared" si="50"/>
        <v/>
      </c>
      <c r="AI106" s="1024" t="str">
        <f t="shared" si="51"/>
        <v/>
      </c>
      <c r="AK106" s="1024" t="str">
        <f t="shared" si="52"/>
        <v/>
      </c>
      <c r="AM106" s="1024" t="str">
        <f t="shared" si="53"/>
        <v/>
      </c>
      <c r="AO106" s="1024" t="str">
        <f t="shared" si="54"/>
        <v/>
      </c>
      <c r="AQ106" s="1024" t="str">
        <f t="shared" si="55"/>
        <v/>
      </c>
    </row>
    <row r="107" spans="5:43" x14ac:dyDescent="0.2">
      <c r="E107" s="1024" t="str">
        <f t="shared" si="61"/>
        <v/>
      </c>
      <c r="G107" s="1024" t="str">
        <f t="shared" si="57"/>
        <v/>
      </c>
      <c r="I107" s="1024" t="str">
        <f t="shared" si="58"/>
        <v/>
      </c>
      <c r="K107" s="1024" t="str">
        <f t="shared" si="59"/>
        <v/>
      </c>
      <c r="M107" s="1024" t="str">
        <f t="shared" si="60"/>
        <v/>
      </c>
      <c r="O107" s="1024" t="str">
        <f t="shared" si="62"/>
        <v/>
      </c>
      <c r="Q107" s="1024" t="str">
        <f t="shared" si="43"/>
        <v/>
      </c>
      <c r="S107" s="1024" t="str">
        <f t="shared" si="44"/>
        <v/>
      </c>
      <c r="U107" s="1024" t="str">
        <f t="shared" si="45"/>
        <v/>
      </c>
      <c r="W107" s="1024" t="str">
        <f t="shared" si="46"/>
        <v/>
      </c>
      <c r="Y107" s="1024" t="str">
        <f t="shared" si="47"/>
        <v/>
      </c>
      <c r="AA107" s="1024" t="str">
        <f t="shared" si="56"/>
        <v/>
      </c>
      <c r="AC107" s="1024" t="str">
        <f t="shared" si="48"/>
        <v/>
      </c>
      <c r="AE107" s="1024" t="str">
        <f t="shared" si="49"/>
        <v/>
      </c>
      <c r="AG107" s="1024" t="str">
        <f t="shared" si="50"/>
        <v/>
      </c>
      <c r="AI107" s="1024" t="str">
        <f t="shared" si="51"/>
        <v/>
      </c>
      <c r="AK107" s="1024" t="str">
        <f t="shared" si="52"/>
        <v/>
      </c>
      <c r="AM107" s="1024" t="str">
        <f t="shared" si="53"/>
        <v/>
      </c>
      <c r="AO107" s="1024" t="str">
        <f t="shared" si="54"/>
        <v/>
      </c>
      <c r="AQ107" s="1024" t="str">
        <f t="shared" si="55"/>
        <v/>
      </c>
    </row>
    <row r="108" spans="5:43" x14ac:dyDescent="0.2">
      <c r="E108" s="1024" t="str">
        <f t="shared" si="61"/>
        <v/>
      </c>
      <c r="G108" s="1024" t="str">
        <f t="shared" si="57"/>
        <v/>
      </c>
      <c r="I108" s="1024" t="str">
        <f t="shared" si="58"/>
        <v/>
      </c>
      <c r="K108" s="1024" t="str">
        <f t="shared" si="59"/>
        <v/>
      </c>
      <c r="M108" s="1024" t="str">
        <f t="shared" si="60"/>
        <v/>
      </c>
      <c r="O108" s="1024" t="str">
        <f t="shared" si="62"/>
        <v/>
      </c>
      <c r="Q108" s="1024" t="str">
        <f t="shared" si="43"/>
        <v/>
      </c>
      <c r="S108" s="1024" t="str">
        <f t="shared" si="44"/>
        <v/>
      </c>
      <c r="U108" s="1024" t="str">
        <f t="shared" si="45"/>
        <v/>
      </c>
      <c r="W108" s="1024" t="str">
        <f t="shared" si="46"/>
        <v/>
      </c>
      <c r="Y108" s="1024" t="str">
        <f t="shared" si="47"/>
        <v/>
      </c>
      <c r="AA108" s="1024" t="str">
        <f t="shared" si="56"/>
        <v/>
      </c>
      <c r="AC108" s="1024" t="str">
        <f t="shared" si="48"/>
        <v/>
      </c>
      <c r="AE108" s="1024" t="str">
        <f t="shared" si="49"/>
        <v/>
      </c>
      <c r="AG108" s="1024" t="str">
        <f t="shared" si="50"/>
        <v/>
      </c>
      <c r="AI108" s="1024" t="str">
        <f t="shared" si="51"/>
        <v/>
      </c>
      <c r="AK108" s="1024" t="str">
        <f t="shared" si="52"/>
        <v/>
      </c>
      <c r="AM108" s="1024" t="str">
        <f t="shared" si="53"/>
        <v/>
      </c>
      <c r="AO108" s="1024" t="str">
        <f t="shared" si="54"/>
        <v/>
      </c>
      <c r="AQ108" s="1024" t="str">
        <f t="shared" si="55"/>
        <v/>
      </c>
    </row>
    <row r="109" spans="5:43" x14ac:dyDescent="0.2">
      <c r="E109" s="1024" t="str">
        <f t="shared" si="61"/>
        <v/>
      </c>
      <c r="G109" s="1024" t="str">
        <f t="shared" si="57"/>
        <v/>
      </c>
      <c r="I109" s="1024" t="str">
        <f t="shared" si="58"/>
        <v/>
      </c>
      <c r="K109" s="1024" t="str">
        <f t="shared" si="59"/>
        <v/>
      </c>
      <c r="M109" s="1024" t="str">
        <f t="shared" si="60"/>
        <v/>
      </c>
      <c r="O109" s="1024" t="str">
        <f t="shared" si="62"/>
        <v/>
      </c>
      <c r="Q109" s="1024" t="str">
        <f t="shared" si="43"/>
        <v/>
      </c>
      <c r="S109" s="1024" t="str">
        <f t="shared" si="44"/>
        <v/>
      </c>
      <c r="U109" s="1024" t="str">
        <f t="shared" si="45"/>
        <v/>
      </c>
      <c r="W109" s="1024" t="str">
        <f t="shared" si="46"/>
        <v/>
      </c>
      <c r="Y109" s="1024" t="str">
        <f t="shared" si="47"/>
        <v/>
      </c>
      <c r="AA109" s="1024" t="str">
        <f t="shared" si="56"/>
        <v/>
      </c>
      <c r="AC109" s="1024" t="str">
        <f t="shared" si="48"/>
        <v/>
      </c>
      <c r="AE109" s="1024" t="str">
        <f t="shared" si="49"/>
        <v/>
      </c>
      <c r="AG109" s="1024" t="str">
        <f t="shared" si="50"/>
        <v/>
      </c>
      <c r="AI109" s="1024" t="str">
        <f t="shared" si="51"/>
        <v/>
      </c>
      <c r="AK109" s="1024" t="str">
        <f t="shared" si="52"/>
        <v/>
      </c>
      <c r="AM109" s="1024" t="str">
        <f t="shared" si="53"/>
        <v/>
      </c>
      <c r="AO109" s="1024" t="str">
        <f t="shared" si="54"/>
        <v/>
      </c>
      <c r="AQ109" s="1024" t="str">
        <f t="shared" si="55"/>
        <v/>
      </c>
    </row>
    <row r="110" spans="5:43" x14ac:dyDescent="0.2">
      <c r="E110" s="1024" t="str">
        <f t="shared" si="61"/>
        <v/>
      </c>
      <c r="G110" s="1024" t="str">
        <f t="shared" si="57"/>
        <v/>
      </c>
      <c r="I110" s="1024" t="str">
        <f t="shared" si="58"/>
        <v/>
      </c>
      <c r="K110" s="1024" t="str">
        <f t="shared" si="59"/>
        <v/>
      </c>
      <c r="M110" s="1024" t="str">
        <f t="shared" si="60"/>
        <v/>
      </c>
      <c r="O110" s="1024" t="str">
        <f t="shared" si="62"/>
        <v/>
      </c>
      <c r="Q110" s="1024" t="str">
        <f t="shared" si="43"/>
        <v/>
      </c>
      <c r="S110" s="1024" t="str">
        <f t="shared" si="44"/>
        <v/>
      </c>
      <c r="U110" s="1024" t="str">
        <f t="shared" si="45"/>
        <v/>
      </c>
      <c r="W110" s="1024" t="str">
        <f t="shared" si="46"/>
        <v/>
      </c>
      <c r="Y110" s="1024" t="str">
        <f t="shared" si="47"/>
        <v/>
      </c>
      <c r="AA110" s="1024" t="str">
        <f t="shared" si="56"/>
        <v/>
      </c>
      <c r="AC110" s="1024" t="str">
        <f t="shared" si="48"/>
        <v/>
      </c>
      <c r="AE110" s="1024" t="str">
        <f t="shared" si="49"/>
        <v/>
      </c>
      <c r="AG110" s="1024" t="str">
        <f t="shared" si="50"/>
        <v/>
      </c>
      <c r="AI110" s="1024" t="str">
        <f t="shared" si="51"/>
        <v/>
      </c>
      <c r="AK110" s="1024" t="str">
        <f t="shared" si="52"/>
        <v/>
      </c>
      <c r="AM110" s="1024" t="str">
        <f t="shared" si="53"/>
        <v/>
      </c>
      <c r="AO110" s="1024" t="str">
        <f t="shared" si="54"/>
        <v/>
      </c>
      <c r="AQ110" s="1024" t="str">
        <f t="shared" si="55"/>
        <v/>
      </c>
    </row>
    <row r="111" spans="5:43" x14ac:dyDescent="0.2">
      <c r="E111" s="1024" t="str">
        <f t="shared" si="61"/>
        <v/>
      </c>
      <c r="G111" s="1024" t="str">
        <f t="shared" si="57"/>
        <v/>
      </c>
      <c r="I111" s="1024" t="str">
        <f t="shared" si="58"/>
        <v/>
      </c>
      <c r="K111" s="1024" t="str">
        <f t="shared" si="59"/>
        <v/>
      </c>
      <c r="M111" s="1024" t="str">
        <f t="shared" si="60"/>
        <v/>
      </c>
      <c r="O111" s="1024" t="str">
        <f t="shared" si="62"/>
        <v/>
      </c>
      <c r="Q111" s="1024" t="str">
        <f t="shared" si="43"/>
        <v/>
      </c>
      <c r="S111" s="1024" t="str">
        <f t="shared" si="44"/>
        <v/>
      </c>
      <c r="U111" s="1024" t="str">
        <f t="shared" si="45"/>
        <v/>
      </c>
      <c r="W111" s="1024" t="str">
        <f t="shared" si="46"/>
        <v/>
      </c>
      <c r="Y111" s="1024" t="str">
        <f t="shared" si="47"/>
        <v/>
      </c>
      <c r="AA111" s="1024" t="str">
        <f t="shared" si="56"/>
        <v/>
      </c>
      <c r="AC111" s="1024" t="str">
        <f t="shared" si="48"/>
        <v/>
      </c>
      <c r="AE111" s="1024" t="str">
        <f t="shared" si="49"/>
        <v/>
      </c>
      <c r="AG111" s="1024" t="str">
        <f t="shared" si="50"/>
        <v/>
      </c>
      <c r="AI111" s="1024" t="str">
        <f t="shared" si="51"/>
        <v/>
      </c>
      <c r="AK111" s="1024" t="str">
        <f t="shared" si="52"/>
        <v/>
      </c>
      <c r="AM111" s="1024" t="str">
        <f t="shared" si="53"/>
        <v/>
      </c>
      <c r="AO111" s="1024" t="str">
        <f t="shared" si="54"/>
        <v/>
      </c>
      <c r="AQ111" s="1024" t="str">
        <f t="shared" si="55"/>
        <v/>
      </c>
    </row>
    <row r="112" spans="5:43" x14ac:dyDescent="0.2">
      <c r="E112" s="1024" t="str">
        <f t="shared" si="61"/>
        <v/>
      </c>
      <c r="G112" s="1024" t="str">
        <f t="shared" si="57"/>
        <v/>
      </c>
      <c r="I112" s="1024" t="str">
        <f t="shared" si="58"/>
        <v/>
      </c>
      <c r="K112" s="1024" t="str">
        <f t="shared" si="59"/>
        <v/>
      </c>
      <c r="M112" s="1024" t="str">
        <f t="shared" si="60"/>
        <v/>
      </c>
      <c r="O112" s="1024" t="str">
        <f t="shared" si="62"/>
        <v/>
      </c>
      <c r="Q112" s="1024" t="str">
        <f t="shared" si="43"/>
        <v/>
      </c>
      <c r="S112" s="1024" t="str">
        <f t="shared" si="44"/>
        <v/>
      </c>
      <c r="U112" s="1024" t="str">
        <f t="shared" si="45"/>
        <v/>
      </c>
      <c r="W112" s="1024" t="str">
        <f t="shared" si="46"/>
        <v/>
      </c>
      <c r="Y112" s="1024" t="str">
        <f t="shared" si="47"/>
        <v/>
      </c>
      <c r="AA112" s="1024" t="str">
        <f t="shared" si="56"/>
        <v/>
      </c>
      <c r="AC112" s="1024" t="str">
        <f t="shared" si="48"/>
        <v/>
      </c>
      <c r="AE112" s="1024" t="str">
        <f t="shared" si="49"/>
        <v/>
      </c>
      <c r="AG112" s="1024" t="str">
        <f t="shared" si="50"/>
        <v/>
      </c>
      <c r="AI112" s="1024" t="str">
        <f t="shared" si="51"/>
        <v/>
      </c>
      <c r="AK112" s="1024" t="str">
        <f t="shared" si="52"/>
        <v/>
      </c>
      <c r="AM112" s="1024" t="str">
        <f t="shared" si="53"/>
        <v/>
      </c>
      <c r="AO112" s="1024" t="str">
        <f t="shared" si="54"/>
        <v/>
      </c>
      <c r="AQ112" s="1024" t="str">
        <f t="shared" si="55"/>
        <v/>
      </c>
    </row>
    <row r="113" spans="5:43" x14ac:dyDescent="0.2">
      <c r="E113" s="1024" t="str">
        <f t="shared" si="61"/>
        <v/>
      </c>
      <c r="G113" s="1024" t="str">
        <f t="shared" si="57"/>
        <v/>
      </c>
      <c r="I113" s="1024" t="str">
        <f t="shared" si="58"/>
        <v/>
      </c>
      <c r="K113" s="1024" t="str">
        <f t="shared" si="59"/>
        <v/>
      </c>
      <c r="M113" s="1024" t="str">
        <f t="shared" si="60"/>
        <v/>
      </c>
      <c r="O113" s="1024" t="str">
        <f t="shared" si="62"/>
        <v/>
      </c>
      <c r="Q113" s="1024" t="str">
        <f t="shared" si="43"/>
        <v/>
      </c>
      <c r="S113" s="1024" t="str">
        <f t="shared" si="44"/>
        <v/>
      </c>
      <c r="U113" s="1024" t="str">
        <f t="shared" si="45"/>
        <v/>
      </c>
      <c r="W113" s="1024" t="str">
        <f t="shared" si="46"/>
        <v/>
      </c>
      <c r="Y113" s="1024" t="str">
        <f t="shared" si="47"/>
        <v/>
      </c>
      <c r="AA113" s="1024" t="str">
        <f t="shared" si="56"/>
        <v/>
      </c>
      <c r="AC113" s="1024" t="str">
        <f t="shared" si="48"/>
        <v/>
      </c>
      <c r="AE113" s="1024" t="str">
        <f t="shared" si="49"/>
        <v/>
      </c>
      <c r="AG113" s="1024" t="str">
        <f t="shared" si="50"/>
        <v/>
      </c>
      <c r="AI113" s="1024" t="str">
        <f t="shared" si="51"/>
        <v/>
      </c>
      <c r="AK113" s="1024" t="str">
        <f t="shared" si="52"/>
        <v/>
      </c>
      <c r="AM113" s="1024" t="str">
        <f t="shared" si="53"/>
        <v/>
      </c>
      <c r="AO113" s="1024" t="str">
        <f t="shared" si="54"/>
        <v/>
      </c>
      <c r="AQ113" s="1024" t="str">
        <f t="shared" si="55"/>
        <v/>
      </c>
    </row>
    <row r="114" spans="5:43" x14ac:dyDescent="0.2">
      <c r="E114" s="1024" t="str">
        <f t="shared" si="61"/>
        <v/>
      </c>
      <c r="G114" s="1024" t="str">
        <f t="shared" si="57"/>
        <v/>
      </c>
      <c r="I114" s="1024" t="str">
        <f t="shared" si="58"/>
        <v/>
      </c>
      <c r="K114" s="1024" t="str">
        <f t="shared" si="59"/>
        <v/>
      </c>
      <c r="M114" s="1024" t="str">
        <f t="shared" si="60"/>
        <v/>
      </c>
      <c r="O114" s="1024" t="str">
        <f t="shared" si="62"/>
        <v/>
      </c>
      <c r="Q114" s="1024" t="str">
        <f t="shared" si="43"/>
        <v/>
      </c>
      <c r="S114" s="1024" t="str">
        <f t="shared" si="44"/>
        <v/>
      </c>
      <c r="U114" s="1024" t="str">
        <f t="shared" si="45"/>
        <v/>
      </c>
      <c r="W114" s="1024" t="str">
        <f t="shared" si="46"/>
        <v/>
      </c>
      <c r="Y114" s="1024" t="str">
        <f t="shared" si="47"/>
        <v/>
      </c>
      <c r="AA114" s="1024" t="str">
        <f t="shared" si="56"/>
        <v/>
      </c>
      <c r="AC114" s="1024" t="str">
        <f t="shared" si="48"/>
        <v/>
      </c>
      <c r="AE114" s="1024" t="str">
        <f t="shared" si="49"/>
        <v/>
      </c>
      <c r="AG114" s="1024" t="str">
        <f t="shared" si="50"/>
        <v/>
      </c>
      <c r="AI114" s="1024" t="str">
        <f t="shared" si="51"/>
        <v/>
      </c>
      <c r="AK114" s="1024" t="str">
        <f t="shared" si="52"/>
        <v/>
      </c>
      <c r="AM114" s="1024" t="str">
        <f t="shared" si="53"/>
        <v/>
      </c>
      <c r="AO114" s="1024" t="str">
        <f t="shared" si="54"/>
        <v/>
      </c>
      <c r="AQ114" s="1024" t="str">
        <f t="shared" si="55"/>
        <v/>
      </c>
    </row>
    <row r="115" spans="5:43" x14ac:dyDescent="0.2">
      <c r="E115" s="1024" t="str">
        <f t="shared" si="61"/>
        <v/>
      </c>
      <c r="G115" s="1024" t="str">
        <f t="shared" si="57"/>
        <v/>
      </c>
      <c r="I115" s="1024" t="str">
        <f t="shared" si="58"/>
        <v/>
      </c>
      <c r="K115" s="1024" t="str">
        <f t="shared" si="59"/>
        <v/>
      </c>
      <c r="M115" s="1024" t="str">
        <f t="shared" si="60"/>
        <v/>
      </c>
      <c r="O115" s="1024" t="str">
        <f t="shared" si="62"/>
        <v/>
      </c>
      <c r="Q115" s="1024" t="str">
        <f t="shared" si="43"/>
        <v/>
      </c>
      <c r="S115" s="1024" t="str">
        <f t="shared" si="44"/>
        <v/>
      </c>
      <c r="U115" s="1024" t="str">
        <f t="shared" si="45"/>
        <v/>
      </c>
      <c r="W115" s="1024" t="str">
        <f t="shared" si="46"/>
        <v/>
      </c>
      <c r="Y115" s="1024" t="str">
        <f t="shared" si="47"/>
        <v/>
      </c>
      <c r="AA115" s="1024" t="str">
        <f t="shared" si="56"/>
        <v/>
      </c>
      <c r="AC115" s="1024" t="str">
        <f t="shared" si="48"/>
        <v/>
      </c>
      <c r="AE115" s="1024" t="str">
        <f t="shared" si="49"/>
        <v/>
      </c>
      <c r="AG115" s="1024" t="str">
        <f t="shared" si="50"/>
        <v/>
      </c>
      <c r="AI115" s="1024" t="str">
        <f t="shared" si="51"/>
        <v/>
      </c>
      <c r="AK115" s="1024" t="str">
        <f t="shared" si="52"/>
        <v/>
      </c>
      <c r="AM115" s="1024" t="str">
        <f t="shared" si="53"/>
        <v/>
      </c>
      <c r="AO115" s="1024" t="str">
        <f t="shared" si="54"/>
        <v/>
      </c>
      <c r="AQ115" s="1024" t="str">
        <f t="shared" si="55"/>
        <v/>
      </c>
    </row>
    <row r="116" spans="5:43" x14ac:dyDescent="0.2">
      <c r="E116" s="1024" t="str">
        <f t="shared" si="61"/>
        <v/>
      </c>
      <c r="G116" s="1024" t="str">
        <f t="shared" si="57"/>
        <v/>
      </c>
      <c r="I116" s="1024" t="str">
        <f t="shared" si="58"/>
        <v/>
      </c>
      <c r="K116" s="1024" t="str">
        <f t="shared" si="59"/>
        <v/>
      </c>
      <c r="M116" s="1024" t="str">
        <f t="shared" si="60"/>
        <v/>
      </c>
      <c r="O116" s="1024" t="str">
        <f t="shared" si="62"/>
        <v/>
      </c>
      <c r="Q116" s="1024" t="str">
        <f t="shared" si="43"/>
        <v/>
      </c>
      <c r="S116" s="1024" t="str">
        <f t="shared" si="44"/>
        <v/>
      </c>
      <c r="U116" s="1024" t="str">
        <f t="shared" si="45"/>
        <v/>
      </c>
      <c r="W116" s="1024" t="str">
        <f t="shared" si="46"/>
        <v/>
      </c>
      <c r="Y116" s="1024" t="str">
        <f t="shared" si="47"/>
        <v/>
      </c>
      <c r="AA116" s="1024" t="str">
        <f t="shared" si="56"/>
        <v/>
      </c>
      <c r="AC116" s="1024" t="str">
        <f t="shared" si="48"/>
        <v/>
      </c>
      <c r="AE116" s="1024" t="str">
        <f t="shared" si="49"/>
        <v/>
      </c>
      <c r="AG116" s="1024" t="str">
        <f t="shared" si="50"/>
        <v/>
      </c>
      <c r="AI116" s="1024" t="str">
        <f t="shared" si="51"/>
        <v/>
      </c>
      <c r="AK116" s="1024" t="str">
        <f t="shared" si="52"/>
        <v/>
      </c>
      <c r="AM116" s="1024" t="str">
        <f t="shared" si="53"/>
        <v/>
      </c>
      <c r="AO116" s="1024" t="str">
        <f t="shared" si="54"/>
        <v/>
      </c>
      <c r="AQ116" s="1024" t="str">
        <f t="shared" si="55"/>
        <v/>
      </c>
    </row>
    <row r="117" spans="5:43" x14ac:dyDescent="0.2">
      <c r="E117" s="1024" t="str">
        <f t="shared" si="61"/>
        <v/>
      </c>
      <c r="G117" s="1024" t="str">
        <f t="shared" si="57"/>
        <v/>
      </c>
      <c r="I117" s="1024" t="str">
        <f t="shared" si="58"/>
        <v/>
      </c>
      <c r="K117" s="1024" t="str">
        <f t="shared" si="59"/>
        <v/>
      </c>
      <c r="M117" s="1024" t="str">
        <f t="shared" si="60"/>
        <v/>
      </c>
      <c r="O117" s="1024" t="str">
        <f t="shared" si="62"/>
        <v/>
      </c>
      <c r="Q117" s="1024" t="str">
        <f t="shared" si="43"/>
        <v/>
      </c>
      <c r="S117" s="1024" t="str">
        <f t="shared" si="44"/>
        <v/>
      </c>
      <c r="U117" s="1024" t="str">
        <f t="shared" si="45"/>
        <v/>
      </c>
      <c r="W117" s="1024" t="str">
        <f t="shared" si="46"/>
        <v/>
      </c>
      <c r="Y117" s="1024" t="str">
        <f t="shared" si="47"/>
        <v/>
      </c>
      <c r="AA117" s="1024" t="str">
        <f t="shared" si="56"/>
        <v/>
      </c>
      <c r="AC117" s="1024" t="str">
        <f t="shared" si="48"/>
        <v/>
      </c>
      <c r="AE117" s="1024" t="str">
        <f t="shared" si="49"/>
        <v/>
      </c>
      <c r="AG117" s="1024" t="str">
        <f t="shared" si="50"/>
        <v/>
      </c>
      <c r="AI117" s="1024" t="str">
        <f t="shared" si="51"/>
        <v/>
      </c>
      <c r="AK117" s="1024" t="str">
        <f t="shared" si="52"/>
        <v/>
      </c>
      <c r="AM117" s="1024" t="str">
        <f t="shared" si="53"/>
        <v/>
      </c>
      <c r="AO117" s="1024" t="str">
        <f t="shared" si="54"/>
        <v/>
      </c>
      <c r="AQ117" s="1024" t="str">
        <f t="shared" si="55"/>
        <v/>
      </c>
    </row>
    <row r="118" spans="5:43" x14ac:dyDescent="0.2">
      <c r="E118" s="1024" t="str">
        <f t="shared" si="61"/>
        <v/>
      </c>
      <c r="G118" s="1024" t="str">
        <f t="shared" si="57"/>
        <v/>
      </c>
      <c r="I118" s="1024" t="str">
        <f t="shared" si="58"/>
        <v/>
      </c>
      <c r="K118" s="1024" t="str">
        <f t="shared" si="59"/>
        <v/>
      </c>
      <c r="M118" s="1024" t="str">
        <f t="shared" si="60"/>
        <v/>
      </c>
      <c r="O118" s="1024" t="str">
        <f t="shared" si="62"/>
        <v/>
      </c>
      <c r="Q118" s="1024" t="str">
        <f t="shared" si="43"/>
        <v/>
      </c>
      <c r="S118" s="1024" t="str">
        <f t="shared" si="44"/>
        <v/>
      </c>
      <c r="U118" s="1024" t="str">
        <f t="shared" si="45"/>
        <v/>
      </c>
      <c r="W118" s="1024" t="str">
        <f t="shared" si="46"/>
        <v/>
      </c>
      <c r="Y118" s="1024" t="str">
        <f t="shared" si="47"/>
        <v/>
      </c>
      <c r="AA118" s="1024" t="str">
        <f t="shared" si="56"/>
        <v/>
      </c>
      <c r="AC118" s="1024" t="str">
        <f t="shared" si="48"/>
        <v/>
      </c>
      <c r="AE118" s="1024" t="str">
        <f t="shared" si="49"/>
        <v/>
      </c>
      <c r="AG118" s="1024" t="str">
        <f t="shared" si="50"/>
        <v/>
      </c>
      <c r="AI118" s="1024" t="str">
        <f t="shared" si="51"/>
        <v/>
      </c>
      <c r="AK118" s="1024" t="str">
        <f t="shared" si="52"/>
        <v/>
      </c>
      <c r="AM118" s="1024" t="str">
        <f t="shared" si="53"/>
        <v/>
      </c>
      <c r="AO118" s="1024" t="str">
        <f t="shared" si="54"/>
        <v/>
      </c>
      <c r="AQ118" s="1024" t="str">
        <f t="shared" si="55"/>
        <v/>
      </c>
    </row>
    <row r="119" spans="5:43" x14ac:dyDescent="0.2">
      <c r="E119" s="1024" t="str">
        <f t="shared" si="61"/>
        <v/>
      </c>
      <c r="G119" s="1024" t="str">
        <f t="shared" si="57"/>
        <v/>
      </c>
      <c r="I119" s="1024" t="str">
        <f t="shared" si="58"/>
        <v/>
      </c>
      <c r="K119" s="1024" t="str">
        <f t="shared" si="59"/>
        <v/>
      </c>
      <c r="M119" s="1024" t="str">
        <f t="shared" si="60"/>
        <v/>
      </c>
      <c r="O119" s="1024" t="str">
        <f t="shared" si="62"/>
        <v/>
      </c>
      <c r="Q119" s="1024" t="str">
        <f t="shared" si="43"/>
        <v/>
      </c>
      <c r="S119" s="1024" t="str">
        <f t="shared" si="44"/>
        <v/>
      </c>
      <c r="U119" s="1024" t="str">
        <f t="shared" si="45"/>
        <v/>
      </c>
      <c r="W119" s="1024" t="str">
        <f t="shared" si="46"/>
        <v/>
      </c>
      <c r="Y119" s="1024" t="str">
        <f t="shared" si="47"/>
        <v/>
      </c>
      <c r="AA119" s="1024" t="str">
        <f t="shared" si="56"/>
        <v/>
      </c>
      <c r="AC119" s="1024" t="str">
        <f t="shared" si="48"/>
        <v/>
      </c>
      <c r="AE119" s="1024" t="str">
        <f t="shared" si="49"/>
        <v/>
      </c>
      <c r="AG119" s="1024" t="str">
        <f t="shared" si="50"/>
        <v/>
      </c>
      <c r="AI119" s="1024" t="str">
        <f t="shared" si="51"/>
        <v/>
      </c>
      <c r="AK119" s="1024" t="str">
        <f t="shared" si="52"/>
        <v/>
      </c>
      <c r="AM119" s="1024" t="str">
        <f t="shared" si="53"/>
        <v/>
      </c>
      <c r="AO119" s="1024" t="str">
        <f t="shared" si="54"/>
        <v/>
      </c>
      <c r="AQ119" s="1024" t="str">
        <f t="shared" si="55"/>
        <v/>
      </c>
    </row>
    <row r="120" spans="5:43" x14ac:dyDescent="0.2">
      <c r="E120" s="1024" t="str">
        <f t="shared" si="61"/>
        <v/>
      </c>
      <c r="G120" s="1024" t="str">
        <f t="shared" si="57"/>
        <v/>
      </c>
      <c r="I120" s="1024" t="str">
        <f t="shared" si="58"/>
        <v/>
      </c>
      <c r="K120" s="1024" t="str">
        <f t="shared" si="59"/>
        <v/>
      </c>
      <c r="M120" s="1024" t="str">
        <f t="shared" si="60"/>
        <v/>
      </c>
      <c r="O120" s="1024" t="str">
        <f t="shared" si="62"/>
        <v/>
      </c>
      <c r="Q120" s="1024" t="str">
        <f t="shared" si="43"/>
        <v/>
      </c>
      <c r="S120" s="1024" t="str">
        <f t="shared" si="44"/>
        <v/>
      </c>
      <c r="U120" s="1024" t="str">
        <f t="shared" si="45"/>
        <v/>
      </c>
      <c r="W120" s="1024" t="str">
        <f t="shared" si="46"/>
        <v/>
      </c>
      <c r="Y120" s="1024" t="str">
        <f t="shared" si="47"/>
        <v/>
      </c>
      <c r="AA120" s="1024" t="str">
        <f t="shared" si="56"/>
        <v/>
      </c>
      <c r="AC120" s="1024" t="str">
        <f t="shared" si="48"/>
        <v/>
      </c>
      <c r="AE120" s="1024" t="str">
        <f t="shared" si="49"/>
        <v/>
      </c>
      <c r="AG120" s="1024" t="str">
        <f t="shared" si="50"/>
        <v/>
      </c>
      <c r="AI120" s="1024" t="str">
        <f t="shared" si="51"/>
        <v/>
      </c>
      <c r="AK120" s="1024" t="str">
        <f t="shared" si="52"/>
        <v/>
      </c>
      <c r="AM120" s="1024" t="str">
        <f t="shared" si="53"/>
        <v/>
      </c>
      <c r="AO120" s="1024" t="str">
        <f t="shared" si="54"/>
        <v/>
      </c>
      <c r="AQ120" s="1024" t="str">
        <f t="shared" si="55"/>
        <v/>
      </c>
    </row>
    <row r="121" spans="5:43" x14ac:dyDescent="0.2">
      <c r="E121" s="1024" t="str">
        <f t="shared" si="61"/>
        <v/>
      </c>
      <c r="G121" s="1024" t="str">
        <f t="shared" si="57"/>
        <v/>
      </c>
      <c r="I121" s="1024" t="str">
        <f t="shared" si="58"/>
        <v/>
      </c>
      <c r="K121" s="1024" t="str">
        <f t="shared" si="59"/>
        <v/>
      </c>
      <c r="M121" s="1024" t="str">
        <f t="shared" si="60"/>
        <v/>
      </c>
      <c r="O121" s="1024" t="str">
        <f t="shared" si="62"/>
        <v/>
      </c>
      <c r="Q121" s="1024" t="str">
        <f t="shared" si="43"/>
        <v/>
      </c>
      <c r="S121" s="1024" t="str">
        <f t="shared" si="44"/>
        <v/>
      </c>
      <c r="U121" s="1024" t="str">
        <f t="shared" si="45"/>
        <v/>
      </c>
      <c r="W121" s="1024" t="str">
        <f t="shared" si="46"/>
        <v/>
      </c>
      <c r="Y121" s="1024" t="str">
        <f t="shared" si="47"/>
        <v/>
      </c>
      <c r="AA121" s="1024" t="str">
        <f t="shared" si="56"/>
        <v/>
      </c>
      <c r="AC121" s="1024" t="str">
        <f t="shared" si="48"/>
        <v/>
      </c>
      <c r="AE121" s="1024" t="str">
        <f t="shared" si="49"/>
        <v/>
      </c>
      <c r="AG121" s="1024" t="str">
        <f t="shared" si="50"/>
        <v/>
      </c>
      <c r="AI121" s="1024" t="str">
        <f t="shared" si="51"/>
        <v/>
      </c>
      <c r="AK121" s="1024" t="str">
        <f t="shared" si="52"/>
        <v/>
      </c>
      <c r="AM121" s="1024" t="str">
        <f t="shared" si="53"/>
        <v/>
      </c>
      <c r="AO121" s="1024" t="str">
        <f t="shared" si="54"/>
        <v/>
      </c>
      <c r="AQ121" s="1024" t="str">
        <f t="shared" si="55"/>
        <v/>
      </c>
    </row>
    <row r="122" spans="5:43" x14ac:dyDescent="0.2">
      <c r="E122" s="1024" t="str">
        <f t="shared" si="61"/>
        <v/>
      </c>
      <c r="G122" s="1024" t="str">
        <f t="shared" si="57"/>
        <v/>
      </c>
      <c r="I122" s="1024" t="str">
        <f t="shared" si="58"/>
        <v/>
      </c>
      <c r="K122" s="1024" t="str">
        <f t="shared" si="59"/>
        <v/>
      </c>
      <c r="M122" s="1024" t="str">
        <f t="shared" si="60"/>
        <v/>
      </c>
      <c r="O122" s="1024" t="str">
        <f t="shared" si="62"/>
        <v/>
      </c>
      <c r="Q122" s="1024" t="str">
        <f t="shared" si="43"/>
        <v/>
      </c>
      <c r="S122" s="1024" t="str">
        <f t="shared" si="44"/>
        <v/>
      </c>
      <c r="U122" s="1024" t="str">
        <f t="shared" si="45"/>
        <v/>
      </c>
      <c r="W122" s="1024" t="str">
        <f t="shared" si="46"/>
        <v/>
      </c>
      <c r="Y122" s="1024" t="str">
        <f t="shared" si="47"/>
        <v/>
      </c>
      <c r="AA122" s="1024" t="str">
        <f t="shared" si="56"/>
        <v/>
      </c>
      <c r="AC122" s="1024" t="str">
        <f t="shared" si="48"/>
        <v/>
      </c>
      <c r="AE122" s="1024" t="str">
        <f t="shared" si="49"/>
        <v/>
      </c>
      <c r="AG122" s="1024" t="str">
        <f t="shared" si="50"/>
        <v/>
      </c>
      <c r="AI122" s="1024" t="str">
        <f t="shared" si="51"/>
        <v/>
      </c>
      <c r="AK122" s="1024" t="str">
        <f t="shared" si="52"/>
        <v/>
      </c>
      <c r="AM122" s="1024" t="str">
        <f t="shared" si="53"/>
        <v/>
      </c>
      <c r="AO122" s="1024" t="str">
        <f t="shared" si="54"/>
        <v/>
      </c>
      <c r="AQ122" s="1024" t="str">
        <f t="shared" si="55"/>
        <v/>
      </c>
    </row>
    <row r="123" spans="5:43" x14ac:dyDescent="0.2">
      <c r="E123" s="1024" t="str">
        <f t="shared" si="61"/>
        <v/>
      </c>
      <c r="G123" s="1024" t="str">
        <f t="shared" si="57"/>
        <v/>
      </c>
      <c r="I123" s="1024" t="str">
        <f t="shared" si="58"/>
        <v/>
      </c>
      <c r="K123" s="1024" t="str">
        <f t="shared" si="59"/>
        <v/>
      </c>
      <c r="M123" s="1024" t="str">
        <f t="shared" si="60"/>
        <v/>
      </c>
      <c r="O123" s="1024" t="str">
        <f t="shared" si="62"/>
        <v/>
      </c>
      <c r="Q123" s="1024" t="str">
        <f t="shared" si="43"/>
        <v/>
      </c>
      <c r="S123" s="1024" t="str">
        <f t="shared" si="44"/>
        <v/>
      </c>
      <c r="U123" s="1024" t="str">
        <f t="shared" si="45"/>
        <v/>
      </c>
      <c r="W123" s="1024" t="str">
        <f t="shared" si="46"/>
        <v/>
      </c>
      <c r="Y123" s="1024" t="str">
        <f t="shared" si="47"/>
        <v/>
      </c>
      <c r="AA123" s="1024" t="str">
        <f t="shared" si="56"/>
        <v/>
      </c>
      <c r="AC123" s="1024" t="str">
        <f t="shared" si="48"/>
        <v/>
      </c>
      <c r="AE123" s="1024" t="str">
        <f t="shared" si="49"/>
        <v/>
      </c>
      <c r="AG123" s="1024" t="str">
        <f t="shared" si="50"/>
        <v/>
      </c>
      <c r="AI123" s="1024" t="str">
        <f t="shared" si="51"/>
        <v/>
      </c>
      <c r="AK123" s="1024" t="str">
        <f t="shared" si="52"/>
        <v/>
      </c>
      <c r="AM123" s="1024" t="str">
        <f t="shared" si="53"/>
        <v/>
      </c>
      <c r="AO123" s="1024" t="str">
        <f t="shared" si="54"/>
        <v/>
      </c>
      <c r="AQ123" s="1024" t="str">
        <f t="shared" si="55"/>
        <v/>
      </c>
    </row>
    <row r="124" spans="5:43" x14ac:dyDescent="0.2">
      <c r="E124" s="1024" t="str">
        <f t="shared" si="61"/>
        <v/>
      </c>
      <c r="G124" s="1024" t="str">
        <f t="shared" si="57"/>
        <v/>
      </c>
      <c r="I124" s="1024" t="str">
        <f t="shared" si="58"/>
        <v/>
      </c>
      <c r="K124" s="1024" t="str">
        <f t="shared" si="59"/>
        <v/>
      </c>
      <c r="M124" s="1024" t="str">
        <f t="shared" si="60"/>
        <v/>
      </c>
      <c r="O124" s="1024" t="str">
        <f t="shared" si="62"/>
        <v/>
      </c>
      <c r="Q124" s="1024" t="str">
        <f t="shared" si="43"/>
        <v/>
      </c>
      <c r="S124" s="1024" t="str">
        <f t="shared" si="44"/>
        <v/>
      </c>
      <c r="U124" s="1024" t="str">
        <f t="shared" si="45"/>
        <v/>
      </c>
      <c r="W124" s="1024" t="str">
        <f t="shared" si="46"/>
        <v/>
      </c>
      <c r="Y124" s="1024" t="str">
        <f t="shared" si="47"/>
        <v/>
      </c>
      <c r="AA124" s="1024" t="str">
        <f t="shared" si="56"/>
        <v/>
      </c>
      <c r="AC124" s="1024" t="str">
        <f t="shared" si="48"/>
        <v/>
      </c>
      <c r="AE124" s="1024" t="str">
        <f t="shared" si="49"/>
        <v/>
      </c>
      <c r="AG124" s="1024" t="str">
        <f t="shared" si="50"/>
        <v/>
      </c>
      <c r="AI124" s="1024" t="str">
        <f t="shared" si="51"/>
        <v/>
      </c>
      <c r="AK124" s="1024" t="str">
        <f t="shared" si="52"/>
        <v/>
      </c>
      <c r="AM124" s="1024" t="str">
        <f t="shared" si="53"/>
        <v/>
      </c>
      <c r="AO124" s="1024" t="str">
        <f t="shared" si="54"/>
        <v/>
      </c>
      <c r="AQ124" s="1024" t="str">
        <f t="shared" si="55"/>
        <v/>
      </c>
    </row>
    <row r="125" spans="5:43" x14ac:dyDescent="0.2">
      <c r="E125" s="1024" t="str">
        <f t="shared" si="61"/>
        <v/>
      </c>
      <c r="G125" s="1024" t="str">
        <f t="shared" si="57"/>
        <v/>
      </c>
      <c r="I125" s="1024" t="str">
        <f t="shared" si="58"/>
        <v/>
      </c>
      <c r="K125" s="1024" t="str">
        <f t="shared" si="59"/>
        <v/>
      </c>
      <c r="M125" s="1024" t="str">
        <f t="shared" si="60"/>
        <v/>
      </c>
      <c r="O125" s="1024" t="str">
        <f t="shared" si="62"/>
        <v/>
      </c>
      <c r="Q125" s="1024" t="str">
        <f t="shared" si="43"/>
        <v/>
      </c>
      <c r="S125" s="1024" t="str">
        <f t="shared" si="44"/>
        <v/>
      </c>
      <c r="U125" s="1024" t="str">
        <f t="shared" si="45"/>
        <v/>
      </c>
      <c r="W125" s="1024" t="str">
        <f t="shared" si="46"/>
        <v/>
      </c>
      <c r="Y125" s="1024" t="str">
        <f t="shared" si="47"/>
        <v/>
      </c>
      <c r="AA125" s="1024" t="str">
        <f t="shared" si="56"/>
        <v/>
      </c>
      <c r="AC125" s="1024" t="str">
        <f t="shared" si="48"/>
        <v/>
      </c>
      <c r="AE125" s="1024" t="str">
        <f t="shared" si="49"/>
        <v/>
      </c>
      <c r="AG125" s="1024" t="str">
        <f t="shared" si="50"/>
        <v/>
      </c>
      <c r="AI125" s="1024" t="str">
        <f t="shared" si="51"/>
        <v/>
      </c>
      <c r="AK125" s="1024" t="str">
        <f t="shared" si="52"/>
        <v/>
      </c>
      <c r="AM125" s="1024" t="str">
        <f t="shared" si="53"/>
        <v/>
      </c>
      <c r="AO125" s="1024" t="str">
        <f t="shared" si="54"/>
        <v/>
      </c>
      <c r="AQ125" s="1024" t="str">
        <f t="shared" si="55"/>
        <v/>
      </c>
    </row>
    <row r="126" spans="5:43" x14ac:dyDescent="0.2">
      <c r="E126" s="1024" t="str">
        <f t="shared" si="61"/>
        <v/>
      </c>
      <c r="G126" s="1024" t="str">
        <f t="shared" si="57"/>
        <v/>
      </c>
      <c r="I126" s="1024" t="str">
        <f t="shared" si="58"/>
        <v/>
      </c>
      <c r="K126" s="1024" t="str">
        <f t="shared" si="59"/>
        <v/>
      </c>
      <c r="M126" s="1024" t="str">
        <f t="shared" si="60"/>
        <v/>
      </c>
      <c r="O126" s="1024" t="str">
        <f t="shared" si="62"/>
        <v/>
      </c>
      <c r="Q126" s="1024" t="str">
        <f t="shared" si="43"/>
        <v/>
      </c>
      <c r="S126" s="1024" t="str">
        <f t="shared" si="44"/>
        <v/>
      </c>
      <c r="U126" s="1024" t="str">
        <f t="shared" si="45"/>
        <v/>
      </c>
      <c r="W126" s="1024" t="str">
        <f t="shared" si="46"/>
        <v/>
      </c>
      <c r="Y126" s="1024" t="str">
        <f t="shared" si="47"/>
        <v/>
      </c>
      <c r="AA126" s="1024" t="str">
        <f t="shared" si="56"/>
        <v/>
      </c>
      <c r="AC126" s="1024" t="str">
        <f t="shared" si="48"/>
        <v/>
      </c>
      <c r="AE126" s="1024" t="str">
        <f t="shared" si="49"/>
        <v/>
      </c>
      <c r="AG126" s="1024" t="str">
        <f t="shared" si="50"/>
        <v/>
      </c>
      <c r="AI126" s="1024" t="str">
        <f t="shared" si="51"/>
        <v/>
      </c>
      <c r="AK126" s="1024" t="str">
        <f t="shared" si="52"/>
        <v/>
      </c>
      <c r="AM126" s="1024" t="str">
        <f t="shared" si="53"/>
        <v/>
      </c>
      <c r="AO126" s="1024" t="str">
        <f t="shared" si="54"/>
        <v/>
      </c>
      <c r="AQ126" s="1024" t="str">
        <f t="shared" si="55"/>
        <v/>
      </c>
    </row>
    <row r="127" spans="5:43" x14ac:dyDescent="0.2">
      <c r="E127" s="1024" t="str">
        <f t="shared" si="61"/>
        <v/>
      </c>
      <c r="G127" s="1024" t="str">
        <f t="shared" si="57"/>
        <v/>
      </c>
      <c r="I127" s="1024" t="str">
        <f t="shared" si="58"/>
        <v/>
      </c>
      <c r="K127" s="1024" t="str">
        <f t="shared" si="59"/>
        <v/>
      </c>
      <c r="M127" s="1024" t="str">
        <f t="shared" si="60"/>
        <v/>
      </c>
      <c r="O127" s="1024" t="str">
        <f t="shared" si="62"/>
        <v/>
      </c>
      <c r="Q127" s="1024" t="str">
        <f t="shared" si="43"/>
        <v/>
      </c>
      <c r="S127" s="1024" t="str">
        <f t="shared" si="44"/>
        <v/>
      </c>
      <c r="U127" s="1024" t="str">
        <f t="shared" si="45"/>
        <v/>
      </c>
      <c r="W127" s="1024" t="str">
        <f t="shared" si="46"/>
        <v/>
      </c>
      <c r="Y127" s="1024" t="str">
        <f t="shared" si="47"/>
        <v/>
      </c>
      <c r="AA127" s="1024" t="str">
        <f t="shared" si="56"/>
        <v/>
      </c>
      <c r="AC127" s="1024" t="str">
        <f t="shared" si="48"/>
        <v/>
      </c>
      <c r="AE127" s="1024" t="str">
        <f t="shared" si="49"/>
        <v/>
      </c>
      <c r="AG127" s="1024" t="str">
        <f t="shared" si="50"/>
        <v/>
      </c>
      <c r="AI127" s="1024" t="str">
        <f t="shared" si="51"/>
        <v/>
      </c>
      <c r="AK127" s="1024" t="str">
        <f t="shared" si="52"/>
        <v/>
      </c>
      <c r="AM127" s="1024" t="str">
        <f t="shared" si="53"/>
        <v/>
      </c>
      <c r="AO127" s="1024" t="str">
        <f t="shared" si="54"/>
        <v/>
      </c>
      <c r="AQ127" s="1024" t="str">
        <f t="shared" si="55"/>
        <v/>
      </c>
    </row>
    <row r="128" spans="5:43" x14ac:dyDescent="0.2">
      <c r="E128" s="1024" t="str">
        <f t="shared" si="61"/>
        <v/>
      </c>
      <c r="G128" s="1024" t="str">
        <f t="shared" si="57"/>
        <v/>
      </c>
      <c r="I128" s="1024" t="str">
        <f t="shared" si="58"/>
        <v/>
      </c>
      <c r="K128" s="1024" t="str">
        <f t="shared" si="59"/>
        <v/>
      </c>
      <c r="M128" s="1024" t="str">
        <f t="shared" si="60"/>
        <v/>
      </c>
      <c r="O128" s="1024" t="str">
        <f t="shared" si="62"/>
        <v/>
      </c>
      <c r="Q128" s="1024" t="str">
        <f t="shared" si="43"/>
        <v/>
      </c>
      <c r="S128" s="1024" t="str">
        <f t="shared" si="44"/>
        <v/>
      </c>
      <c r="U128" s="1024" t="str">
        <f t="shared" si="45"/>
        <v/>
      </c>
      <c r="W128" s="1024" t="str">
        <f t="shared" si="46"/>
        <v/>
      </c>
      <c r="Y128" s="1024" t="str">
        <f t="shared" si="47"/>
        <v/>
      </c>
      <c r="AA128" s="1024" t="str">
        <f t="shared" si="56"/>
        <v/>
      </c>
      <c r="AC128" s="1024" t="str">
        <f t="shared" si="48"/>
        <v/>
      </c>
      <c r="AE128" s="1024" t="str">
        <f t="shared" si="49"/>
        <v/>
      </c>
      <c r="AG128" s="1024" t="str">
        <f t="shared" si="50"/>
        <v/>
      </c>
      <c r="AI128" s="1024" t="str">
        <f t="shared" si="51"/>
        <v/>
      </c>
      <c r="AK128" s="1024" t="str">
        <f t="shared" si="52"/>
        <v/>
      </c>
      <c r="AM128" s="1024" t="str">
        <f t="shared" si="53"/>
        <v/>
      </c>
      <c r="AO128" s="1024" t="str">
        <f t="shared" si="54"/>
        <v/>
      </c>
      <c r="AQ128" s="1024" t="str">
        <f t="shared" si="55"/>
        <v/>
      </c>
    </row>
    <row r="129" spans="5:43" x14ac:dyDescent="0.2">
      <c r="E129" s="1024" t="str">
        <f t="shared" si="61"/>
        <v/>
      </c>
      <c r="G129" s="1024" t="str">
        <f t="shared" si="57"/>
        <v/>
      </c>
      <c r="I129" s="1024" t="str">
        <f t="shared" si="58"/>
        <v/>
      </c>
      <c r="K129" s="1024" t="str">
        <f t="shared" si="59"/>
        <v/>
      </c>
      <c r="M129" s="1024" t="str">
        <f t="shared" si="60"/>
        <v/>
      </c>
      <c r="O129" s="1024" t="str">
        <f t="shared" si="62"/>
        <v/>
      </c>
      <c r="Q129" s="1024" t="str">
        <f t="shared" si="43"/>
        <v/>
      </c>
      <c r="S129" s="1024" t="str">
        <f t="shared" si="44"/>
        <v/>
      </c>
      <c r="U129" s="1024" t="str">
        <f t="shared" si="45"/>
        <v/>
      </c>
      <c r="W129" s="1024" t="str">
        <f t="shared" si="46"/>
        <v/>
      </c>
      <c r="Y129" s="1024" t="str">
        <f t="shared" si="47"/>
        <v/>
      </c>
      <c r="AA129" s="1024" t="str">
        <f t="shared" si="56"/>
        <v/>
      </c>
      <c r="AC129" s="1024" t="str">
        <f t="shared" si="48"/>
        <v/>
      </c>
      <c r="AE129" s="1024" t="str">
        <f t="shared" si="49"/>
        <v/>
      </c>
      <c r="AG129" s="1024" t="str">
        <f t="shared" si="50"/>
        <v/>
      </c>
      <c r="AI129" s="1024" t="str">
        <f t="shared" si="51"/>
        <v/>
      </c>
      <c r="AK129" s="1024" t="str">
        <f t="shared" si="52"/>
        <v/>
      </c>
      <c r="AM129" s="1024" t="str">
        <f t="shared" si="53"/>
        <v/>
      </c>
      <c r="AO129" s="1024" t="str">
        <f t="shared" si="54"/>
        <v/>
      </c>
      <c r="AQ129" s="1024" t="str">
        <f t="shared" si="55"/>
        <v/>
      </c>
    </row>
    <row r="130" spans="5:43" x14ac:dyDescent="0.2">
      <c r="E130" s="1024" t="str">
        <f t="shared" si="61"/>
        <v/>
      </c>
      <c r="G130" s="1024" t="str">
        <f t="shared" si="57"/>
        <v/>
      </c>
      <c r="I130" s="1024" t="str">
        <f t="shared" si="58"/>
        <v/>
      </c>
      <c r="K130" s="1024" t="str">
        <f t="shared" si="59"/>
        <v/>
      </c>
      <c r="M130" s="1024" t="str">
        <f t="shared" si="60"/>
        <v/>
      </c>
      <c r="O130" s="1024" t="str">
        <f t="shared" si="62"/>
        <v/>
      </c>
      <c r="Q130" s="1024" t="str">
        <f t="shared" si="43"/>
        <v/>
      </c>
      <c r="S130" s="1024" t="str">
        <f t="shared" si="44"/>
        <v/>
      </c>
      <c r="U130" s="1024" t="str">
        <f t="shared" si="45"/>
        <v/>
      </c>
      <c r="W130" s="1024" t="str">
        <f t="shared" si="46"/>
        <v/>
      </c>
      <c r="Y130" s="1024" t="str">
        <f t="shared" si="47"/>
        <v/>
      </c>
      <c r="AA130" s="1024" t="str">
        <f t="shared" si="56"/>
        <v/>
      </c>
      <c r="AC130" s="1024" t="str">
        <f t="shared" si="48"/>
        <v/>
      </c>
      <c r="AE130" s="1024" t="str">
        <f t="shared" si="49"/>
        <v/>
      </c>
      <c r="AG130" s="1024" t="str">
        <f t="shared" si="50"/>
        <v/>
      </c>
      <c r="AI130" s="1024" t="str">
        <f t="shared" si="51"/>
        <v/>
      </c>
      <c r="AK130" s="1024" t="str">
        <f t="shared" si="52"/>
        <v/>
      </c>
      <c r="AM130" s="1024" t="str">
        <f t="shared" si="53"/>
        <v/>
      </c>
      <c r="AO130" s="1024" t="str">
        <f t="shared" si="54"/>
        <v/>
      </c>
      <c r="AQ130" s="1024" t="str">
        <f t="shared" si="55"/>
        <v/>
      </c>
    </row>
    <row r="131" spans="5:43" x14ac:dyDescent="0.2">
      <c r="E131" s="1024" t="str">
        <f t="shared" si="61"/>
        <v/>
      </c>
      <c r="G131" s="1024" t="str">
        <f t="shared" si="57"/>
        <v/>
      </c>
      <c r="I131" s="1024" t="str">
        <f t="shared" si="58"/>
        <v/>
      </c>
      <c r="K131" s="1024" t="str">
        <f t="shared" si="59"/>
        <v/>
      </c>
      <c r="M131" s="1024" t="str">
        <f t="shared" si="60"/>
        <v/>
      </c>
      <c r="O131" s="1024" t="str">
        <f t="shared" si="62"/>
        <v/>
      </c>
      <c r="Q131" s="1024" t="str">
        <f t="shared" si="43"/>
        <v/>
      </c>
      <c r="S131" s="1024" t="str">
        <f t="shared" si="44"/>
        <v/>
      </c>
      <c r="U131" s="1024" t="str">
        <f t="shared" si="45"/>
        <v/>
      </c>
      <c r="W131" s="1024" t="str">
        <f t="shared" si="46"/>
        <v/>
      </c>
      <c r="Y131" s="1024" t="str">
        <f t="shared" si="47"/>
        <v/>
      </c>
      <c r="AA131" s="1024" t="str">
        <f t="shared" si="56"/>
        <v/>
      </c>
      <c r="AC131" s="1024" t="str">
        <f t="shared" si="48"/>
        <v/>
      </c>
      <c r="AE131" s="1024" t="str">
        <f t="shared" si="49"/>
        <v/>
      </c>
      <c r="AG131" s="1024" t="str">
        <f t="shared" si="50"/>
        <v/>
      </c>
      <c r="AI131" s="1024" t="str">
        <f t="shared" si="51"/>
        <v/>
      </c>
      <c r="AK131" s="1024" t="str">
        <f t="shared" si="52"/>
        <v/>
      </c>
      <c r="AM131" s="1024" t="str">
        <f t="shared" si="53"/>
        <v/>
      </c>
      <c r="AO131" s="1024" t="str">
        <f t="shared" si="54"/>
        <v/>
      </c>
      <c r="AQ131" s="1024" t="str">
        <f t="shared" si="55"/>
        <v/>
      </c>
    </row>
    <row r="132" spans="5:43" x14ac:dyDescent="0.2">
      <c r="E132" s="1024" t="str">
        <f t="shared" si="61"/>
        <v/>
      </c>
      <c r="G132" s="1024" t="str">
        <f t="shared" si="57"/>
        <v/>
      </c>
      <c r="I132" s="1024" t="str">
        <f t="shared" si="58"/>
        <v/>
      </c>
      <c r="K132" s="1024" t="str">
        <f t="shared" si="59"/>
        <v/>
      </c>
      <c r="M132" s="1024" t="str">
        <f t="shared" si="60"/>
        <v/>
      </c>
      <c r="O132" s="1024" t="str">
        <f t="shared" si="62"/>
        <v/>
      </c>
      <c r="Q132" s="1024" t="str">
        <f t="shared" si="43"/>
        <v/>
      </c>
      <c r="S132" s="1024" t="str">
        <f t="shared" si="44"/>
        <v/>
      </c>
      <c r="U132" s="1024" t="str">
        <f t="shared" si="45"/>
        <v/>
      </c>
      <c r="W132" s="1024" t="str">
        <f t="shared" si="46"/>
        <v/>
      </c>
      <c r="Y132" s="1024" t="str">
        <f t="shared" si="47"/>
        <v/>
      </c>
      <c r="AA132" s="1024" t="str">
        <f t="shared" si="56"/>
        <v/>
      </c>
      <c r="AC132" s="1024" t="str">
        <f t="shared" si="48"/>
        <v/>
      </c>
      <c r="AE132" s="1024" t="str">
        <f t="shared" si="49"/>
        <v/>
      </c>
      <c r="AG132" s="1024" t="str">
        <f t="shared" si="50"/>
        <v/>
      </c>
      <c r="AI132" s="1024" t="str">
        <f t="shared" si="51"/>
        <v/>
      </c>
      <c r="AK132" s="1024" t="str">
        <f t="shared" si="52"/>
        <v/>
      </c>
      <c r="AM132" s="1024" t="str">
        <f t="shared" si="53"/>
        <v/>
      </c>
      <c r="AO132" s="1024" t="str">
        <f t="shared" si="54"/>
        <v/>
      </c>
      <c r="AQ132" s="1024" t="str">
        <f t="shared" si="55"/>
        <v/>
      </c>
    </row>
    <row r="133" spans="5:43" x14ac:dyDescent="0.2">
      <c r="E133" s="1024" t="str">
        <f t="shared" si="61"/>
        <v/>
      </c>
      <c r="G133" s="1024" t="str">
        <f t="shared" si="57"/>
        <v/>
      </c>
      <c r="I133" s="1024" t="str">
        <f t="shared" si="58"/>
        <v/>
      </c>
      <c r="K133" s="1024" t="str">
        <f t="shared" si="59"/>
        <v/>
      </c>
      <c r="M133" s="1024" t="str">
        <f t="shared" si="60"/>
        <v/>
      </c>
      <c r="O133" s="1024" t="str">
        <f t="shared" si="62"/>
        <v/>
      </c>
      <c r="Q133" s="1024" t="str">
        <f t="shared" si="43"/>
        <v/>
      </c>
      <c r="S133" s="1024" t="str">
        <f t="shared" si="44"/>
        <v/>
      </c>
      <c r="U133" s="1024" t="str">
        <f t="shared" si="45"/>
        <v/>
      </c>
      <c r="W133" s="1024" t="str">
        <f t="shared" si="46"/>
        <v/>
      </c>
      <c r="Y133" s="1024" t="str">
        <f t="shared" si="47"/>
        <v/>
      </c>
      <c r="AA133" s="1024" t="str">
        <f t="shared" si="56"/>
        <v/>
      </c>
      <c r="AC133" s="1024" t="str">
        <f t="shared" si="48"/>
        <v/>
      </c>
      <c r="AE133" s="1024" t="str">
        <f t="shared" si="49"/>
        <v/>
      </c>
      <c r="AG133" s="1024" t="str">
        <f t="shared" si="50"/>
        <v/>
      </c>
      <c r="AI133" s="1024" t="str">
        <f t="shared" si="51"/>
        <v/>
      </c>
      <c r="AK133" s="1024" t="str">
        <f t="shared" si="52"/>
        <v/>
      </c>
      <c r="AM133" s="1024" t="str">
        <f t="shared" si="53"/>
        <v/>
      </c>
      <c r="AO133" s="1024" t="str">
        <f t="shared" si="54"/>
        <v/>
      </c>
      <c r="AQ133" s="1024" t="str">
        <f t="shared" si="55"/>
        <v/>
      </c>
    </row>
    <row r="134" spans="5:43" x14ac:dyDescent="0.2">
      <c r="E134" s="1024" t="str">
        <f t="shared" si="61"/>
        <v/>
      </c>
      <c r="G134" s="1024" t="str">
        <f t="shared" si="57"/>
        <v/>
      </c>
      <c r="I134" s="1024" t="str">
        <f t="shared" si="58"/>
        <v/>
      </c>
      <c r="K134" s="1024" t="str">
        <f t="shared" si="59"/>
        <v/>
      </c>
      <c r="M134" s="1024" t="str">
        <f t="shared" si="60"/>
        <v/>
      </c>
      <c r="O134" s="1024" t="str">
        <f t="shared" si="62"/>
        <v/>
      </c>
      <c r="Q134" s="1024" t="str">
        <f t="shared" si="43"/>
        <v/>
      </c>
      <c r="S134" s="1024" t="str">
        <f t="shared" si="44"/>
        <v/>
      </c>
      <c r="U134" s="1024" t="str">
        <f t="shared" si="45"/>
        <v/>
      </c>
      <c r="W134" s="1024" t="str">
        <f t="shared" si="46"/>
        <v/>
      </c>
      <c r="Y134" s="1024" t="str">
        <f t="shared" si="47"/>
        <v/>
      </c>
      <c r="AA134" s="1024" t="str">
        <f t="shared" si="56"/>
        <v/>
      </c>
      <c r="AC134" s="1024" t="str">
        <f t="shared" si="48"/>
        <v/>
      </c>
      <c r="AE134" s="1024" t="str">
        <f t="shared" si="49"/>
        <v/>
      </c>
      <c r="AG134" s="1024" t="str">
        <f t="shared" si="50"/>
        <v/>
      </c>
      <c r="AI134" s="1024" t="str">
        <f t="shared" si="51"/>
        <v/>
      </c>
      <c r="AK134" s="1024" t="str">
        <f t="shared" si="52"/>
        <v/>
      </c>
      <c r="AM134" s="1024" t="str">
        <f t="shared" si="53"/>
        <v/>
      </c>
      <c r="AO134" s="1024" t="str">
        <f t="shared" si="54"/>
        <v/>
      </c>
      <c r="AQ134" s="1024" t="str">
        <f t="shared" si="55"/>
        <v/>
      </c>
    </row>
    <row r="135" spans="5:43" x14ac:dyDescent="0.2">
      <c r="E135" s="1024" t="str">
        <f t="shared" si="61"/>
        <v/>
      </c>
      <c r="G135" s="1024" t="str">
        <f t="shared" si="57"/>
        <v/>
      </c>
      <c r="I135" s="1024" t="str">
        <f t="shared" si="58"/>
        <v/>
      </c>
      <c r="K135" s="1024" t="str">
        <f t="shared" si="59"/>
        <v/>
      </c>
      <c r="M135" s="1024" t="str">
        <f t="shared" si="60"/>
        <v/>
      </c>
      <c r="O135" s="1024" t="str">
        <f t="shared" si="62"/>
        <v/>
      </c>
      <c r="Q135" s="1024" t="str">
        <f t="shared" si="43"/>
        <v/>
      </c>
      <c r="S135" s="1024" t="str">
        <f t="shared" si="44"/>
        <v/>
      </c>
      <c r="U135" s="1024" t="str">
        <f t="shared" si="45"/>
        <v/>
      </c>
      <c r="W135" s="1024" t="str">
        <f t="shared" si="46"/>
        <v/>
      </c>
      <c r="Y135" s="1024" t="str">
        <f t="shared" si="47"/>
        <v/>
      </c>
      <c r="AA135" s="1024" t="str">
        <f t="shared" si="56"/>
        <v/>
      </c>
      <c r="AC135" s="1024" t="str">
        <f t="shared" si="48"/>
        <v/>
      </c>
      <c r="AE135" s="1024" t="str">
        <f t="shared" si="49"/>
        <v/>
      </c>
      <c r="AG135" s="1024" t="str">
        <f t="shared" si="50"/>
        <v/>
      </c>
      <c r="AI135" s="1024" t="str">
        <f t="shared" si="51"/>
        <v/>
      </c>
      <c r="AK135" s="1024" t="str">
        <f t="shared" si="52"/>
        <v/>
      </c>
      <c r="AM135" s="1024" t="str">
        <f t="shared" si="53"/>
        <v/>
      </c>
      <c r="AO135" s="1024" t="str">
        <f t="shared" si="54"/>
        <v/>
      </c>
      <c r="AQ135" s="1024" t="str">
        <f t="shared" si="55"/>
        <v/>
      </c>
    </row>
    <row r="136" spans="5:43" x14ac:dyDescent="0.2">
      <c r="E136" s="1024" t="str">
        <f t="shared" si="61"/>
        <v/>
      </c>
      <c r="G136" s="1024" t="str">
        <f t="shared" si="57"/>
        <v/>
      </c>
      <c r="I136" s="1024" t="str">
        <f t="shared" si="58"/>
        <v/>
      </c>
      <c r="K136" s="1024" t="str">
        <f t="shared" si="59"/>
        <v/>
      </c>
      <c r="M136" s="1024" t="str">
        <f t="shared" si="60"/>
        <v/>
      </c>
      <c r="O136" s="1024" t="str">
        <f t="shared" si="62"/>
        <v/>
      </c>
      <c r="Q136" s="1024" t="str">
        <f t="shared" si="43"/>
        <v/>
      </c>
      <c r="S136" s="1024" t="str">
        <f t="shared" si="44"/>
        <v/>
      </c>
      <c r="U136" s="1024" t="str">
        <f t="shared" si="45"/>
        <v/>
      </c>
      <c r="W136" s="1024" t="str">
        <f t="shared" si="46"/>
        <v/>
      </c>
      <c r="Y136" s="1024" t="str">
        <f t="shared" si="47"/>
        <v/>
      </c>
      <c r="AA136" s="1024" t="str">
        <f t="shared" si="56"/>
        <v/>
      </c>
      <c r="AC136" s="1024" t="str">
        <f t="shared" si="48"/>
        <v/>
      </c>
      <c r="AE136" s="1024" t="str">
        <f t="shared" si="49"/>
        <v/>
      </c>
      <c r="AG136" s="1024" t="str">
        <f t="shared" si="50"/>
        <v/>
      </c>
      <c r="AI136" s="1024" t="str">
        <f t="shared" si="51"/>
        <v/>
      </c>
      <c r="AK136" s="1024" t="str">
        <f t="shared" si="52"/>
        <v/>
      </c>
      <c r="AM136" s="1024" t="str">
        <f t="shared" si="53"/>
        <v/>
      </c>
      <c r="AO136" s="1024" t="str">
        <f t="shared" si="54"/>
        <v/>
      </c>
      <c r="AQ136" s="1024" t="str">
        <f t="shared" si="55"/>
        <v/>
      </c>
    </row>
    <row r="137" spans="5:43" x14ac:dyDescent="0.2">
      <c r="E137" s="1024" t="str">
        <f t="shared" si="61"/>
        <v/>
      </c>
      <c r="G137" s="1024" t="str">
        <f t="shared" si="57"/>
        <v/>
      </c>
      <c r="I137" s="1024" t="str">
        <f t="shared" si="58"/>
        <v/>
      </c>
      <c r="K137" s="1024" t="str">
        <f t="shared" si="59"/>
        <v/>
      </c>
      <c r="M137" s="1024" t="str">
        <f t="shared" si="60"/>
        <v/>
      </c>
      <c r="O137" s="1024" t="str">
        <f t="shared" si="62"/>
        <v/>
      </c>
      <c r="Q137" s="1024" t="str">
        <f t="shared" si="43"/>
        <v/>
      </c>
      <c r="S137" s="1024" t="str">
        <f t="shared" si="44"/>
        <v/>
      </c>
      <c r="U137" s="1024" t="str">
        <f t="shared" si="45"/>
        <v/>
      </c>
      <c r="W137" s="1024" t="str">
        <f t="shared" si="46"/>
        <v/>
      </c>
      <c r="Y137" s="1024" t="str">
        <f t="shared" si="47"/>
        <v/>
      </c>
      <c r="AA137" s="1024" t="str">
        <f t="shared" si="56"/>
        <v/>
      </c>
      <c r="AC137" s="1024" t="str">
        <f t="shared" si="48"/>
        <v/>
      </c>
      <c r="AE137" s="1024" t="str">
        <f t="shared" si="49"/>
        <v/>
      </c>
      <c r="AG137" s="1024" t="str">
        <f t="shared" si="50"/>
        <v/>
      </c>
      <c r="AI137" s="1024" t="str">
        <f t="shared" si="51"/>
        <v/>
      </c>
      <c r="AK137" s="1024" t="str">
        <f t="shared" si="52"/>
        <v/>
      </c>
      <c r="AM137" s="1024" t="str">
        <f t="shared" si="53"/>
        <v/>
      </c>
      <c r="AO137" s="1024" t="str">
        <f t="shared" si="54"/>
        <v/>
      </c>
      <c r="AQ137" s="1024" t="str">
        <f t="shared" si="55"/>
        <v/>
      </c>
    </row>
    <row r="138" spans="5:43" x14ac:dyDescent="0.2">
      <c r="E138" s="1024" t="str">
        <f t="shared" si="61"/>
        <v/>
      </c>
      <c r="G138" s="1024" t="str">
        <f t="shared" si="57"/>
        <v/>
      </c>
      <c r="I138" s="1024" t="str">
        <f t="shared" si="58"/>
        <v/>
      </c>
      <c r="K138" s="1024" t="str">
        <f t="shared" si="59"/>
        <v/>
      </c>
      <c r="M138" s="1024" t="str">
        <f t="shared" si="60"/>
        <v/>
      </c>
      <c r="O138" s="1024" t="str">
        <f t="shared" si="62"/>
        <v/>
      </c>
      <c r="Q138" s="1024" t="str">
        <f t="shared" si="43"/>
        <v/>
      </c>
      <c r="S138" s="1024" t="str">
        <f t="shared" si="44"/>
        <v/>
      </c>
      <c r="U138" s="1024" t="str">
        <f t="shared" si="45"/>
        <v/>
      </c>
      <c r="W138" s="1024" t="str">
        <f t="shared" si="46"/>
        <v/>
      </c>
      <c r="Y138" s="1024" t="str">
        <f t="shared" si="47"/>
        <v/>
      </c>
      <c r="AA138" s="1024" t="str">
        <f t="shared" si="56"/>
        <v/>
      </c>
      <c r="AC138" s="1024" t="str">
        <f t="shared" si="48"/>
        <v/>
      </c>
      <c r="AE138" s="1024" t="str">
        <f t="shared" si="49"/>
        <v/>
      </c>
      <c r="AG138" s="1024" t="str">
        <f t="shared" si="50"/>
        <v/>
      </c>
      <c r="AI138" s="1024" t="str">
        <f t="shared" si="51"/>
        <v/>
      </c>
      <c r="AK138" s="1024" t="str">
        <f t="shared" si="52"/>
        <v/>
      </c>
      <c r="AM138" s="1024" t="str">
        <f t="shared" si="53"/>
        <v/>
      </c>
      <c r="AO138" s="1024" t="str">
        <f t="shared" si="54"/>
        <v/>
      </c>
      <c r="AQ138" s="1024" t="str">
        <f t="shared" si="55"/>
        <v/>
      </c>
    </row>
    <row r="139" spans="5:43" x14ac:dyDescent="0.2">
      <c r="E139" s="1024" t="str">
        <f t="shared" si="61"/>
        <v/>
      </c>
      <c r="G139" s="1024" t="str">
        <f t="shared" si="57"/>
        <v/>
      </c>
      <c r="I139" s="1024" t="str">
        <f t="shared" si="58"/>
        <v/>
      </c>
      <c r="K139" s="1024" t="str">
        <f t="shared" si="59"/>
        <v/>
      </c>
      <c r="M139" s="1024" t="str">
        <f t="shared" si="60"/>
        <v/>
      </c>
      <c r="O139" s="1024" t="str">
        <f t="shared" si="62"/>
        <v/>
      </c>
      <c r="Q139" s="1024" t="str">
        <f t="shared" si="43"/>
        <v/>
      </c>
      <c r="S139" s="1024" t="str">
        <f t="shared" si="44"/>
        <v/>
      </c>
      <c r="U139" s="1024" t="str">
        <f t="shared" si="45"/>
        <v/>
      </c>
      <c r="W139" s="1024" t="str">
        <f t="shared" si="46"/>
        <v/>
      </c>
      <c r="Y139" s="1024" t="str">
        <f t="shared" si="47"/>
        <v/>
      </c>
      <c r="AA139" s="1024" t="str">
        <f t="shared" si="56"/>
        <v/>
      </c>
      <c r="AC139" s="1024" t="str">
        <f t="shared" si="48"/>
        <v/>
      </c>
      <c r="AE139" s="1024" t="str">
        <f t="shared" si="49"/>
        <v/>
      </c>
      <c r="AG139" s="1024" t="str">
        <f t="shared" si="50"/>
        <v/>
      </c>
      <c r="AI139" s="1024" t="str">
        <f t="shared" si="51"/>
        <v/>
      </c>
      <c r="AK139" s="1024" t="str">
        <f t="shared" si="52"/>
        <v/>
      </c>
      <c r="AM139" s="1024" t="str">
        <f t="shared" si="53"/>
        <v/>
      </c>
      <c r="AO139" s="1024" t="str">
        <f t="shared" si="54"/>
        <v/>
      </c>
      <c r="AQ139" s="1024" t="str">
        <f t="shared" si="55"/>
        <v/>
      </c>
    </row>
    <row r="140" spans="5:43" x14ac:dyDescent="0.2">
      <c r="E140" s="1024" t="str">
        <f t="shared" si="61"/>
        <v/>
      </c>
      <c r="G140" s="1024" t="str">
        <f t="shared" si="57"/>
        <v/>
      </c>
      <c r="I140" s="1024" t="str">
        <f t="shared" si="58"/>
        <v/>
      </c>
      <c r="K140" s="1024" t="str">
        <f t="shared" si="59"/>
        <v/>
      </c>
      <c r="M140" s="1024" t="str">
        <f t="shared" si="60"/>
        <v/>
      </c>
      <c r="O140" s="1024" t="str">
        <f t="shared" si="62"/>
        <v/>
      </c>
      <c r="Q140" s="1024" t="str">
        <f t="shared" si="43"/>
        <v/>
      </c>
      <c r="S140" s="1024" t="str">
        <f t="shared" si="44"/>
        <v/>
      </c>
      <c r="U140" s="1024" t="str">
        <f t="shared" si="45"/>
        <v/>
      </c>
      <c r="W140" s="1024" t="str">
        <f t="shared" si="46"/>
        <v/>
      </c>
      <c r="Y140" s="1024" t="str">
        <f t="shared" si="47"/>
        <v/>
      </c>
      <c r="AA140" s="1024" t="str">
        <f t="shared" si="56"/>
        <v/>
      </c>
      <c r="AC140" s="1024" t="str">
        <f t="shared" si="48"/>
        <v/>
      </c>
      <c r="AE140" s="1024" t="str">
        <f t="shared" si="49"/>
        <v/>
      </c>
      <c r="AG140" s="1024" t="str">
        <f t="shared" si="50"/>
        <v/>
      </c>
      <c r="AI140" s="1024" t="str">
        <f t="shared" si="51"/>
        <v/>
      </c>
      <c r="AK140" s="1024" t="str">
        <f t="shared" si="52"/>
        <v/>
      </c>
      <c r="AM140" s="1024" t="str">
        <f t="shared" si="53"/>
        <v/>
      </c>
      <c r="AO140" s="1024" t="str">
        <f t="shared" si="54"/>
        <v/>
      </c>
      <c r="AQ140" s="1024" t="str">
        <f t="shared" si="55"/>
        <v/>
      </c>
    </row>
    <row r="141" spans="5:43" x14ac:dyDescent="0.2">
      <c r="E141" s="1024" t="str">
        <f t="shared" si="61"/>
        <v/>
      </c>
      <c r="G141" s="1024" t="str">
        <f t="shared" si="57"/>
        <v/>
      </c>
      <c r="I141" s="1024" t="str">
        <f t="shared" si="58"/>
        <v/>
      </c>
      <c r="K141" s="1024" t="str">
        <f t="shared" si="59"/>
        <v/>
      </c>
      <c r="M141" s="1024" t="str">
        <f t="shared" si="60"/>
        <v/>
      </c>
      <c r="O141" s="1024" t="str">
        <f t="shared" si="62"/>
        <v/>
      </c>
      <c r="Q141" s="1024" t="str">
        <f t="shared" si="43"/>
        <v/>
      </c>
      <c r="S141" s="1024" t="str">
        <f t="shared" si="44"/>
        <v/>
      </c>
      <c r="U141" s="1024" t="str">
        <f t="shared" si="45"/>
        <v/>
      </c>
      <c r="W141" s="1024" t="str">
        <f t="shared" si="46"/>
        <v/>
      </c>
      <c r="Y141" s="1024" t="str">
        <f t="shared" si="47"/>
        <v/>
      </c>
      <c r="AA141" s="1024" t="str">
        <f t="shared" si="56"/>
        <v/>
      </c>
      <c r="AC141" s="1024" t="str">
        <f t="shared" si="48"/>
        <v/>
      </c>
      <c r="AE141" s="1024" t="str">
        <f t="shared" si="49"/>
        <v/>
      </c>
      <c r="AG141" s="1024" t="str">
        <f t="shared" si="50"/>
        <v/>
      </c>
      <c r="AI141" s="1024" t="str">
        <f t="shared" si="51"/>
        <v/>
      </c>
      <c r="AK141" s="1024" t="str">
        <f t="shared" si="52"/>
        <v/>
      </c>
      <c r="AM141" s="1024" t="str">
        <f t="shared" si="53"/>
        <v/>
      </c>
      <c r="AO141" s="1024" t="str">
        <f t="shared" si="54"/>
        <v/>
      </c>
      <c r="AQ141" s="1024" t="str">
        <f t="shared" si="55"/>
        <v/>
      </c>
    </row>
    <row r="142" spans="5:43" x14ac:dyDescent="0.2">
      <c r="E142" s="1024" t="str">
        <f t="shared" si="61"/>
        <v/>
      </c>
      <c r="G142" s="1024" t="str">
        <f t="shared" si="57"/>
        <v/>
      </c>
      <c r="I142" s="1024" t="str">
        <f t="shared" si="58"/>
        <v/>
      </c>
      <c r="K142" s="1024" t="str">
        <f t="shared" si="59"/>
        <v/>
      </c>
      <c r="M142" s="1024" t="str">
        <f t="shared" si="60"/>
        <v/>
      </c>
      <c r="O142" s="1024" t="str">
        <f t="shared" si="62"/>
        <v/>
      </c>
      <c r="Q142" s="1024" t="str">
        <f t="shared" si="43"/>
        <v/>
      </c>
      <c r="S142" s="1024" t="str">
        <f t="shared" si="44"/>
        <v/>
      </c>
      <c r="U142" s="1024" t="str">
        <f t="shared" si="45"/>
        <v/>
      </c>
      <c r="W142" s="1024" t="str">
        <f t="shared" si="46"/>
        <v/>
      </c>
      <c r="Y142" s="1024" t="str">
        <f t="shared" si="47"/>
        <v/>
      </c>
      <c r="AA142" s="1024" t="str">
        <f t="shared" si="56"/>
        <v/>
      </c>
      <c r="AC142" s="1024" t="str">
        <f t="shared" si="48"/>
        <v/>
      </c>
      <c r="AE142" s="1024" t="str">
        <f t="shared" si="49"/>
        <v/>
      </c>
      <c r="AG142" s="1024" t="str">
        <f t="shared" si="50"/>
        <v/>
      </c>
      <c r="AI142" s="1024" t="str">
        <f t="shared" si="51"/>
        <v/>
      </c>
      <c r="AK142" s="1024" t="str">
        <f t="shared" si="52"/>
        <v/>
      </c>
      <c r="AM142" s="1024" t="str">
        <f t="shared" si="53"/>
        <v/>
      </c>
      <c r="AO142" s="1024" t="str">
        <f t="shared" si="54"/>
        <v/>
      </c>
      <c r="AQ142" s="1024" t="str">
        <f t="shared" si="55"/>
        <v/>
      </c>
    </row>
    <row r="143" spans="5:43" x14ac:dyDescent="0.2">
      <c r="E143" s="1024" t="str">
        <f t="shared" si="61"/>
        <v/>
      </c>
      <c r="G143" s="1024" t="str">
        <f t="shared" si="57"/>
        <v/>
      </c>
      <c r="I143" s="1024" t="str">
        <f t="shared" si="58"/>
        <v/>
      </c>
      <c r="K143" s="1024" t="str">
        <f t="shared" si="59"/>
        <v/>
      </c>
      <c r="M143" s="1024" t="str">
        <f t="shared" si="60"/>
        <v/>
      </c>
      <c r="O143" s="1024" t="str">
        <f t="shared" si="62"/>
        <v/>
      </c>
      <c r="Q143" s="1024" t="str">
        <f t="shared" si="43"/>
        <v/>
      </c>
      <c r="S143" s="1024" t="str">
        <f t="shared" si="44"/>
        <v/>
      </c>
      <c r="U143" s="1024" t="str">
        <f t="shared" si="45"/>
        <v/>
      </c>
      <c r="W143" s="1024" t="str">
        <f t="shared" si="46"/>
        <v/>
      </c>
      <c r="Y143" s="1024" t="str">
        <f t="shared" si="47"/>
        <v/>
      </c>
      <c r="AA143" s="1024" t="str">
        <f t="shared" si="56"/>
        <v/>
      </c>
      <c r="AC143" s="1024" t="str">
        <f t="shared" si="48"/>
        <v/>
      </c>
      <c r="AE143" s="1024" t="str">
        <f t="shared" si="49"/>
        <v/>
      </c>
      <c r="AG143" s="1024" t="str">
        <f t="shared" si="50"/>
        <v/>
      </c>
      <c r="AI143" s="1024" t="str">
        <f t="shared" si="51"/>
        <v/>
      </c>
      <c r="AK143" s="1024" t="str">
        <f t="shared" si="52"/>
        <v/>
      </c>
      <c r="AM143" s="1024" t="str">
        <f t="shared" si="53"/>
        <v/>
      </c>
      <c r="AO143" s="1024" t="str">
        <f t="shared" si="54"/>
        <v/>
      </c>
      <c r="AQ143" s="1024" t="str">
        <f t="shared" si="55"/>
        <v/>
      </c>
    </row>
    <row r="144" spans="5:43" x14ac:dyDescent="0.2">
      <c r="E144" s="1024" t="str">
        <f t="shared" si="61"/>
        <v/>
      </c>
      <c r="G144" s="1024" t="str">
        <f t="shared" si="57"/>
        <v/>
      </c>
      <c r="I144" s="1024" t="str">
        <f t="shared" si="58"/>
        <v/>
      </c>
      <c r="K144" s="1024" t="str">
        <f t="shared" si="59"/>
        <v/>
      </c>
      <c r="M144" s="1024" t="str">
        <f t="shared" si="60"/>
        <v/>
      </c>
      <c r="O144" s="1024" t="str">
        <f t="shared" si="62"/>
        <v/>
      </c>
      <c r="Q144" s="1024" t="str">
        <f t="shared" si="43"/>
        <v/>
      </c>
      <c r="S144" s="1024" t="str">
        <f t="shared" si="44"/>
        <v/>
      </c>
      <c r="U144" s="1024" t="str">
        <f t="shared" si="45"/>
        <v/>
      </c>
      <c r="W144" s="1024" t="str">
        <f t="shared" si="46"/>
        <v/>
      </c>
      <c r="Y144" s="1024" t="str">
        <f t="shared" si="47"/>
        <v/>
      </c>
      <c r="AA144" s="1024" t="str">
        <f t="shared" si="56"/>
        <v/>
      </c>
      <c r="AC144" s="1024" t="str">
        <f t="shared" si="48"/>
        <v/>
      </c>
      <c r="AE144" s="1024" t="str">
        <f t="shared" si="49"/>
        <v/>
      </c>
      <c r="AG144" s="1024" t="str">
        <f t="shared" si="50"/>
        <v/>
      </c>
      <c r="AI144" s="1024" t="str">
        <f t="shared" si="51"/>
        <v/>
      </c>
      <c r="AK144" s="1024" t="str">
        <f t="shared" si="52"/>
        <v/>
      </c>
      <c r="AM144" s="1024" t="str">
        <f t="shared" si="53"/>
        <v/>
      </c>
      <c r="AO144" s="1024" t="str">
        <f t="shared" si="54"/>
        <v/>
      </c>
      <c r="AQ144" s="1024" t="str">
        <f t="shared" si="55"/>
        <v/>
      </c>
    </row>
    <row r="145" spans="5:43" x14ac:dyDescent="0.2">
      <c r="E145" s="1024" t="str">
        <f t="shared" si="61"/>
        <v/>
      </c>
      <c r="G145" s="1024" t="str">
        <f t="shared" si="57"/>
        <v/>
      </c>
      <c r="I145" s="1024" t="str">
        <f t="shared" si="58"/>
        <v/>
      </c>
      <c r="K145" s="1024" t="str">
        <f t="shared" si="59"/>
        <v/>
      </c>
      <c r="M145" s="1024" t="str">
        <f t="shared" si="60"/>
        <v/>
      </c>
      <c r="O145" s="1024" t="str">
        <f t="shared" si="62"/>
        <v/>
      </c>
      <c r="Q145" s="1024" t="str">
        <f t="shared" si="43"/>
        <v/>
      </c>
      <c r="S145" s="1024" t="str">
        <f t="shared" si="44"/>
        <v/>
      </c>
      <c r="U145" s="1024" t="str">
        <f t="shared" si="45"/>
        <v/>
      </c>
      <c r="W145" s="1024" t="str">
        <f t="shared" si="46"/>
        <v/>
      </c>
      <c r="Y145" s="1024" t="str">
        <f t="shared" si="47"/>
        <v/>
      </c>
      <c r="AA145" s="1024" t="str">
        <f t="shared" si="56"/>
        <v/>
      </c>
      <c r="AC145" s="1024" t="str">
        <f t="shared" si="48"/>
        <v/>
      </c>
      <c r="AE145" s="1024" t="str">
        <f t="shared" si="49"/>
        <v/>
      </c>
      <c r="AG145" s="1024" t="str">
        <f t="shared" si="50"/>
        <v/>
      </c>
      <c r="AI145" s="1024" t="str">
        <f t="shared" si="51"/>
        <v/>
      </c>
      <c r="AK145" s="1024" t="str">
        <f t="shared" si="52"/>
        <v/>
      </c>
      <c r="AM145" s="1024" t="str">
        <f t="shared" si="53"/>
        <v/>
      </c>
      <c r="AO145" s="1024" t="str">
        <f t="shared" si="54"/>
        <v/>
      </c>
      <c r="AQ145" s="1024" t="str">
        <f t="shared" si="55"/>
        <v/>
      </c>
    </row>
    <row r="146" spans="5:43" x14ac:dyDescent="0.2">
      <c r="E146" s="1024" t="str">
        <f t="shared" si="61"/>
        <v/>
      </c>
      <c r="G146" s="1024" t="str">
        <f t="shared" si="57"/>
        <v/>
      </c>
      <c r="I146" s="1024" t="str">
        <f t="shared" si="58"/>
        <v/>
      </c>
      <c r="K146" s="1024" t="str">
        <f t="shared" si="59"/>
        <v/>
      </c>
      <c r="M146" s="1024" t="str">
        <f t="shared" si="60"/>
        <v/>
      </c>
      <c r="O146" s="1024" t="str">
        <f t="shared" si="62"/>
        <v/>
      </c>
      <c r="Q146" s="1024" t="str">
        <f t="shared" si="43"/>
        <v/>
      </c>
      <c r="S146" s="1024" t="str">
        <f t="shared" si="44"/>
        <v/>
      </c>
      <c r="U146" s="1024" t="str">
        <f t="shared" si="45"/>
        <v/>
      </c>
      <c r="W146" s="1024" t="str">
        <f t="shared" si="46"/>
        <v/>
      </c>
      <c r="Y146" s="1024" t="str">
        <f t="shared" si="47"/>
        <v/>
      </c>
      <c r="AA146" s="1024" t="str">
        <f t="shared" si="56"/>
        <v/>
      </c>
      <c r="AC146" s="1024" t="str">
        <f t="shared" si="48"/>
        <v/>
      </c>
      <c r="AE146" s="1024" t="str">
        <f t="shared" si="49"/>
        <v/>
      </c>
      <c r="AG146" s="1024" t="str">
        <f t="shared" si="50"/>
        <v/>
      </c>
      <c r="AI146" s="1024" t="str">
        <f t="shared" si="51"/>
        <v/>
      </c>
      <c r="AK146" s="1024" t="str">
        <f t="shared" si="52"/>
        <v/>
      </c>
      <c r="AM146" s="1024" t="str">
        <f t="shared" si="53"/>
        <v/>
      </c>
      <c r="AO146" s="1024" t="str">
        <f t="shared" si="54"/>
        <v/>
      </c>
      <c r="AQ146" s="1024" t="str">
        <f t="shared" si="55"/>
        <v/>
      </c>
    </row>
    <row r="147" spans="5:43" x14ac:dyDescent="0.2">
      <c r="E147" s="1024" t="str">
        <f t="shared" si="61"/>
        <v/>
      </c>
      <c r="G147" s="1024" t="str">
        <f t="shared" si="57"/>
        <v/>
      </c>
      <c r="I147" s="1024" t="str">
        <f t="shared" si="58"/>
        <v/>
      </c>
      <c r="K147" s="1024" t="str">
        <f t="shared" si="59"/>
        <v/>
      </c>
      <c r="M147" s="1024" t="str">
        <f t="shared" si="60"/>
        <v/>
      </c>
      <c r="O147" s="1024" t="str">
        <f t="shared" si="62"/>
        <v/>
      </c>
      <c r="Q147" s="1024" t="str">
        <f t="shared" si="43"/>
        <v/>
      </c>
      <c r="S147" s="1024" t="str">
        <f t="shared" si="44"/>
        <v/>
      </c>
      <c r="U147" s="1024" t="str">
        <f t="shared" si="45"/>
        <v/>
      </c>
      <c r="W147" s="1024" t="str">
        <f t="shared" si="46"/>
        <v/>
      </c>
      <c r="Y147" s="1024" t="str">
        <f t="shared" si="47"/>
        <v/>
      </c>
      <c r="AA147" s="1024" t="str">
        <f t="shared" si="56"/>
        <v/>
      </c>
      <c r="AC147" s="1024" t="str">
        <f t="shared" si="48"/>
        <v/>
      </c>
      <c r="AE147" s="1024" t="str">
        <f t="shared" si="49"/>
        <v/>
      </c>
      <c r="AG147" s="1024" t="str">
        <f t="shared" si="50"/>
        <v/>
      </c>
      <c r="AI147" s="1024" t="str">
        <f t="shared" si="51"/>
        <v/>
      </c>
      <c r="AK147" s="1024" t="str">
        <f t="shared" si="52"/>
        <v/>
      </c>
      <c r="AM147" s="1024" t="str">
        <f t="shared" si="53"/>
        <v/>
      </c>
      <c r="AO147" s="1024" t="str">
        <f t="shared" si="54"/>
        <v/>
      </c>
      <c r="AQ147" s="1024" t="str">
        <f t="shared" si="55"/>
        <v/>
      </c>
    </row>
    <row r="148" spans="5:43" x14ac:dyDescent="0.2">
      <c r="E148" s="1024" t="str">
        <f t="shared" si="61"/>
        <v/>
      </c>
      <c r="G148" s="1024" t="str">
        <f t="shared" si="57"/>
        <v/>
      </c>
      <c r="I148" s="1024" t="str">
        <f t="shared" si="58"/>
        <v/>
      </c>
      <c r="K148" s="1024" t="str">
        <f t="shared" si="59"/>
        <v/>
      </c>
      <c r="M148" s="1024" t="str">
        <f t="shared" si="60"/>
        <v/>
      </c>
      <c r="O148" s="1024" t="str">
        <f t="shared" si="62"/>
        <v/>
      </c>
      <c r="Q148" s="1024" t="str">
        <f t="shared" si="43"/>
        <v/>
      </c>
      <c r="S148" s="1024" t="str">
        <f t="shared" si="44"/>
        <v/>
      </c>
      <c r="U148" s="1024" t="str">
        <f t="shared" si="45"/>
        <v/>
      </c>
      <c r="W148" s="1024" t="str">
        <f t="shared" si="46"/>
        <v/>
      </c>
      <c r="Y148" s="1024" t="str">
        <f t="shared" si="47"/>
        <v/>
      </c>
      <c r="AA148" s="1024" t="str">
        <f t="shared" si="56"/>
        <v/>
      </c>
      <c r="AC148" s="1024" t="str">
        <f t="shared" si="48"/>
        <v/>
      </c>
      <c r="AE148" s="1024" t="str">
        <f t="shared" si="49"/>
        <v/>
      </c>
      <c r="AG148" s="1024" t="str">
        <f t="shared" si="50"/>
        <v/>
      </c>
      <c r="AI148" s="1024" t="str">
        <f t="shared" si="51"/>
        <v/>
      </c>
      <c r="AK148" s="1024" t="str">
        <f t="shared" si="52"/>
        <v/>
      </c>
      <c r="AM148" s="1024" t="str">
        <f t="shared" si="53"/>
        <v/>
      </c>
      <c r="AO148" s="1024" t="str">
        <f t="shared" si="54"/>
        <v/>
      </c>
      <c r="AQ148" s="1024" t="str">
        <f t="shared" si="55"/>
        <v/>
      </c>
    </row>
    <row r="149" spans="5:43" x14ac:dyDescent="0.2">
      <c r="E149" s="1024" t="str">
        <f t="shared" si="61"/>
        <v/>
      </c>
      <c r="G149" s="1024" t="str">
        <f t="shared" si="57"/>
        <v/>
      </c>
      <c r="I149" s="1024" t="str">
        <f t="shared" si="58"/>
        <v/>
      </c>
      <c r="K149" s="1024" t="str">
        <f t="shared" si="59"/>
        <v/>
      </c>
      <c r="M149" s="1024" t="str">
        <f t="shared" si="60"/>
        <v/>
      </c>
      <c r="O149" s="1024" t="str">
        <f t="shared" si="62"/>
        <v/>
      </c>
      <c r="Q149" s="1024" t="str">
        <f t="shared" si="43"/>
        <v/>
      </c>
      <c r="S149" s="1024" t="str">
        <f t="shared" si="44"/>
        <v/>
      </c>
      <c r="U149" s="1024" t="str">
        <f t="shared" si="45"/>
        <v/>
      </c>
      <c r="W149" s="1024" t="str">
        <f t="shared" si="46"/>
        <v/>
      </c>
      <c r="Y149" s="1024" t="str">
        <f t="shared" si="47"/>
        <v/>
      </c>
      <c r="AA149" s="1024" t="str">
        <f t="shared" si="56"/>
        <v/>
      </c>
      <c r="AC149" s="1024" t="str">
        <f t="shared" si="48"/>
        <v/>
      </c>
      <c r="AE149" s="1024" t="str">
        <f t="shared" si="49"/>
        <v/>
      </c>
      <c r="AG149" s="1024" t="str">
        <f t="shared" si="50"/>
        <v/>
      </c>
      <c r="AI149" s="1024" t="str">
        <f t="shared" si="51"/>
        <v/>
      </c>
      <c r="AK149" s="1024" t="str">
        <f t="shared" si="52"/>
        <v/>
      </c>
      <c r="AM149" s="1024" t="str">
        <f t="shared" si="53"/>
        <v/>
      </c>
      <c r="AO149" s="1024" t="str">
        <f t="shared" si="54"/>
        <v/>
      </c>
      <c r="AQ149" s="1024" t="str">
        <f t="shared" si="55"/>
        <v/>
      </c>
    </row>
    <row r="150" spans="5:43" x14ac:dyDescent="0.2">
      <c r="E150" s="1024" t="str">
        <f t="shared" si="61"/>
        <v/>
      </c>
      <c r="G150" s="1024" t="str">
        <f t="shared" si="57"/>
        <v/>
      </c>
      <c r="I150" s="1024" t="str">
        <f t="shared" si="58"/>
        <v/>
      </c>
      <c r="K150" s="1024" t="str">
        <f t="shared" si="59"/>
        <v/>
      </c>
      <c r="M150" s="1024" t="str">
        <f t="shared" si="60"/>
        <v/>
      </c>
      <c r="O150" s="1024" t="str">
        <f t="shared" si="62"/>
        <v/>
      </c>
      <c r="Q150" s="1024" t="str">
        <f t="shared" si="43"/>
        <v/>
      </c>
      <c r="S150" s="1024" t="str">
        <f t="shared" si="44"/>
        <v/>
      </c>
      <c r="U150" s="1024" t="str">
        <f t="shared" si="45"/>
        <v/>
      </c>
      <c r="W150" s="1024" t="str">
        <f t="shared" si="46"/>
        <v/>
      </c>
      <c r="Y150" s="1024" t="str">
        <f t="shared" si="47"/>
        <v/>
      </c>
      <c r="AA150" s="1024" t="str">
        <f t="shared" si="56"/>
        <v/>
      </c>
      <c r="AC150" s="1024" t="str">
        <f t="shared" si="48"/>
        <v/>
      </c>
      <c r="AE150" s="1024" t="str">
        <f t="shared" si="49"/>
        <v/>
      </c>
      <c r="AG150" s="1024" t="str">
        <f t="shared" si="50"/>
        <v/>
      </c>
      <c r="AI150" s="1024" t="str">
        <f t="shared" si="51"/>
        <v/>
      </c>
      <c r="AK150" s="1024" t="str">
        <f t="shared" si="52"/>
        <v/>
      </c>
      <c r="AM150" s="1024" t="str">
        <f t="shared" si="53"/>
        <v/>
      </c>
      <c r="AO150" s="1024" t="str">
        <f t="shared" si="54"/>
        <v/>
      </c>
      <c r="AQ150" s="1024" t="str">
        <f t="shared" si="55"/>
        <v/>
      </c>
    </row>
    <row r="151" spans="5:43" x14ac:dyDescent="0.2">
      <c r="E151" s="1024" t="str">
        <f t="shared" si="61"/>
        <v/>
      </c>
      <c r="G151" s="1024" t="str">
        <f t="shared" si="57"/>
        <v/>
      </c>
      <c r="I151" s="1024" t="str">
        <f t="shared" si="58"/>
        <v/>
      </c>
      <c r="K151" s="1024" t="str">
        <f t="shared" si="59"/>
        <v/>
      </c>
      <c r="M151" s="1024" t="str">
        <f t="shared" si="60"/>
        <v/>
      </c>
      <c r="O151" s="1024" t="str">
        <f t="shared" si="62"/>
        <v/>
      </c>
      <c r="Q151" s="1024" t="str">
        <f t="shared" si="43"/>
        <v/>
      </c>
      <c r="S151" s="1024" t="str">
        <f t="shared" si="44"/>
        <v/>
      </c>
      <c r="U151" s="1024" t="str">
        <f t="shared" si="45"/>
        <v/>
      </c>
      <c r="W151" s="1024" t="str">
        <f t="shared" si="46"/>
        <v/>
      </c>
      <c r="Y151" s="1024" t="str">
        <f t="shared" si="47"/>
        <v/>
      </c>
      <c r="AA151" s="1024" t="str">
        <f t="shared" si="56"/>
        <v/>
      </c>
      <c r="AC151" s="1024" t="str">
        <f t="shared" si="48"/>
        <v/>
      </c>
      <c r="AE151" s="1024" t="str">
        <f t="shared" si="49"/>
        <v/>
      </c>
      <c r="AG151" s="1024" t="str">
        <f t="shared" si="50"/>
        <v/>
      </c>
      <c r="AI151" s="1024" t="str">
        <f t="shared" si="51"/>
        <v/>
      </c>
      <c r="AK151" s="1024" t="str">
        <f t="shared" si="52"/>
        <v/>
      </c>
      <c r="AM151" s="1024" t="str">
        <f t="shared" si="53"/>
        <v/>
      </c>
      <c r="AO151" s="1024" t="str">
        <f t="shared" si="54"/>
        <v/>
      </c>
      <c r="AQ151" s="1024" t="str">
        <f t="shared" si="55"/>
        <v/>
      </c>
    </row>
    <row r="152" spans="5:43" x14ac:dyDescent="0.2">
      <c r="E152" s="1024" t="str">
        <f t="shared" si="61"/>
        <v/>
      </c>
      <c r="G152" s="1024" t="str">
        <f t="shared" si="57"/>
        <v/>
      </c>
      <c r="I152" s="1024" t="str">
        <f t="shared" si="58"/>
        <v/>
      </c>
      <c r="K152" s="1024" t="str">
        <f t="shared" si="59"/>
        <v/>
      </c>
      <c r="M152" s="1024" t="str">
        <f t="shared" si="60"/>
        <v/>
      </c>
      <c r="O152" s="1024" t="str">
        <f t="shared" si="62"/>
        <v/>
      </c>
      <c r="Q152" s="1024" t="str">
        <f t="shared" si="43"/>
        <v/>
      </c>
      <c r="S152" s="1024" t="str">
        <f t="shared" si="44"/>
        <v/>
      </c>
      <c r="U152" s="1024" t="str">
        <f t="shared" si="45"/>
        <v/>
      </c>
      <c r="W152" s="1024" t="str">
        <f t="shared" si="46"/>
        <v/>
      </c>
      <c r="Y152" s="1024" t="str">
        <f t="shared" si="47"/>
        <v/>
      </c>
      <c r="AA152" s="1024" t="str">
        <f t="shared" si="56"/>
        <v/>
      </c>
      <c r="AC152" s="1024" t="str">
        <f t="shared" si="48"/>
        <v/>
      </c>
      <c r="AE152" s="1024" t="str">
        <f t="shared" si="49"/>
        <v/>
      </c>
      <c r="AG152" s="1024" t="str">
        <f t="shared" si="50"/>
        <v/>
      </c>
      <c r="AI152" s="1024" t="str">
        <f t="shared" si="51"/>
        <v/>
      </c>
      <c r="AK152" s="1024" t="str">
        <f t="shared" si="52"/>
        <v/>
      </c>
      <c r="AM152" s="1024" t="str">
        <f t="shared" si="53"/>
        <v/>
      </c>
      <c r="AO152" s="1024" t="str">
        <f t="shared" si="54"/>
        <v/>
      </c>
      <c r="AQ152" s="1024" t="str">
        <f t="shared" si="55"/>
        <v/>
      </c>
    </row>
    <row r="153" spans="5:43" x14ac:dyDescent="0.2">
      <c r="E153" s="1024" t="str">
        <f t="shared" si="61"/>
        <v/>
      </c>
      <c r="G153" s="1024" t="str">
        <f t="shared" si="57"/>
        <v/>
      </c>
      <c r="I153" s="1024" t="str">
        <f t="shared" si="58"/>
        <v/>
      </c>
      <c r="K153" s="1024" t="str">
        <f t="shared" si="59"/>
        <v/>
      </c>
      <c r="M153" s="1024" t="str">
        <f t="shared" si="60"/>
        <v/>
      </c>
      <c r="O153" s="1024" t="str">
        <f t="shared" si="62"/>
        <v/>
      </c>
      <c r="Q153" s="1024" t="str">
        <f t="shared" si="43"/>
        <v/>
      </c>
      <c r="S153" s="1024" t="str">
        <f t="shared" si="44"/>
        <v/>
      </c>
      <c r="U153" s="1024" t="str">
        <f t="shared" si="45"/>
        <v/>
      </c>
      <c r="W153" s="1024" t="str">
        <f t="shared" si="46"/>
        <v/>
      </c>
      <c r="Y153" s="1024" t="str">
        <f t="shared" si="47"/>
        <v/>
      </c>
      <c r="AA153" s="1024" t="str">
        <f t="shared" si="56"/>
        <v/>
      </c>
      <c r="AC153" s="1024" t="str">
        <f t="shared" si="48"/>
        <v/>
      </c>
      <c r="AE153" s="1024" t="str">
        <f t="shared" si="49"/>
        <v/>
      </c>
      <c r="AG153" s="1024" t="str">
        <f t="shared" si="50"/>
        <v/>
      </c>
      <c r="AI153" s="1024" t="str">
        <f t="shared" si="51"/>
        <v/>
      </c>
      <c r="AK153" s="1024" t="str">
        <f t="shared" si="52"/>
        <v/>
      </c>
      <c r="AM153" s="1024" t="str">
        <f t="shared" si="53"/>
        <v/>
      </c>
      <c r="AO153" s="1024" t="str">
        <f t="shared" si="54"/>
        <v/>
      </c>
      <c r="AQ153" s="1024" t="str">
        <f t="shared" si="55"/>
        <v/>
      </c>
    </row>
    <row r="154" spans="5:43" x14ac:dyDescent="0.2">
      <c r="E154" s="1024" t="str">
        <f t="shared" si="61"/>
        <v/>
      </c>
      <c r="G154" s="1024" t="str">
        <f t="shared" si="57"/>
        <v/>
      </c>
      <c r="I154" s="1024" t="str">
        <f t="shared" si="58"/>
        <v/>
      </c>
      <c r="K154" s="1024" t="str">
        <f t="shared" si="59"/>
        <v/>
      </c>
      <c r="M154" s="1024" t="str">
        <f t="shared" si="60"/>
        <v/>
      </c>
      <c r="O154" s="1024" t="str">
        <f t="shared" si="62"/>
        <v/>
      </c>
      <c r="Q154" s="1024" t="str">
        <f t="shared" si="43"/>
        <v/>
      </c>
      <c r="S154" s="1024" t="str">
        <f t="shared" si="44"/>
        <v/>
      </c>
      <c r="U154" s="1024" t="str">
        <f t="shared" si="45"/>
        <v/>
      </c>
      <c r="W154" s="1024" t="str">
        <f t="shared" si="46"/>
        <v/>
      </c>
      <c r="Y154" s="1024" t="str">
        <f t="shared" si="47"/>
        <v/>
      </c>
      <c r="AA154" s="1024" t="str">
        <f t="shared" si="56"/>
        <v/>
      </c>
      <c r="AC154" s="1024" t="str">
        <f t="shared" si="48"/>
        <v/>
      </c>
      <c r="AE154" s="1024" t="str">
        <f t="shared" si="49"/>
        <v/>
      </c>
      <c r="AG154" s="1024" t="str">
        <f t="shared" si="50"/>
        <v/>
      </c>
      <c r="AI154" s="1024" t="str">
        <f t="shared" si="51"/>
        <v/>
      </c>
      <c r="AK154" s="1024" t="str">
        <f t="shared" si="52"/>
        <v/>
      </c>
      <c r="AM154" s="1024" t="str">
        <f t="shared" si="53"/>
        <v/>
      </c>
      <c r="AO154" s="1024" t="str">
        <f t="shared" si="54"/>
        <v/>
      </c>
      <c r="AQ154" s="1024" t="str">
        <f t="shared" si="55"/>
        <v/>
      </c>
    </row>
    <row r="155" spans="5:43" x14ac:dyDescent="0.2">
      <c r="E155" s="1024" t="str">
        <f t="shared" si="61"/>
        <v/>
      </c>
      <c r="G155" s="1024" t="str">
        <f t="shared" si="57"/>
        <v/>
      </c>
      <c r="I155" s="1024" t="str">
        <f t="shared" si="58"/>
        <v/>
      </c>
      <c r="K155" s="1024" t="str">
        <f t="shared" si="59"/>
        <v/>
      </c>
      <c r="M155" s="1024" t="str">
        <f t="shared" si="60"/>
        <v/>
      </c>
      <c r="O155" s="1024" t="str">
        <f t="shared" si="62"/>
        <v/>
      </c>
      <c r="Q155" s="1024" t="str">
        <f t="shared" si="43"/>
        <v/>
      </c>
      <c r="S155" s="1024" t="str">
        <f t="shared" si="44"/>
        <v/>
      </c>
      <c r="U155" s="1024" t="str">
        <f t="shared" si="45"/>
        <v/>
      </c>
      <c r="W155" s="1024" t="str">
        <f t="shared" si="46"/>
        <v/>
      </c>
      <c r="Y155" s="1024" t="str">
        <f t="shared" si="47"/>
        <v/>
      </c>
      <c r="AA155" s="1024" t="str">
        <f t="shared" si="56"/>
        <v/>
      </c>
      <c r="AC155" s="1024" t="str">
        <f t="shared" si="48"/>
        <v/>
      </c>
      <c r="AE155" s="1024" t="str">
        <f t="shared" si="49"/>
        <v/>
      </c>
      <c r="AG155" s="1024" t="str">
        <f t="shared" si="50"/>
        <v/>
      </c>
      <c r="AI155" s="1024" t="str">
        <f t="shared" si="51"/>
        <v/>
      </c>
      <c r="AK155" s="1024" t="str">
        <f t="shared" si="52"/>
        <v/>
      </c>
      <c r="AM155" s="1024" t="str">
        <f t="shared" si="53"/>
        <v/>
      </c>
      <c r="AO155" s="1024" t="str">
        <f t="shared" si="54"/>
        <v/>
      </c>
      <c r="AQ155" s="1024" t="str">
        <f t="shared" si="55"/>
        <v/>
      </c>
    </row>
    <row r="156" spans="5:43" x14ac:dyDescent="0.2">
      <c r="E156" s="1024" t="str">
        <f t="shared" si="61"/>
        <v/>
      </c>
      <c r="G156" s="1024" t="str">
        <f t="shared" si="57"/>
        <v/>
      </c>
      <c r="I156" s="1024" t="str">
        <f t="shared" si="58"/>
        <v/>
      </c>
      <c r="K156" s="1024" t="str">
        <f t="shared" si="59"/>
        <v/>
      </c>
      <c r="M156" s="1024" t="str">
        <f t="shared" si="60"/>
        <v/>
      </c>
      <c r="O156" s="1024" t="str">
        <f t="shared" si="62"/>
        <v/>
      </c>
      <c r="Q156" s="1024" t="str">
        <f t="shared" si="43"/>
        <v/>
      </c>
      <c r="S156" s="1024" t="str">
        <f t="shared" si="44"/>
        <v/>
      </c>
      <c r="U156" s="1024" t="str">
        <f t="shared" si="45"/>
        <v/>
      </c>
      <c r="W156" s="1024" t="str">
        <f t="shared" si="46"/>
        <v/>
      </c>
      <c r="Y156" s="1024" t="str">
        <f t="shared" si="47"/>
        <v/>
      </c>
      <c r="AA156" s="1024" t="str">
        <f t="shared" si="56"/>
        <v/>
      </c>
      <c r="AC156" s="1024" t="str">
        <f t="shared" si="48"/>
        <v/>
      </c>
      <c r="AE156" s="1024" t="str">
        <f t="shared" si="49"/>
        <v/>
      </c>
      <c r="AG156" s="1024" t="str">
        <f t="shared" si="50"/>
        <v/>
      </c>
      <c r="AI156" s="1024" t="str">
        <f t="shared" si="51"/>
        <v/>
      </c>
      <c r="AK156" s="1024" t="str">
        <f t="shared" si="52"/>
        <v/>
      </c>
      <c r="AM156" s="1024" t="str">
        <f t="shared" si="53"/>
        <v/>
      </c>
      <c r="AO156" s="1024" t="str">
        <f t="shared" si="54"/>
        <v/>
      </c>
      <c r="AQ156" s="1024" t="str">
        <f t="shared" si="55"/>
        <v/>
      </c>
    </row>
    <row r="157" spans="5:43" x14ac:dyDescent="0.2">
      <c r="E157" s="1024" t="str">
        <f t="shared" si="61"/>
        <v/>
      </c>
      <c r="G157" s="1024" t="str">
        <f t="shared" si="57"/>
        <v/>
      </c>
      <c r="I157" s="1024" t="str">
        <f t="shared" si="58"/>
        <v/>
      </c>
      <c r="K157" s="1024" t="str">
        <f t="shared" si="59"/>
        <v/>
      </c>
      <c r="M157" s="1024" t="str">
        <f t="shared" si="60"/>
        <v/>
      </c>
      <c r="O157" s="1024" t="str">
        <f t="shared" si="62"/>
        <v/>
      </c>
      <c r="Q157" s="1024" t="str">
        <f t="shared" si="43"/>
        <v/>
      </c>
      <c r="S157" s="1024" t="str">
        <f t="shared" si="44"/>
        <v/>
      </c>
      <c r="U157" s="1024" t="str">
        <f t="shared" si="45"/>
        <v/>
      </c>
      <c r="W157" s="1024" t="str">
        <f t="shared" si="46"/>
        <v/>
      </c>
      <c r="Y157" s="1024" t="str">
        <f t="shared" si="47"/>
        <v/>
      </c>
      <c r="AA157" s="1024" t="str">
        <f t="shared" si="56"/>
        <v/>
      </c>
      <c r="AC157" s="1024" t="str">
        <f t="shared" si="48"/>
        <v/>
      </c>
      <c r="AE157" s="1024" t="str">
        <f t="shared" si="49"/>
        <v/>
      </c>
      <c r="AG157" s="1024" t="str">
        <f t="shared" si="50"/>
        <v/>
      </c>
      <c r="AI157" s="1024" t="str">
        <f t="shared" si="51"/>
        <v/>
      </c>
      <c r="AK157" s="1024" t="str">
        <f t="shared" si="52"/>
        <v/>
      </c>
      <c r="AM157" s="1024" t="str">
        <f t="shared" si="53"/>
        <v/>
      </c>
      <c r="AO157" s="1024" t="str">
        <f t="shared" si="54"/>
        <v/>
      </c>
      <c r="AQ157" s="1024" t="str">
        <f t="shared" si="55"/>
        <v/>
      </c>
    </row>
    <row r="158" spans="5:43" x14ac:dyDescent="0.2">
      <c r="E158" s="1024" t="str">
        <f t="shared" si="61"/>
        <v/>
      </c>
      <c r="G158" s="1024" t="str">
        <f t="shared" si="57"/>
        <v/>
      </c>
      <c r="I158" s="1024" t="str">
        <f t="shared" si="58"/>
        <v/>
      </c>
      <c r="K158" s="1024" t="str">
        <f t="shared" si="59"/>
        <v/>
      </c>
      <c r="M158" s="1024" t="str">
        <f t="shared" si="60"/>
        <v/>
      </c>
      <c r="O158" s="1024" t="str">
        <f t="shared" si="62"/>
        <v/>
      </c>
      <c r="Q158" s="1024" t="str">
        <f t="shared" si="43"/>
        <v/>
      </c>
      <c r="S158" s="1024" t="str">
        <f t="shared" si="44"/>
        <v/>
      </c>
      <c r="U158" s="1024" t="str">
        <f t="shared" si="45"/>
        <v/>
      </c>
      <c r="W158" s="1024" t="str">
        <f t="shared" si="46"/>
        <v/>
      </c>
      <c r="Y158" s="1024" t="str">
        <f t="shared" si="47"/>
        <v/>
      </c>
      <c r="AA158" s="1024" t="str">
        <f t="shared" si="56"/>
        <v/>
      </c>
      <c r="AC158" s="1024" t="str">
        <f t="shared" si="48"/>
        <v/>
      </c>
      <c r="AE158" s="1024" t="str">
        <f t="shared" si="49"/>
        <v/>
      </c>
      <c r="AG158" s="1024" t="str">
        <f t="shared" si="50"/>
        <v/>
      </c>
      <c r="AI158" s="1024" t="str">
        <f t="shared" si="51"/>
        <v/>
      </c>
      <c r="AK158" s="1024" t="str">
        <f t="shared" si="52"/>
        <v/>
      </c>
      <c r="AM158" s="1024" t="str">
        <f t="shared" si="53"/>
        <v/>
      </c>
      <c r="AO158" s="1024" t="str">
        <f t="shared" si="54"/>
        <v/>
      </c>
      <c r="AQ158" s="1024" t="str">
        <f t="shared" si="55"/>
        <v/>
      </c>
    </row>
    <row r="159" spans="5:43" x14ac:dyDescent="0.2">
      <c r="E159" s="1024" t="str">
        <f t="shared" si="61"/>
        <v/>
      </c>
      <c r="G159" s="1024" t="str">
        <f t="shared" si="57"/>
        <v/>
      </c>
      <c r="I159" s="1024" t="str">
        <f t="shared" si="58"/>
        <v/>
      </c>
      <c r="K159" s="1024" t="str">
        <f t="shared" si="59"/>
        <v/>
      </c>
      <c r="M159" s="1024" t="str">
        <f t="shared" si="60"/>
        <v/>
      </c>
      <c r="O159" s="1024" t="str">
        <f t="shared" si="62"/>
        <v/>
      </c>
      <c r="Q159" s="1024" t="str">
        <f t="shared" ref="Q159:Q222" si="63">IF(OR($B158=0,P159=0),"",P159/$B158)</f>
        <v/>
      </c>
      <c r="S159" s="1024" t="str">
        <f t="shared" ref="S159:S222" si="64">IF(OR($B158=0,R159=0),"",R159/$B158)</f>
        <v/>
      </c>
      <c r="U159" s="1024" t="str">
        <f t="shared" ref="U159:U222" si="65">IF(OR($B158=0,T159=0),"",T159/$B158)</f>
        <v/>
      </c>
      <c r="W159" s="1024" t="str">
        <f t="shared" ref="W159:W222" si="66">IF(OR($B158=0,V159=0),"",V159/$B158)</f>
        <v/>
      </c>
      <c r="Y159" s="1024" t="str">
        <f t="shared" ref="Y159:Y222" si="67">IF(OR($B158=0,X159=0),"",X159/$B158)</f>
        <v/>
      </c>
      <c r="AA159" s="1024" t="str">
        <f t="shared" si="56"/>
        <v/>
      </c>
      <c r="AC159" s="1024" t="str">
        <f t="shared" ref="AC159:AC222" si="68">IF(OR($B158=0,AB159=0),"",AB159/$B158)</f>
        <v/>
      </c>
      <c r="AE159" s="1024" t="str">
        <f t="shared" ref="AE159:AE222" si="69">IF(OR($B158=0,AD159=0),"",AD159/$B158)</f>
        <v/>
      </c>
      <c r="AG159" s="1024" t="str">
        <f t="shared" ref="AG159:AG222" si="70">IF(OR($B158=0,AF159=0),"",AF159/$B158)</f>
        <v/>
      </c>
      <c r="AI159" s="1024" t="str">
        <f t="shared" ref="AI159:AI222" si="71">IF(OR($B158=0,AH159=0),"",AH159/$B158)</f>
        <v/>
      </c>
      <c r="AK159" s="1024" t="str">
        <f t="shared" ref="AK159:AK222" si="72">IF(OR($B158=0,AJ159=0),"",AJ159/$B158)</f>
        <v/>
      </c>
      <c r="AM159" s="1024" t="str">
        <f t="shared" ref="AM159:AM222" si="73">IF(OR($B158=0,AL159=0),"",AL159/$B158)</f>
        <v/>
      </c>
      <c r="AO159" s="1024" t="str">
        <f t="shared" ref="AO159:AO222" si="74">IF(OR($B158=0,AN159=0),"",AN159/$B158)</f>
        <v/>
      </c>
      <c r="AQ159" s="1024" t="str">
        <f t="shared" ref="AQ159:AQ222" si="75">IF(OR($B158=0,AP159=0),"",AP159/$B158)</f>
        <v/>
      </c>
    </row>
    <row r="160" spans="5:43" x14ac:dyDescent="0.2">
      <c r="E160" s="1024" t="str">
        <f t="shared" si="61"/>
        <v/>
      </c>
      <c r="G160" s="1024" t="str">
        <f t="shared" si="57"/>
        <v/>
      </c>
      <c r="I160" s="1024" t="str">
        <f t="shared" si="58"/>
        <v/>
      </c>
      <c r="K160" s="1024" t="str">
        <f t="shared" si="59"/>
        <v/>
      </c>
      <c r="M160" s="1024" t="str">
        <f t="shared" si="60"/>
        <v/>
      </c>
      <c r="O160" s="1024" t="str">
        <f t="shared" si="62"/>
        <v/>
      </c>
      <c r="Q160" s="1024" t="str">
        <f t="shared" si="63"/>
        <v/>
      </c>
      <c r="S160" s="1024" t="str">
        <f t="shared" si="64"/>
        <v/>
      </c>
      <c r="U160" s="1024" t="str">
        <f t="shared" si="65"/>
        <v/>
      </c>
      <c r="W160" s="1024" t="str">
        <f t="shared" si="66"/>
        <v/>
      </c>
      <c r="Y160" s="1024" t="str">
        <f t="shared" si="67"/>
        <v/>
      </c>
      <c r="AA160" s="1024" t="str">
        <f t="shared" ref="AA160:AA223" si="76">IF(OR($B159=0,Z160=0),"",Z160/$B159)</f>
        <v/>
      </c>
      <c r="AC160" s="1024" t="str">
        <f t="shared" si="68"/>
        <v/>
      </c>
      <c r="AE160" s="1024" t="str">
        <f t="shared" si="69"/>
        <v/>
      </c>
      <c r="AG160" s="1024" t="str">
        <f t="shared" si="70"/>
        <v/>
      </c>
      <c r="AI160" s="1024" t="str">
        <f t="shared" si="71"/>
        <v/>
      </c>
      <c r="AK160" s="1024" t="str">
        <f t="shared" si="72"/>
        <v/>
      </c>
      <c r="AM160" s="1024" t="str">
        <f t="shared" si="73"/>
        <v/>
      </c>
      <c r="AO160" s="1024" t="str">
        <f t="shared" si="74"/>
        <v/>
      </c>
      <c r="AQ160" s="1024" t="str">
        <f t="shared" si="75"/>
        <v/>
      </c>
    </row>
    <row r="161" spans="5:43" x14ac:dyDescent="0.2">
      <c r="E161" s="1024" t="str">
        <f t="shared" si="61"/>
        <v/>
      </c>
      <c r="G161" s="1024" t="str">
        <f t="shared" si="57"/>
        <v/>
      </c>
      <c r="I161" s="1024" t="str">
        <f t="shared" si="58"/>
        <v/>
      </c>
      <c r="K161" s="1024" t="str">
        <f t="shared" si="59"/>
        <v/>
      </c>
      <c r="M161" s="1024" t="str">
        <f t="shared" si="60"/>
        <v/>
      </c>
      <c r="O161" s="1024" t="str">
        <f t="shared" si="62"/>
        <v/>
      </c>
      <c r="Q161" s="1024" t="str">
        <f t="shared" si="63"/>
        <v/>
      </c>
      <c r="S161" s="1024" t="str">
        <f t="shared" si="64"/>
        <v/>
      </c>
      <c r="U161" s="1024" t="str">
        <f t="shared" si="65"/>
        <v/>
      </c>
      <c r="W161" s="1024" t="str">
        <f t="shared" si="66"/>
        <v/>
      </c>
      <c r="Y161" s="1024" t="str">
        <f t="shared" si="67"/>
        <v/>
      </c>
      <c r="AA161" s="1024" t="str">
        <f t="shared" si="76"/>
        <v/>
      </c>
      <c r="AC161" s="1024" t="str">
        <f t="shared" si="68"/>
        <v/>
      </c>
      <c r="AE161" s="1024" t="str">
        <f t="shared" si="69"/>
        <v/>
      </c>
      <c r="AG161" s="1024" t="str">
        <f t="shared" si="70"/>
        <v/>
      </c>
      <c r="AI161" s="1024" t="str">
        <f t="shared" si="71"/>
        <v/>
      </c>
      <c r="AK161" s="1024" t="str">
        <f t="shared" si="72"/>
        <v/>
      </c>
      <c r="AM161" s="1024" t="str">
        <f t="shared" si="73"/>
        <v/>
      </c>
      <c r="AO161" s="1024" t="str">
        <f t="shared" si="74"/>
        <v/>
      </c>
      <c r="AQ161" s="1024" t="str">
        <f t="shared" si="75"/>
        <v/>
      </c>
    </row>
    <row r="162" spans="5:43" x14ac:dyDescent="0.2">
      <c r="E162" s="1024" t="str">
        <f t="shared" si="61"/>
        <v/>
      </c>
      <c r="G162" s="1024" t="str">
        <f t="shared" ref="G162:G225" si="77">IF(OR($B161=0,F162=0),"",F162/$B161)</f>
        <v/>
      </c>
      <c r="I162" s="1024" t="str">
        <f t="shared" ref="I162:I225" si="78">IF(OR($B161=0,H162=0),"",H162/$B161)</f>
        <v/>
      </c>
      <c r="K162" s="1024" t="str">
        <f t="shared" ref="K162:K225" si="79">IF(OR($B161=0,J162=0),"",J162/$B161)</f>
        <v/>
      </c>
      <c r="M162" s="1024" t="str">
        <f t="shared" ref="M162:M225" si="80">IF(OR($B161=0,L162=0),"",L162/$B161)</f>
        <v/>
      </c>
      <c r="O162" s="1024" t="str">
        <f t="shared" si="62"/>
        <v/>
      </c>
      <c r="Q162" s="1024" t="str">
        <f t="shared" si="63"/>
        <v/>
      </c>
      <c r="S162" s="1024" t="str">
        <f t="shared" si="64"/>
        <v/>
      </c>
      <c r="U162" s="1024" t="str">
        <f t="shared" si="65"/>
        <v/>
      </c>
      <c r="W162" s="1024" t="str">
        <f t="shared" si="66"/>
        <v/>
      </c>
      <c r="Y162" s="1024" t="str">
        <f t="shared" si="67"/>
        <v/>
      </c>
      <c r="AA162" s="1024" t="str">
        <f t="shared" si="76"/>
        <v/>
      </c>
      <c r="AC162" s="1024" t="str">
        <f t="shared" si="68"/>
        <v/>
      </c>
      <c r="AE162" s="1024" t="str">
        <f t="shared" si="69"/>
        <v/>
      </c>
      <c r="AG162" s="1024" t="str">
        <f t="shared" si="70"/>
        <v/>
      </c>
      <c r="AI162" s="1024" t="str">
        <f t="shared" si="71"/>
        <v/>
      </c>
      <c r="AK162" s="1024" t="str">
        <f t="shared" si="72"/>
        <v/>
      </c>
      <c r="AM162" s="1024" t="str">
        <f t="shared" si="73"/>
        <v/>
      </c>
      <c r="AO162" s="1024" t="str">
        <f t="shared" si="74"/>
        <v/>
      </c>
      <c r="AQ162" s="1024" t="str">
        <f t="shared" si="75"/>
        <v/>
      </c>
    </row>
    <row r="163" spans="5:43" x14ac:dyDescent="0.2">
      <c r="E163" s="1024" t="str">
        <f t="shared" ref="E163:E226" si="81">IF(OR($B162=0,D163=0),"",D163/$B162)</f>
        <v/>
      </c>
      <c r="G163" s="1024" t="str">
        <f t="shared" si="77"/>
        <v/>
      </c>
      <c r="I163" s="1024" t="str">
        <f t="shared" si="78"/>
        <v/>
      </c>
      <c r="K163" s="1024" t="str">
        <f t="shared" si="79"/>
        <v/>
      </c>
      <c r="M163" s="1024" t="str">
        <f t="shared" si="80"/>
        <v/>
      </c>
      <c r="O163" s="1024" t="str">
        <f t="shared" ref="O163:O226" si="82">IF(OR($B162=0,N163=0),"",N163/$B162)</f>
        <v/>
      </c>
      <c r="Q163" s="1024" t="str">
        <f t="shared" si="63"/>
        <v/>
      </c>
      <c r="S163" s="1024" t="str">
        <f t="shared" si="64"/>
        <v/>
      </c>
      <c r="U163" s="1024" t="str">
        <f t="shared" si="65"/>
        <v/>
      </c>
      <c r="W163" s="1024" t="str">
        <f t="shared" si="66"/>
        <v/>
      </c>
      <c r="Y163" s="1024" t="str">
        <f t="shared" si="67"/>
        <v/>
      </c>
      <c r="AA163" s="1024" t="str">
        <f t="shared" si="76"/>
        <v/>
      </c>
      <c r="AC163" s="1024" t="str">
        <f t="shared" si="68"/>
        <v/>
      </c>
      <c r="AE163" s="1024" t="str">
        <f t="shared" si="69"/>
        <v/>
      </c>
      <c r="AG163" s="1024" t="str">
        <f t="shared" si="70"/>
        <v/>
      </c>
      <c r="AI163" s="1024" t="str">
        <f t="shared" si="71"/>
        <v/>
      </c>
      <c r="AK163" s="1024" t="str">
        <f t="shared" si="72"/>
        <v/>
      </c>
      <c r="AM163" s="1024" t="str">
        <f t="shared" si="73"/>
        <v/>
      </c>
      <c r="AO163" s="1024" t="str">
        <f t="shared" si="74"/>
        <v/>
      </c>
      <c r="AQ163" s="1024" t="str">
        <f t="shared" si="75"/>
        <v/>
      </c>
    </row>
    <row r="164" spans="5:43" x14ac:dyDescent="0.2">
      <c r="E164" s="1024" t="str">
        <f t="shared" si="81"/>
        <v/>
      </c>
      <c r="G164" s="1024" t="str">
        <f t="shared" si="77"/>
        <v/>
      </c>
      <c r="I164" s="1024" t="str">
        <f t="shared" si="78"/>
        <v/>
      </c>
      <c r="K164" s="1024" t="str">
        <f t="shared" si="79"/>
        <v/>
      </c>
      <c r="M164" s="1024" t="str">
        <f t="shared" si="80"/>
        <v/>
      </c>
      <c r="O164" s="1024" t="str">
        <f t="shared" si="82"/>
        <v/>
      </c>
      <c r="Q164" s="1024" t="str">
        <f t="shared" si="63"/>
        <v/>
      </c>
      <c r="S164" s="1024" t="str">
        <f t="shared" si="64"/>
        <v/>
      </c>
      <c r="U164" s="1024" t="str">
        <f t="shared" si="65"/>
        <v/>
      </c>
      <c r="W164" s="1024" t="str">
        <f t="shared" si="66"/>
        <v/>
      </c>
      <c r="Y164" s="1024" t="str">
        <f t="shared" si="67"/>
        <v/>
      </c>
      <c r="AA164" s="1024" t="str">
        <f t="shared" si="76"/>
        <v/>
      </c>
      <c r="AC164" s="1024" t="str">
        <f t="shared" si="68"/>
        <v/>
      </c>
      <c r="AE164" s="1024" t="str">
        <f t="shared" si="69"/>
        <v/>
      </c>
      <c r="AG164" s="1024" t="str">
        <f t="shared" si="70"/>
        <v/>
      </c>
      <c r="AI164" s="1024" t="str">
        <f t="shared" si="71"/>
        <v/>
      </c>
      <c r="AK164" s="1024" t="str">
        <f t="shared" si="72"/>
        <v/>
      </c>
      <c r="AM164" s="1024" t="str">
        <f t="shared" si="73"/>
        <v/>
      </c>
      <c r="AO164" s="1024" t="str">
        <f t="shared" si="74"/>
        <v/>
      </c>
      <c r="AQ164" s="1024" t="str">
        <f t="shared" si="75"/>
        <v/>
      </c>
    </row>
    <row r="165" spans="5:43" x14ac:dyDescent="0.2">
      <c r="E165" s="1024" t="str">
        <f t="shared" si="81"/>
        <v/>
      </c>
      <c r="G165" s="1024" t="str">
        <f t="shared" si="77"/>
        <v/>
      </c>
      <c r="I165" s="1024" t="str">
        <f t="shared" si="78"/>
        <v/>
      </c>
      <c r="K165" s="1024" t="str">
        <f t="shared" si="79"/>
        <v/>
      </c>
      <c r="M165" s="1024" t="str">
        <f t="shared" si="80"/>
        <v/>
      </c>
      <c r="O165" s="1024" t="str">
        <f t="shared" si="82"/>
        <v/>
      </c>
      <c r="Q165" s="1024" t="str">
        <f t="shared" si="63"/>
        <v/>
      </c>
      <c r="S165" s="1024" t="str">
        <f t="shared" si="64"/>
        <v/>
      </c>
      <c r="U165" s="1024" t="str">
        <f t="shared" si="65"/>
        <v/>
      </c>
      <c r="W165" s="1024" t="str">
        <f t="shared" si="66"/>
        <v/>
      </c>
      <c r="Y165" s="1024" t="str">
        <f t="shared" si="67"/>
        <v/>
      </c>
      <c r="AA165" s="1024" t="str">
        <f t="shared" si="76"/>
        <v/>
      </c>
      <c r="AC165" s="1024" t="str">
        <f t="shared" si="68"/>
        <v/>
      </c>
      <c r="AE165" s="1024" t="str">
        <f t="shared" si="69"/>
        <v/>
      </c>
      <c r="AG165" s="1024" t="str">
        <f t="shared" si="70"/>
        <v/>
      </c>
      <c r="AI165" s="1024" t="str">
        <f t="shared" si="71"/>
        <v/>
      </c>
      <c r="AK165" s="1024" t="str">
        <f t="shared" si="72"/>
        <v/>
      </c>
      <c r="AM165" s="1024" t="str">
        <f t="shared" si="73"/>
        <v/>
      </c>
      <c r="AO165" s="1024" t="str">
        <f t="shared" si="74"/>
        <v/>
      </c>
      <c r="AQ165" s="1024" t="str">
        <f t="shared" si="75"/>
        <v/>
      </c>
    </row>
    <row r="166" spans="5:43" x14ac:dyDescent="0.2">
      <c r="E166" s="1024" t="str">
        <f t="shared" si="81"/>
        <v/>
      </c>
      <c r="G166" s="1024" t="str">
        <f t="shared" si="77"/>
        <v/>
      </c>
      <c r="I166" s="1024" t="str">
        <f t="shared" si="78"/>
        <v/>
      </c>
      <c r="K166" s="1024" t="str">
        <f t="shared" si="79"/>
        <v/>
      </c>
      <c r="M166" s="1024" t="str">
        <f t="shared" si="80"/>
        <v/>
      </c>
      <c r="O166" s="1024" t="str">
        <f t="shared" si="82"/>
        <v/>
      </c>
      <c r="Q166" s="1024" t="str">
        <f t="shared" si="63"/>
        <v/>
      </c>
      <c r="S166" s="1024" t="str">
        <f t="shared" si="64"/>
        <v/>
      </c>
      <c r="U166" s="1024" t="str">
        <f t="shared" si="65"/>
        <v/>
      </c>
      <c r="W166" s="1024" t="str">
        <f t="shared" si="66"/>
        <v/>
      </c>
      <c r="Y166" s="1024" t="str">
        <f t="shared" si="67"/>
        <v/>
      </c>
      <c r="AA166" s="1024" t="str">
        <f t="shared" si="76"/>
        <v/>
      </c>
      <c r="AC166" s="1024" t="str">
        <f t="shared" si="68"/>
        <v/>
      </c>
      <c r="AE166" s="1024" t="str">
        <f t="shared" si="69"/>
        <v/>
      </c>
      <c r="AG166" s="1024" t="str">
        <f t="shared" si="70"/>
        <v/>
      </c>
      <c r="AI166" s="1024" t="str">
        <f t="shared" si="71"/>
        <v/>
      </c>
      <c r="AK166" s="1024" t="str">
        <f t="shared" si="72"/>
        <v/>
      </c>
      <c r="AM166" s="1024" t="str">
        <f t="shared" si="73"/>
        <v/>
      </c>
      <c r="AO166" s="1024" t="str">
        <f t="shared" si="74"/>
        <v/>
      </c>
      <c r="AQ166" s="1024" t="str">
        <f t="shared" si="75"/>
        <v/>
      </c>
    </row>
    <row r="167" spans="5:43" x14ac:dyDescent="0.2">
      <c r="E167" s="1024" t="str">
        <f t="shared" si="81"/>
        <v/>
      </c>
      <c r="G167" s="1024" t="str">
        <f t="shared" si="77"/>
        <v/>
      </c>
      <c r="I167" s="1024" t="str">
        <f t="shared" si="78"/>
        <v/>
      </c>
      <c r="K167" s="1024" t="str">
        <f t="shared" si="79"/>
        <v/>
      </c>
      <c r="M167" s="1024" t="str">
        <f t="shared" si="80"/>
        <v/>
      </c>
      <c r="O167" s="1024" t="str">
        <f t="shared" si="82"/>
        <v/>
      </c>
      <c r="Q167" s="1024" t="str">
        <f t="shared" si="63"/>
        <v/>
      </c>
      <c r="S167" s="1024" t="str">
        <f t="shared" si="64"/>
        <v/>
      </c>
      <c r="U167" s="1024" t="str">
        <f t="shared" si="65"/>
        <v/>
      </c>
      <c r="W167" s="1024" t="str">
        <f t="shared" si="66"/>
        <v/>
      </c>
      <c r="Y167" s="1024" t="str">
        <f t="shared" si="67"/>
        <v/>
      </c>
      <c r="AA167" s="1024" t="str">
        <f t="shared" si="76"/>
        <v/>
      </c>
      <c r="AC167" s="1024" t="str">
        <f t="shared" si="68"/>
        <v/>
      </c>
      <c r="AE167" s="1024" t="str">
        <f t="shared" si="69"/>
        <v/>
      </c>
      <c r="AG167" s="1024" t="str">
        <f t="shared" si="70"/>
        <v/>
      </c>
      <c r="AI167" s="1024" t="str">
        <f t="shared" si="71"/>
        <v/>
      </c>
      <c r="AK167" s="1024" t="str">
        <f t="shared" si="72"/>
        <v/>
      </c>
      <c r="AM167" s="1024" t="str">
        <f t="shared" si="73"/>
        <v/>
      </c>
      <c r="AO167" s="1024" t="str">
        <f t="shared" si="74"/>
        <v/>
      </c>
      <c r="AQ167" s="1024" t="str">
        <f t="shared" si="75"/>
        <v/>
      </c>
    </row>
    <row r="168" spans="5:43" x14ac:dyDescent="0.2">
      <c r="E168" s="1024" t="str">
        <f t="shared" si="81"/>
        <v/>
      </c>
      <c r="G168" s="1024" t="str">
        <f t="shared" si="77"/>
        <v/>
      </c>
      <c r="I168" s="1024" t="str">
        <f t="shared" si="78"/>
        <v/>
      </c>
      <c r="K168" s="1024" t="str">
        <f t="shared" si="79"/>
        <v/>
      </c>
      <c r="M168" s="1024" t="str">
        <f t="shared" si="80"/>
        <v/>
      </c>
      <c r="O168" s="1024" t="str">
        <f t="shared" si="82"/>
        <v/>
      </c>
      <c r="Q168" s="1024" t="str">
        <f t="shared" si="63"/>
        <v/>
      </c>
      <c r="S168" s="1024" t="str">
        <f t="shared" si="64"/>
        <v/>
      </c>
      <c r="U168" s="1024" t="str">
        <f t="shared" si="65"/>
        <v/>
      </c>
      <c r="W168" s="1024" t="str">
        <f t="shared" si="66"/>
        <v/>
      </c>
      <c r="Y168" s="1024" t="str">
        <f t="shared" si="67"/>
        <v/>
      </c>
      <c r="AA168" s="1024" t="str">
        <f t="shared" si="76"/>
        <v/>
      </c>
      <c r="AC168" s="1024" t="str">
        <f t="shared" si="68"/>
        <v/>
      </c>
      <c r="AE168" s="1024" t="str">
        <f t="shared" si="69"/>
        <v/>
      </c>
      <c r="AG168" s="1024" t="str">
        <f t="shared" si="70"/>
        <v/>
      </c>
      <c r="AI168" s="1024" t="str">
        <f t="shared" si="71"/>
        <v/>
      </c>
      <c r="AK168" s="1024" t="str">
        <f t="shared" si="72"/>
        <v/>
      </c>
      <c r="AM168" s="1024" t="str">
        <f t="shared" si="73"/>
        <v/>
      </c>
      <c r="AO168" s="1024" t="str">
        <f t="shared" si="74"/>
        <v/>
      </c>
      <c r="AQ168" s="1024" t="str">
        <f t="shared" si="75"/>
        <v/>
      </c>
    </row>
    <row r="169" spans="5:43" x14ac:dyDescent="0.2">
      <c r="E169" s="1024" t="str">
        <f t="shared" si="81"/>
        <v/>
      </c>
      <c r="G169" s="1024" t="str">
        <f t="shared" si="77"/>
        <v/>
      </c>
      <c r="I169" s="1024" t="str">
        <f t="shared" si="78"/>
        <v/>
      </c>
      <c r="K169" s="1024" t="str">
        <f t="shared" si="79"/>
        <v/>
      </c>
      <c r="M169" s="1024" t="str">
        <f t="shared" si="80"/>
        <v/>
      </c>
      <c r="O169" s="1024" t="str">
        <f t="shared" si="82"/>
        <v/>
      </c>
      <c r="Q169" s="1024" t="str">
        <f t="shared" si="63"/>
        <v/>
      </c>
      <c r="S169" s="1024" t="str">
        <f t="shared" si="64"/>
        <v/>
      </c>
      <c r="U169" s="1024" t="str">
        <f t="shared" si="65"/>
        <v/>
      </c>
      <c r="W169" s="1024" t="str">
        <f t="shared" si="66"/>
        <v/>
      </c>
      <c r="Y169" s="1024" t="str">
        <f t="shared" si="67"/>
        <v/>
      </c>
      <c r="AA169" s="1024" t="str">
        <f t="shared" si="76"/>
        <v/>
      </c>
      <c r="AC169" s="1024" t="str">
        <f t="shared" si="68"/>
        <v/>
      </c>
      <c r="AE169" s="1024" t="str">
        <f t="shared" si="69"/>
        <v/>
      </c>
      <c r="AG169" s="1024" t="str">
        <f t="shared" si="70"/>
        <v/>
      </c>
      <c r="AI169" s="1024" t="str">
        <f t="shared" si="71"/>
        <v/>
      </c>
      <c r="AK169" s="1024" t="str">
        <f t="shared" si="72"/>
        <v/>
      </c>
      <c r="AM169" s="1024" t="str">
        <f t="shared" si="73"/>
        <v/>
      </c>
      <c r="AO169" s="1024" t="str">
        <f t="shared" si="74"/>
        <v/>
      </c>
      <c r="AQ169" s="1024" t="str">
        <f t="shared" si="75"/>
        <v/>
      </c>
    </row>
    <row r="170" spans="5:43" x14ac:dyDescent="0.2">
      <c r="E170" s="1024" t="str">
        <f t="shared" si="81"/>
        <v/>
      </c>
      <c r="G170" s="1024" t="str">
        <f t="shared" si="77"/>
        <v/>
      </c>
      <c r="I170" s="1024" t="str">
        <f t="shared" si="78"/>
        <v/>
      </c>
      <c r="K170" s="1024" t="str">
        <f t="shared" si="79"/>
        <v/>
      </c>
      <c r="M170" s="1024" t="str">
        <f t="shared" si="80"/>
        <v/>
      </c>
      <c r="O170" s="1024" t="str">
        <f t="shared" si="82"/>
        <v/>
      </c>
      <c r="Q170" s="1024" t="str">
        <f t="shared" si="63"/>
        <v/>
      </c>
      <c r="S170" s="1024" t="str">
        <f t="shared" si="64"/>
        <v/>
      </c>
      <c r="U170" s="1024" t="str">
        <f t="shared" si="65"/>
        <v/>
      </c>
      <c r="W170" s="1024" t="str">
        <f t="shared" si="66"/>
        <v/>
      </c>
      <c r="Y170" s="1024" t="str">
        <f t="shared" si="67"/>
        <v/>
      </c>
      <c r="AA170" s="1024" t="str">
        <f t="shared" si="76"/>
        <v/>
      </c>
      <c r="AC170" s="1024" t="str">
        <f t="shared" si="68"/>
        <v/>
      </c>
      <c r="AE170" s="1024" t="str">
        <f t="shared" si="69"/>
        <v/>
      </c>
      <c r="AG170" s="1024" t="str">
        <f t="shared" si="70"/>
        <v/>
      </c>
      <c r="AI170" s="1024" t="str">
        <f t="shared" si="71"/>
        <v/>
      </c>
      <c r="AK170" s="1024" t="str">
        <f t="shared" si="72"/>
        <v/>
      </c>
      <c r="AM170" s="1024" t="str">
        <f t="shared" si="73"/>
        <v/>
      </c>
      <c r="AO170" s="1024" t="str">
        <f t="shared" si="74"/>
        <v/>
      </c>
      <c r="AQ170" s="1024" t="str">
        <f t="shared" si="75"/>
        <v/>
      </c>
    </row>
    <row r="171" spans="5:43" x14ac:dyDescent="0.2">
      <c r="E171" s="1024" t="str">
        <f t="shared" si="81"/>
        <v/>
      </c>
      <c r="G171" s="1024" t="str">
        <f t="shared" si="77"/>
        <v/>
      </c>
      <c r="I171" s="1024" t="str">
        <f t="shared" si="78"/>
        <v/>
      </c>
      <c r="K171" s="1024" t="str">
        <f t="shared" si="79"/>
        <v/>
      </c>
      <c r="M171" s="1024" t="str">
        <f t="shared" si="80"/>
        <v/>
      </c>
      <c r="O171" s="1024" t="str">
        <f t="shared" si="82"/>
        <v/>
      </c>
      <c r="Q171" s="1024" t="str">
        <f t="shared" si="63"/>
        <v/>
      </c>
      <c r="S171" s="1024" t="str">
        <f t="shared" si="64"/>
        <v/>
      </c>
      <c r="U171" s="1024" t="str">
        <f t="shared" si="65"/>
        <v/>
      </c>
      <c r="W171" s="1024" t="str">
        <f t="shared" si="66"/>
        <v/>
      </c>
      <c r="Y171" s="1024" t="str">
        <f t="shared" si="67"/>
        <v/>
      </c>
      <c r="AA171" s="1024" t="str">
        <f t="shared" si="76"/>
        <v/>
      </c>
      <c r="AC171" s="1024" t="str">
        <f t="shared" si="68"/>
        <v/>
      </c>
      <c r="AE171" s="1024" t="str">
        <f t="shared" si="69"/>
        <v/>
      </c>
      <c r="AG171" s="1024" t="str">
        <f t="shared" si="70"/>
        <v/>
      </c>
      <c r="AI171" s="1024" t="str">
        <f t="shared" si="71"/>
        <v/>
      </c>
      <c r="AK171" s="1024" t="str">
        <f t="shared" si="72"/>
        <v/>
      </c>
      <c r="AM171" s="1024" t="str">
        <f t="shared" si="73"/>
        <v/>
      </c>
      <c r="AO171" s="1024" t="str">
        <f t="shared" si="74"/>
        <v/>
      </c>
      <c r="AQ171" s="1024" t="str">
        <f t="shared" si="75"/>
        <v/>
      </c>
    </row>
    <row r="172" spans="5:43" x14ac:dyDescent="0.2">
      <c r="E172" s="1024" t="str">
        <f t="shared" si="81"/>
        <v/>
      </c>
      <c r="G172" s="1024" t="str">
        <f t="shared" si="77"/>
        <v/>
      </c>
      <c r="I172" s="1024" t="str">
        <f t="shared" si="78"/>
        <v/>
      </c>
      <c r="K172" s="1024" t="str">
        <f t="shared" si="79"/>
        <v/>
      </c>
      <c r="M172" s="1024" t="str">
        <f t="shared" si="80"/>
        <v/>
      </c>
      <c r="O172" s="1024" t="str">
        <f t="shared" si="82"/>
        <v/>
      </c>
      <c r="Q172" s="1024" t="str">
        <f t="shared" si="63"/>
        <v/>
      </c>
      <c r="S172" s="1024" t="str">
        <f t="shared" si="64"/>
        <v/>
      </c>
      <c r="U172" s="1024" t="str">
        <f t="shared" si="65"/>
        <v/>
      </c>
      <c r="W172" s="1024" t="str">
        <f t="shared" si="66"/>
        <v/>
      </c>
      <c r="Y172" s="1024" t="str">
        <f t="shared" si="67"/>
        <v/>
      </c>
      <c r="AA172" s="1024" t="str">
        <f t="shared" si="76"/>
        <v/>
      </c>
      <c r="AC172" s="1024" t="str">
        <f t="shared" si="68"/>
        <v/>
      </c>
      <c r="AE172" s="1024" t="str">
        <f t="shared" si="69"/>
        <v/>
      </c>
      <c r="AG172" s="1024" t="str">
        <f t="shared" si="70"/>
        <v/>
      </c>
      <c r="AI172" s="1024" t="str">
        <f t="shared" si="71"/>
        <v/>
      </c>
      <c r="AK172" s="1024" t="str">
        <f t="shared" si="72"/>
        <v/>
      </c>
      <c r="AM172" s="1024" t="str">
        <f t="shared" si="73"/>
        <v/>
      </c>
      <c r="AO172" s="1024" t="str">
        <f t="shared" si="74"/>
        <v/>
      </c>
      <c r="AQ172" s="1024" t="str">
        <f t="shared" si="75"/>
        <v/>
      </c>
    </row>
    <row r="173" spans="5:43" x14ac:dyDescent="0.2">
      <c r="E173" s="1024" t="str">
        <f t="shared" si="81"/>
        <v/>
      </c>
      <c r="G173" s="1024" t="str">
        <f t="shared" si="77"/>
        <v/>
      </c>
      <c r="I173" s="1024" t="str">
        <f t="shared" si="78"/>
        <v/>
      </c>
      <c r="K173" s="1024" t="str">
        <f t="shared" si="79"/>
        <v/>
      </c>
      <c r="M173" s="1024" t="str">
        <f t="shared" si="80"/>
        <v/>
      </c>
      <c r="O173" s="1024" t="str">
        <f t="shared" si="82"/>
        <v/>
      </c>
      <c r="Q173" s="1024" t="str">
        <f t="shared" si="63"/>
        <v/>
      </c>
      <c r="S173" s="1024" t="str">
        <f t="shared" si="64"/>
        <v/>
      </c>
      <c r="U173" s="1024" t="str">
        <f t="shared" si="65"/>
        <v/>
      </c>
      <c r="W173" s="1024" t="str">
        <f t="shared" si="66"/>
        <v/>
      </c>
      <c r="Y173" s="1024" t="str">
        <f t="shared" si="67"/>
        <v/>
      </c>
      <c r="AA173" s="1024" t="str">
        <f t="shared" si="76"/>
        <v/>
      </c>
      <c r="AC173" s="1024" t="str">
        <f t="shared" si="68"/>
        <v/>
      </c>
      <c r="AE173" s="1024" t="str">
        <f t="shared" si="69"/>
        <v/>
      </c>
      <c r="AG173" s="1024" t="str">
        <f t="shared" si="70"/>
        <v/>
      </c>
      <c r="AI173" s="1024" t="str">
        <f t="shared" si="71"/>
        <v/>
      </c>
      <c r="AK173" s="1024" t="str">
        <f t="shared" si="72"/>
        <v/>
      </c>
      <c r="AM173" s="1024" t="str">
        <f t="shared" si="73"/>
        <v/>
      </c>
      <c r="AO173" s="1024" t="str">
        <f t="shared" si="74"/>
        <v/>
      </c>
      <c r="AQ173" s="1024" t="str">
        <f t="shared" si="75"/>
        <v/>
      </c>
    </row>
    <row r="174" spans="5:43" x14ac:dyDescent="0.2">
      <c r="E174" s="1024" t="str">
        <f t="shared" si="81"/>
        <v/>
      </c>
      <c r="G174" s="1024" t="str">
        <f t="shared" si="77"/>
        <v/>
      </c>
      <c r="I174" s="1024" t="str">
        <f t="shared" si="78"/>
        <v/>
      </c>
      <c r="K174" s="1024" t="str">
        <f t="shared" si="79"/>
        <v/>
      </c>
      <c r="M174" s="1024" t="str">
        <f t="shared" si="80"/>
        <v/>
      </c>
      <c r="O174" s="1024" t="str">
        <f t="shared" si="82"/>
        <v/>
      </c>
      <c r="Q174" s="1024" t="str">
        <f t="shared" si="63"/>
        <v/>
      </c>
      <c r="S174" s="1024" t="str">
        <f t="shared" si="64"/>
        <v/>
      </c>
      <c r="U174" s="1024" t="str">
        <f t="shared" si="65"/>
        <v/>
      </c>
      <c r="W174" s="1024" t="str">
        <f t="shared" si="66"/>
        <v/>
      </c>
      <c r="Y174" s="1024" t="str">
        <f t="shared" si="67"/>
        <v/>
      </c>
      <c r="AA174" s="1024" t="str">
        <f t="shared" si="76"/>
        <v/>
      </c>
      <c r="AC174" s="1024" t="str">
        <f t="shared" si="68"/>
        <v/>
      </c>
      <c r="AE174" s="1024" t="str">
        <f t="shared" si="69"/>
        <v/>
      </c>
      <c r="AG174" s="1024" t="str">
        <f t="shared" si="70"/>
        <v/>
      </c>
      <c r="AI174" s="1024" t="str">
        <f t="shared" si="71"/>
        <v/>
      </c>
      <c r="AK174" s="1024" t="str">
        <f t="shared" si="72"/>
        <v/>
      </c>
      <c r="AM174" s="1024" t="str">
        <f t="shared" si="73"/>
        <v/>
      </c>
      <c r="AO174" s="1024" t="str">
        <f t="shared" si="74"/>
        <v/>
      </c>
      <c r="AQ174" s="1024" t="str">
        <f t="shared" si="75"/>
        <v/>
      </c>
    </row>
    <row r="175" spans="5:43" x14ac:dyDescent="0.2">
      <c r="E175" s="1024" t="str">
        <f t="shared" si="81"/>
        <v/>
      </c>
      <c r="G175" s="1024" t="str">
        <f t="shared" si="77"/>
        <v/>
      </c>
      <c r="I175" s="1024" t="str">
        <f t="shared" si="78"/>
        <v/>
      </c>
      <c r="K175" s="1024" t="str">
        <f t="shared" si="79"/>
        <v/>
      </c>
      <c r="M175" s="1024" t="str">
        <f t="shared" si="80"/>
        <v/>
      </c>
      <c r="O175" s="1024" t="str">
        <f t="shared" si="82"/>
        <v/>
      </c>
      <c r="Q175" s="1024" t="str">
        <f t="shared" si="63"/>
        <v/>
      </c>
      <c r="S175" s="1024" t="str">
        <f t="shared" si="64"/>
        <v/>
      </c>
      <c r="U175" s="1024" t="str">
        <f t="shared" si="65"/>
        <v/>
      </c>
      <c r="W175" s="1024" t="str">
        <f t="shared" si="66"/>
        <v/>
      </c>
      <c r="Y175" s="1024" t="str">
        <f t="shared" si="67"/>
        <v/>
      </c>
      <c r="AA175" s="1024" t="str">
        <f t="shared" si="76"/>
        <v/>
      </c>
      <c r="AC175" s="1024" t="str">
        <f t="shared" si="68"/>
        <v/>
      </c>
      <c r="AE175" s="1024" t="str">
        <f t="shared" si="69"/>
        <v/>
      </c>
      <c r="AG175" s="1024" t="str">
        <f t="shared" si="70"/>
        <v/>
      </c>
      <c r="AI175" s="1024" t="str">
        <f t="shared" si="71"/>
        <v/>
      </c>
      <c r="AK175" s="1024" t="str">
        <f t="shared" si="72"/>
        <v/>
      </c>
      <c r="AM175" s="1024" t="str">
        <f t="shared" si="73"/>
        <v/>
      </c>
      <c r="AO175" s="1024" t="str">
        <f t="shared" si="74"/>
        <v/>
      </c>
      <c r="AQ175" s="1024" t="str">
        <f t="shared" si="75"/>
        <v/>
      </c>
    </row>
    <row r="176" spans="5:43" x14ac:dyDescent="0.2">
      <c r="E176" s="1024" t="str">
        <f t="shared" si="81"/>
        <v/>
      </c>
      <c r="G176" s="1024" t="str">
        <f t="shared" si="77"/>
        <v/>
      </c>
      <c r="I176" s="1024" t="str">
        <f t="shared" si="78"/>
        <v/>
      </c>
      <c r="K176" s="1024" t="str">
        <f t="shared" si="79"/>
        <v/>
      </c>
      <c r="M176" s="1024" t="str">
        <f t="shared" si="80"/>
        <v/>
      </c>
      <c r="O176" s="1024" t="str">
        <f t="shared" si="82"/>
        <v/>
      </c>
      <c r="Q176" s="1024" t="str">
        <f t="shared" si="63"/>
        <v/>
      </c>
      <c r="S176" s="1024" t="str">
        <f t="shared" si="64"/>
        <v/>
      </c>
      <c r="U176" s="1024" t="str">
        <f t="shared" si="65"/>
        <v/>
      </c>
      <c r="W176" s="1024" t="str">
        <f t="shared" si="66"/>
        <v/>
      </c>
      <c r="Y176" s="1024" t="str">
        <f t="shared" si="67"/>
        <v/>
      </c>
      <c r="AA176" s="1024" t="str">
        <f t="shared" si="76"/>
        <v/>
      </c>
      <c r="AC176" s="1024" t="str">
        <f t="shared" si="68"/>
        <v/>
      </c>
      <c r="AE176" s="1024" t="str">
        <f t="shared" si="69"/>
        <v/>
      </c>
      <c r="AG176" s="1024" t="str">
        <f t="shared" si="70"/>
        <v/>
      </c>
      <c r="AI176" s="1024" t="str">
        <f t="shared" si="71"/>
        <v/>
      </c>
      <c r="AK176" s="1024" t="str">
        <f t="shared" si="72"/>
        <v/>
      </c>
      <c r="AM176" s="1024" t="str">
        <f t="shared" si="73"/>
        <v/>
      </c>
      <c r="AO176" s="1024" t="str">
        <f t="shared" si="74"/>
        <v/>
      </c>
      <c r="AQ176" s="1024" t="str">
        <f t="shared" si="75"/>
        <v/>
      </c>
    </row>
    <row r="177" spans="5:43" x14ac:dyDescent="0.2">
      <c r="E177" s="1024" t="str">
        <f t="shared" si="81"/>
        <v/>
      </c>
      <c r="G177" s="1024" t="str">
        <f t="shared" si="77"/>
        <v/>
      </c>
      <c r="I177" s="1024" t="str">
        <f t="shared" si="78"/>
        <v/>
      </c>
      <c r="K177" s="1024" t="str">
        <f t="shared" si="79"/>
        <v/>
      </c>
      <c r="M177" s="1024" t="str">
        <f t="shared" si="80"/>
        <v/>
      </c>
      <c r="O177" s="1024" t="str">
        <f t="shared" si="82"/>
        <v/>
      </c>
      <c r="Q177" s="1024" t="str">
        <f t="shared" si="63"/>
        <v/>
      </c>
      <c r="S177" s="1024" t="str">
        <f t="shared" si="64"/>
        <v/>
      </c>
      <c r="U177" s="1024" t="str">
        <f t="shared" si="65"/>
        <v/>
      </c>
      <c r="W177" s="1024" t="str">
        <f t="shared" si="66"/>
        <v/>
      </c>
      <c r="Y177" s="1024" t="str">
        <f t="shared" si="67"/>
        <v/>
      </c>
      <c r="AA177" s="1024" t="str">
        <f t="shared" si="76"/>
        <v/>
      </c>
      <c r="AC177" s="1024" t="str">
        <f t="shared" si="68"/>
        <v/>
      </c>
      <c r="AE177" s="1024" t="str">
        <f t="shared" si="69"/>
        <v/>
      </c>
      <c r="AG177" s="1024" t="str">
        <f t="shared" si="70"/>
        <v/>
      </c>
      <c r="AI177" s="1024" t="str">
        <f t="shared" si="71"/>
        <v/>
      </c>
      <c r="AK177" s="1024" t="str">
        <f t="shared" si="72"/>
        <v/>
      </c>
      <c r="AM177" s="1024" t="str">
        <f t="shared" si="73"/>
        <v/>
      </c>
      <c r="AO177" s="1024" t="str">
        <f t="shared" si="74"/>
        <v/>
      </c>
      <c r="AQ177" s="1024" t="str">
        <f t="shared" si="75"/>
        <v/>
      </c>
    </row>
    <row r="178" spans="5:43" x14ac:dyDescent="0.2">
      <c r="E178" s="1024" t="str">
        <f t="shared" si="81"/>
        <v/>
      </c>
      <c r="G178" s="1024" t="str">
        <f t="shared" si="77"/>
        <v/>
      </c>
      <c r="I178" s="1024" t="str">
        <f t="shared" si="78"/>
        <v/>
      </c>
      <c r="K178" s="1024" t="str">
        <f t="shared" si="79"/>
        <v/>
      </c>
      <c r="M178" s="1024" t="str">
        <f t="shared" si="80"/>
        <v/>
      </c>
      <c r="O178" s="1024" t="str">
        <f t="shared" si="82"/>
        <v/>
      </c>
      <c r="Q178" s="1024" t="str">
        <f t="shared" si="63"/>
        <v/>
      </c>
      <c r="S178" s="1024" t="str">
        <f t="shared" si="64"/>
        <v/>
      </c>
      <c r="U178" s="1024" t="str">
        <f t="shared" si="65"/>
        <v/>
      </c>
      <c r="W178" s="1024" t="str">
        <f t="shared" si="66"/>
        <v/>
      </c>
      <c r="Y178" s="1024" t="str">
        <f t="shared" si="67"/>
        <v/>
      </c>
      <c r="AA178" s="1024" t="str">
        <f t="shared" si="76"/>
        <v/>
      </c>
      <c r="AC178" s="1024" t="str">
        <f t="shared" si="68"/>
        <v/>
      </c>
      <c r="AE178" s="1024" t="str">
        <f t="shared" si="69"/>
        <v/>
      </c>
      <c r="AG178" s="1024" t="str">
        <f t="shared" si="70"/>
        <v/>
      </c>
      <c r="AI178" s="1024" t="str">
        <f t="shared" si="71"/>
        <v/>
      </c>
      <c r="AK178" s="1024" t="str">
        <f t="shared" si="72"/>
        <v/>
      </c>
      <c r="AM178" s="1024" t="str">
        <f t="shared" si="73"/>
        <v/>
      </c>
      <c r="AO178" s="1024" t="str">
        <f t="shared" si="74"/>
        <v/>
      </c>
      <c r="AQ178" s="1024" t="str">
        <f t="shared" si="75"/>
        <v/>
      </c>
    </row>
    <row r="179" spans="5:43" x14ac:dyDescent="0.2">
      <c r="E179" s="1024" t="str">
        <f t="shared" si="81"/>
        <v/>
      </c>
      <c r="G179" s="1024" t="str">
        <f t="shared" si="77"/>
        <v/>
      </c>
      <c r="I179" s="1024" t="str">
        <f t="shared" si="78"/>
        <v/>
      </c>
      <c r="K179" s="1024" t="str">
        <f t="shared" si="79"/>
        <v/>
      </c>
      <c r="M179" s="1024" t="str">
        <f t="shared" si="80"/>
        <v/>
      </c>
      <c r="O179" s="1024" t="str">
        <f t="shared" si="82"/>
        <v/>
      </c>
      <c r="Q179" s="1024" t="str">
        <f t="shared" si="63"/>
        <v/>
      </c>
      <c r="S179" s="1024" t="str">
        <f t="shared" si="64"/>
        <v/>
      </c>
      <c r="U179" s="1024" t="str">
        <f t="shared" si="65"/>
        <v/>
      </c>
      <c r="W179" s="1024" t="str">
        <f t="shared" si="66"/>
        <v/>
      </c>
      <c r="Y179" s="1024" t="str">
        <f t="shared" si="67"/>
        <v/>
      </c>
      <c r="AA179" s="1024" t="str">
        <f t="shared" si="76"/>
        <v/>
      </c>
      <c r="AC179" s="1024" t="str">
        <f t="shared" si="68"/>
        <v/>
      </c>
      <c r="AE179" s="1024" t="str">
        <f t="shared" si="69"/>
        <v/>
      </c>
      <c r="AG179" s="1024" t="str">
        <f t="shared" si="70"/>
        <v/>
      </c>
      <c r="AI179" s="1024" t="str">
        <f t="shared" si="71"/>
        <v/>
      </c>
      <c r="AK179" s="1024" t="str">
        <f t="shared" si="72"/>
        <v/>
      </c>
      <c r="AM179" s="1024" t="str">
        <f t="shared" si="73"/>
        <v/>
      </c>
      <c r="AO179" s="1024" t="str">
        <f t="shared" si="74"/>
        <v/>
      </c>
      <c r="AQ179" s="1024" t="str">
        <f t="shared" si="75"/>
        <v/>
      </c>
    </row>
    <row r="180" spans="5:43" x14ac:dyDescent="0.2">
      <c r="E180" s="1024" t="str">
        <f t="shared" si="81"/>
        <v/>
      </c>
      <c r="G180" s="1024" t="str">
        <f t="shared" si="77"/>
        <v/>
      </c>
      <c r="I180" s="1024" t="str">
        <f t="shared" si="78"/>
        <v/>
      </c>
      <c r="K180" s="1024" t="str">
        <f t="shared" si="79"/>
        <v/>
      </c>
      <c r="M180" s="1024" t="str">
        <f t="shared" si="80"/>
        <v/>
      </c>
      <c r="O180" s="1024" t="str">
        <f t="shared" si="82"/>
        <v/>
      </c>
      <c r="Q180" s="1024" t="str">
        <f t="shared" si="63"/>
        <v/>
      </c>
      <c r="S180" s="1024" t="str">
        <f t="shared" si="64"/>
        <v/>
      </c>
      <c r="U180" s="1024" t="str">
        <f t="shared" si="65"/>
        <v/>
      </c>
      <c r="W180" s="1024" t="str">
        <f t="shared" si="66"/>
        <v/>
      </c>
      <c r="Y180" s="1024" t="str">
        <f t="shared" si="67"/>
        <v/>
      </c>
      <c r="AA180" s="1024" t="str">
        <f t="shared" si="76"/>
        <v/>
      </c>
      <c r="AC180" s="1024" t="str">
        <f t="shared" si="68"/>
        <v/>
      </c>
      <c r="AE180" s="1024" t="str">
        <f t="shared" si="69"/>
        <v/>
      </c>
      <c r="AG180" s="1024" t="str">
        <f t="shared" si="70"/>
        <v/>
      </c>
      <c r="AI180" s="1024" t="str">
        <f t="shared" si="71"/>
        <v/>
      </c>
      <c r="AK180" s="1024" t="str">
        <f t="shared" si="72"/>
        <v/>
      </c>
      <c r="AM180" s="1024" t="str">
        <f t="shared" si="73"/>
        <v/>
      </c>
      <c r="AO180" s="1024" t="str">
        <f t="shared" si="74"/>
        <v/>
      </c>
      <c r="AQ180" s="1024" t="str">
        <f t="shared" si="75"/>
        <v/>
      </c>
    </row>
    <row r="181" spans="5:43" x14ac:dyDescent="0.2">
      <c r="E181" s="1024" t="str">
        <f t="shared" si="81"/>
        <v/>
      </c>
      <c r="G181" s="1024" t="str">
        <f t="shared" si="77"/>
        <v/>
      </c>
      <c r="I181" s="1024" t="str">
        <f t="shared" si="78"/>
        <v/>
      </c>
      <c r="K181" s="1024" t="str">
        <f t="shared" si="79"/>
        <v/>
      </c>
      <c r="M181" s="1024" t="str">
        <f t="shared" si="80"/>
        <v/>
      </c>
      <c r="O181" s="1024" t="str">
        <f t="shared" si="82"/>
        <v/>
      </c>
      <c r="Q181" s="1024" t="str">
        <f t="shared" si="63"/>
        <v/>
      </c>
      <c r="S181" s="1024" t="str">
        <f t="shared" si="64"/>
        <v/>
      </c>
      <c r="U181" s="1024" t="str">
        <f t="shared" si="65"/>
        <v/>
      </c>
      <c r="W181" s="1024" t="str">
        <f t="shared" si="66"/>
        <v/>
      </c>
      <c r="Y181" s="1024" t="str">
        <f t="shared" si="67"/>
        <v/>
      </c>
      <c r="AA181" s="1024" t="str">
        <f t="shared" si="76"/>
        <v/>
      </c>
      <c r="AC181" s="1024" t="str">
        <f t="shared" si="68"/>
        <v/>
      </c>
      <c r="AE181" s="1024" t="str">
        <f t="shared" si="69"/>
        <v/>
      </c>
      <c r="AG181" s="1024" t="str">
        <f t="shared" si="70"/>
        <v/>
      </c>
      <c r="AI181" s="1024" t="str">
        <f t="shared" si="71"/>
        <v/>
      </c>
      <c r="AK181" s="1024" t="str">
        <f t="shared" si="72"/>
        <v/>
      </c>
      <c r="AM181" s="1024" t="str">
        <f t="shared" si="73"/>
        <v/>
      </c>
      <c r="AO181" s="1024" t="str">
        <f t="shared" si="74"/>
        <v/>
      </c>
      <c r="AQ181" s="1024" t="str">
        <f t="shared" si="75"/>
        <v/>
      </c>
    </row>
    <row r="182" spans="5:43" x14ac:dyDescent="0.2">
      <c r="E182" s="1024" t="str">
        <f t="shared" si="81"/>
        <v/>
      </c>
      <c r="G182" s="1024" t="str">
        <f t="shared" si="77"/>
        <v/>
      </c>
      <c r="I182" s="1024" t="str">
        <f t="shared" si="78"/>
        <v/>
      </c>
      <c r="K182" s="1024" t="str">
        <f t="shared" si="79"/>
        <v/>
      </c>
      <c r="M182" s="1024" t="str">
        <f t="shared" si="80"/>
        <v/>
      </c>
      <c r="O182" s="1024" t="str">
        <f t="shared" si="82"/>
        <v/>
      </c>
      <c r="Q182" s="1024" t="str">
        <f t="shared" si="63"/>
        <v/>
      </c>
      <c r="S182" s="1024" t="str">
        <f t="shared" si="64"/>
        <v/>
      </c>
      <c r="U182" s="1024" t="str">
        <f t="shared" si="65"/>
        <v/>
      </c>
      <c r="W182" s="1024" t="str">
        <f t="shared" si="66"/>
        <v/>
      </c>
      <c r="Y182" s="1024" t="str">
        <f t="shared" si="67"/>
        <v/>
      </c>
      <c r="AA182" s="1024" t="str">
        <f t="shared" si="76"/>
        <v/>
      </c>
      <c r="AC182" s="1024" t="str">
        <f t="shared" si="68"/>
        <v/>
      </c>
      <c r="AE182" s="1024" t="str">
        <f t="shared" si="69"/>
        <v/>
      </c>
      <c r="AG182" s="1024" t="str">
        <f t="shared" si="70"/>
        <v/>
      </c>
      <c r="AI182" s="1024" t="str">
        <f t="shared" si="71"/>
        <v/>
      </c>
      <c r="AK182" s="1024" t="str">
        <f t="shared" si="72"/>
        <v/>
      </c>
      <c r="AM182" s="1024" t="str">
        <f t="shared" si="73"/>
        <v/>
      </c>
      <c r="AO182" s="1024" t="str">
        <f t="shared" si="74"/>
        <v/>
      </c>
      <c r="AQ182" s="1024" t="str">
        <f t="shared" si="75"/>
        <v/>
      </c>
    </row>
    <row r="183" spans="5:43" x14ac:dyDescent="0.2">
      <c r="E183" s="1024" t="str">
        <f t="shared" si="81"/>
        <v/>
      </c>
      <c r="G183" s="1024" t="str">
        <f t="shared" si="77"/>
        <v/>
      </c>
      <c r="I183" s="1024" t="str">
        <f t="shared" si="78"/>
        <v/>
      </c>
      <c r="K183" s="1024" t="str">
        <f t="shared" si="79"/>
        <v/>
      </c>
      <c r="M183" s="1024" t="str">
        <f t="shared" si="80"/>
        <v/>
      </c>
      <c r="O183" s="1024" t="str">
        <f t="shared" si="82"/>
        <v/>
      </c>
      <c r="Q183" s="1024" t="str">
        <f t="shared" si="63"/>
        <v/>
      </c>
      <c r="S183" s="1024" t="str">
        <f t="shared" si="64"/>
        <v/>
      </c>
      <c r="U183" s="1024" t="str">
        <f t="shared" si="65"/>
        <v/>
      </c>
      <c r="W183" s="1024" t="str">
        <f t="shared" si="66"/>
        <v/>
      </c>
      <c r="Y183" s="1024" t="str">
        <f t="shared" si="67"/>
        <v/>
      </c>
      <c r="AA183" s="1024" t="str">
        <f t="shared" si="76"/>
        <v/>
      </c>
      <c r="AC183" s="1024" t="str">
        <f t="shared" si="68"/>
        <v/>
      </c>
      <c r="AE183" s="1024" t="str">
        <f t="shared" si="69"/>
        <v/>
      </c>
      <c r="AG183" s="1024" t="str">
        <f t="shared" si="70"/>
        <v/>
      </c>
      <c r="AI183" s="1024" t="str">
        <f t="shared" si="71"/>
        <v/>
      </c>
      <c r="AK183" s="1024" t="str">
        <f t="shared" si="72"/>
        <v/>
      </c>
      <c r="AM183" s="1024" t="str">
        <f t="shared" si="73"/>
        <v/>
      </c>
      <c r="AO183" s="1024" t="str">
        <f t="shared" si="74"/>
        <v/>
      </c>
      <c r="AQ183" s="1024" t="str">
        <f t="shared" si="75"/>
        <v/>
      </c>
    </row>
    <row r="184" spans="5:43" x14ac:dyDescent="0.2">
      <c r="E184" s="1024" t="str">
        <f t="shared" si="81"/>
        <v/>
      </c>
      <c r="G184" s="1024" t="str">
        <f t="shared" si="77"/>
        <v/>
      </c>
      <c r="I184" s="1024" t="str">
        <f t="shared" si="78"/>
        <v/>
      </c>
      <c r="K184" s="1024" t="str">
        <f t="shared" si="79"/>
        <v/>
      </c>
      <c r="M184" s="1024" t="str">
        <f t="shared" si="80"/>
        <v/>
      </c>
      <c r="O184" s="1024" t="str">
        <f t="shared" si="82"/>
        <v/>
      </c>
      <c r="Q184" s="1024" t="str">
        <f t="shared" si="63"/>
        <v/>
      </c>
      <c r="S184" s="1024" t="str">
        <f t="shared" si="64"/>
        <v/>
      </c>
      <c r="U184" s="1024" t="str">
        <f t="shared" si="65"/>
        <v/>
      </c>
      <c r="W184" s="1024" t="str">
        <f t="shared" si="66"/>
        <v/>
      </c>
      <c r="Y184" s="1024" t="str">
        <f t="shared" si="67"/>
        <v/>
      </c>
      <c r="AA184" s="1024" t="str">
        <f t="shared" si="76"/>
        <v/>
      </c>
      <c r="AC184" s="1024" t="str">
        <f t="shared" si="68"/>
        <v/>
      </c>
      <c r="AE184" s="1024" t="str">
        <f t="shared" si="69"/>
        <v/>
      </c>
      <c r="AG184" s="1024" t="str">
        <f t="shared" si="70"/>
        <v/>
      </c>
      <c r="AI184" s="1024" t="str">
        <f t="shared" si="71"/>
        <v/>
      </c>
      <c r="AK184" s="1024" t="str">
        <f t="shared" si="72"/>
        <v/>
      </c>
      <c r="AM184" s="1024" t="str">
        <f t="shared" si="73"/>
        <v/>
      </c>
      <c r="AO184" s="1024" t="str">
        <f t="shared" si="74"/>
        <v/>
      </c>
      <c r="AQ184" s="1024" t="str">
        <f t="shared" si="75"/>
        <v/>
      </c>
    </row>
    <row r="185" spans="5:43" x14ac:dyDescent="0.2">
      <c r="E185" s="1024" t="str">
        <f t="shared" si="81"/>
        <v/>
      </c>
      <c r="G185" s="1024" t="str">
        <f t="shared" si="77"/>
        <v/>
      </c>
      <c r="I185" s="1024" t="str">
        <f t="shared" si="78"/>
        <v/>
      </c>
      <c r="K185" s="1024" t="str">
        <f t="shared" si="79"/>
        <v/>
      </c>
      <c r="M185" s="1024" t="str">
        <f t="shared" si="80"/>
        <v/>
      </c>
      <c r="O185" s="1024" t="str">
        <f t="shared" si="82"/>
        <v/>
      </c>
      <c r="Q185" s="1024" t="str">
        <f t="shared" si="63"/>
        <v/>
      </c>
      <c r="S185" s="1024" t="str">
        <f t="shared" si="64"/>
        <v/>
      </c>
      <c r="U185" s="1024" t="str">
        <f t="shared" si="65"/>
        <v/>
      </c>
      <c r="W185" s="1024" t="str">
        <f t="shared" si="66"/>
        <v/>
      </c>
      <c r="Y185" s="1024" t="str">
        <f t="shared" si="67"/>
        <v/>
      </c>
      <c r="AA185" s="1024" t="str">
        <f t="shared" si="76"/>
        <v/>
      </c>
      <c r="AC185" s="1024" t="str">
        <f t="shared" si="68"/>
        <v/>
      </c>
      <c r="AE185" s="1024" t="str">
        <f t="shared" si="69"/>
        <v/>
      </c>
      <c r="AG185" s="1024" t="str">
        <f t="shared" si="70"/>
        <v/>
      </c>
      <c r="AI185" s="1024" t="str">
        <f t="shared" si="71"/>
        <v/>
      </c>
      <c r="AK185" s="1024" t="str">
        <f t="shared" si="72"/>
        <v/>
      </c>
      <c r="AM185" s="1024" t="str">
        <f t="shared" si="73"/>
        <v/>
      </c>
      <c r="AO185" s="1024" t="str">
        <f t="shared" si="74"/>
        <v/>
      </c>
      <c r="AQ185" s="1024" t="str">
        <f t="shared" si="75"/>
        <v/>
      </c>
    </row>
    <row r="186" spans="5:43" x14ac:dyDescent="0.2">
      <c r="E186" s="1024" t="str">
        <f t="shared" si="81"/>
        <v/>
      </c>
      <c r="G186" s="1024" t="str">
        <f t="shared" si="77"/>
        <v/>
      </c>
      <c r="I186" s="1024" t="str">
        <f t="shared" si="78"/>
        <v/>
      </c>
      <c r="K186" s="1024" t="str">
        <f t="shared" si="79"/>
        <v/>
      </c>
      <c r="M186" s="1024" t="str">
        <f t="shared" si="80"/>
        <v/>
      </c>
      <c r="O186" s="1024" t="str">
        <f t="shared" si="82"/>
        <v/>
      </c>
      <c r="Q186" s="1024" t="str">
        <f t="shared" si="63"/>
        <v/>
      </c>
      <c r="S186" s="1024" t="str">
        <f t="shared" si="64"/>
        <v/>
      </c>
      <c r="U186" s="1024" t="str">
        <f t="shared" si="65"/>
        <v/>
      </c>
      <c r="W186" s="1024" t="str">
        <f t="shared" si="66"/>
        <v/>
      </c>
      <c r="Y186" s="1024" t="str">
        <f t="shared" si="67"/>
        <v/>
      </c>
      <c r="AA186" s="1024" t="str">
        <f t="shared" si="76"/>
        <v/>
      </c>
      <c r="AC186" s="1024" t="str">
        <f t="shared" si="68"/>
        <v/>
      </c>
      <c r="AE186" s="1024" t="str">
        <f t="shared" si="69"/>
        <v/>
      </c>
      <c r="AG186" s="1024" t="str">
        <f t="shared" si="70"/>
        <v/>
      </c>
      <c r="AI186" s="1024" t="str">
        <f t="shared" si="71"/>
        <v/>
      </c>
      <c r="AK186" s="1024" t="str">
        <f t="shared" si="72"/>
        <v/>
      </c>
      <c r="AM186" s="1024" t="str">
        <f t="shared" si="73"/>
        <v/>
      </c>
      <c r="AO186" s="1024" t="str">
        <f t="shared" si="74"/>
        <v/>
      </c>
      <c r="AQ186" s="1024" t="str">
        <f t="shared" si="75"/>
        <v/>
      </c>
    </row>
    <row r="187" spans="5:43" x14ac:dyDescent="0.2">
      <c r="E187" s="1024" t="str">
        <f t="shared" si="81"/>
        <v/>
      </c>
      <c r="G187" s="1024" t="str">
        <f t="shared" si="77"/>
        <v/>
      </c>
      <c r="I187" s="1024" t="str">
        <f t="shared" si="78"/>
        <v/>
      </c>
      <c r="K187" s="1024" t="str">
        <f t="shared" si="79"/>
        <v/>
      </c>
      <c r="M187" s="1024" t="str">
        <f t="shared" si="80"/>
        <v/>
      </c>
      <c r="O187" s="1024" t="str">
        <f t="shared" si="82"/>
        <v/>
      </c>
      <c r="Q187" s="1024" t="str">
        <f t="shared" si="63"/>
        <v/>
      </c>
      <c r="S187" s="1024" t="str">
        <f t="shared" si="64"/>
        <v/>
      </c>
      <c r="U187" s="1024" t="str">
        <f t="shared" si="65"/>
        <v/>
      </c>
      <c r="W187" s="1024" t="str">
        <f t="shared" si="66"/>
        <v/>
      </c>
      <c r="Y187" s="1024" t="str">
        <f t="shared" si="67"/>
        <v/>
      </c>
      <c r="AA187" s="1024" t="str">
        <f t="shared" si="76"/>
        <v/>
      </c>
      <c r="AC187" s="1024" t="str">
        <f t="shared" si="68"/>
        <v/>
      </c>
      <c r="AE187" s="1024" t="str">
        <f t="shared" si="69"/>
        <v/>
      </c>
      <c r="AG187" s="1024" t="str">
        <f t="shared" si="70"/>
        <v/>
      </c>
      <c r="AI187" s="1024" t="str">
        <f t="shared" si="71"/>
        <v/>
      </c>
      <c r="AK187" s="1024" t="str">
        <f t="shared" si="72"/>
        <v/>
      </c>
      <c r="AM187" s="1024" t="str">
        <f t="shared" si="73"/>
        <v/>
      </c>
      <c r="AO187" s="1024" t="str">
        <f t="shared" si="74"/>
        <v/>
      </c>
      <c r="AQ187" s="1024" t="str">
        <f t="shared" si="75"/>
        <v/>
      </c>
    </row>
    <row r="188" spans="5:43" x14ac:dyDescent="0.2">
      <c r="E188" s="1024" t="str">
        <f t="shared" si="81"/>
        <v/>
      </c>
      <c r="G188" s="1024" t="str">
        <f t="shared" si="77"/>
        <v/>
      </c>
      <c r="I188" s="1024" t="str">
        <f t="shared" si="78"/>
        <v/>
      </c>
      <c r="K188" s="1024" t="str">
        <f t="shared" si="79"/>
        <v/>
      </c>
      <c r="M188" s="1024" t="str">
        <f t="shared" si="80"/>
        <v/>
      </c>
      <c r="O188" s="1024" t="str">
        <f t="shared" si="82"/>
        <v/>
      </c>
      <c r="Q188" s="1024" t="str">
        <f t="shared" si="63"/>
        <v/>
      </c>
      <c r="S188" s="1024" t="str">
        <f t="shared" si="64"/>
        <v/>
      </c>
      <c r="U188" s="1024" t="str">
        <f t="shared" si="65"/>
        <v/>
      </c>
      <c r="W188" s="1024" t="str">
        <f t="shared" si="66"/>
        <v/>
      </c>
      <c r="Y188" s="1024" t="str">
        <f t="shared" si="67"/>
        <v/>
      </c>
      <c r="AA188" s="1024" t="str">
        <f t="shared" si="76"/>
        <v/>
      </c>
      <c r="AC188" s="1024" t="str">
        <f t="shared" si="68"/>
        <v/>
      </c>
      <c r="AE188" s="1024" t="str">
        <f t="shared" si="69"/>
        <v/>
      </c>
      <c r="AG188" s="1024" t="str">
        <f t="shared" si="70"/>
        <v/>
      </c>
      <c r="AI188" s="1024" t="str">
        <f t="shared" si="71"/>
        <v/>
      </c>
      <c r="AK188" s="1024" t="str">
        <f t="shared" si="72"/>
        <v/>
      </c>
      <c r="AM188" s="1024" t="str">
        <f t="shared" si="73"/>
        <v/>
      </c>
      <c r="AO188" s="1024" t="str">
        <f t="shared" si="74"/>
        <v/>
      </c>
      <c r="AQ188" s="1024" t="str">
        <f t="shared" si="75"/>
        <v/>
      </c>
    </row>
    <row r="189" spans="5:43" x14ac:dyDescent="0.2">
      <c r="E189" s="1024" t="str">
        <f t="shared" si="81"/>
        <v/>
      </c>
      <c r="G189" s="1024" t="str">
        <f t="shared" si="77"/>
        <v/>
      </c>
      <c r="I189" s="1024" t="str">
        <f t="shared" si="78"/>
        <v/>
      </c>
      <c r="K189" s="1024" t="str">
        <f t="shared" si="79"/>
        <v/>
      </c>
      <c r="M189" s="1024" t="str">
        <f t="shared" si="80"/>
        <v/>
      </c>
      <c r="O189" s="1024" t="str">
        <f t="shared" si="82"/>
        <v/>
      </c>
      <c r="Q189" s="1024" t="str">
        <f t="shared" si="63"/>
        <v/>
      </c>
      <c r="S189" s="1024" t="str">
        <f t="shared" si="64"/>
        <v/>
      </c>
      <c r="U189" s="1024" t="str">
        <f t="shared" si="65"/>
        <v/>
      </c>
      <c r="W189" s="1024" t="str">
        <f t="shared" si="66"/>
        <v/>
      </c>
      <c r="Y189" s="1024" t="str">
        <f t="shared" si="67"/>
        <v/>
      </c>
      <c r="AA189" s="1024" t="str">
        <f t="shared" si="76"/>
        <v/>
      </c>
      <c r="AC189" s="1024" t="str">
        <f t="shared" si="68"/>
        <v/>
      </c>
      <c r="AE189" s="1024" t="str">
        <f t="shared" si="69"/>
        <v/>
      </c>
      <c r="AG189" s="1024" t="str">
        <f t="shared" si="70"/>
        <v/>
      </c>
      <c r="AI189" s="1024" t="str">
        <f t="shared" si="71"/>
        <v/>
      </c>
      <c r="AK189" s="1024" t="str">
        <f t="shared" si="72"/>
        <v/>
      </c>
      <c r="AM189" s="1024" t="str">
        <f t="shared" si="73"/>
        <v/>
      </c>
      <c r="AO189" s="1024" t="str">
        <f t="shared" si="74"/>
        <v/>
      </c>
      <c r="AQ189" s="1024" t="str">
        <f t="shared" si="75"/>
        <v/>
      </c>
    </row>
    <row r="190" spans="5:43" x14ac:dyDescent="0.2">
      <c r="E190" s="1024" t="str">
        <f t="shared" si="81"/>
        <v/>
      </c>
      <c r="G190" s="1024" t="str">
        <f t="shared" si="77"/>
        <v/>
      </c>
      <c r="I190" s="1024" t="str">
        <f t="shared" si="78"/>
        <v/>
      </c>
      <c r="K190" s="1024" t="str">
        <f t="shared" si="79"/>
        <v/>
      </c>
      <c r="M190" s="1024" t="str">
        <f t="shared" si="80"/>
        <v/>
      </c>
      <c r="O190" s="1024" t="str">
        <f t="shared" si="82"/>
        <v/>
      </c>
      <c r="Q190" s="1024" t="str">
        <f t="shared" si="63"/>
        <v/>
      </c>
      <c r="S190" s="1024" t="str">
        <f t="shared" si="64"/>
        <v/>
      </c>
      <c r="U190" s="1024" t="str">
        <f t="shared" si="65"/>
        <v/>
      </c>
      <c r="W190" s="1024" t="str">
        <f t="shared" si="66"/>
        <v/>
      </c>
      <c r="Y190" s="1024" t="str">
        <f t="shared" si="67"/>
        <v/>
      </c>
      <c r="AA190" s="1024" t="str">
        <f t="shared" si="76"/>
        <v/>
      </c>
      <c r="AC190" s="1024" t="str">
        <f t="shared" si="68"/>
        <v/>
      </c>
      <c r="AE190" s="1024" t="str">
        <f t="shared" si="69"/>
        <v/>
      </c>
      <c r="AG190" s="1024" t="str">
        <f t="shared" si="70"/>
        <v/>
      </c>
      <c r="AI190" s="1024" t="str">
        <f t="shared" si="71"/>
        <v/>
      </c>
      <c r="AK190" s="1024" t="str">
        <f t="shared" si="72"/>
        <v/>
      </c>
      <c r="AM190" s="1024" t="str">
        <f t="shared" si="73"/>
        <v/>
      </c>
      <c r="AO190" s="1024" t="str">
        <f t="shared" si="74"/>
        <v/>
      </c>
      <c r="AQ190" s="1024" t="str">
        <f t="shared" si="75"/>
        <v/>
      </c>
    </row>
    <row r="191" spans="5:43" x14ac:dyDescent="0.2">
      <c r="E191" s="1024" t="str">
        <f t="shared" si="81"/>
        <v/>
      </c>
      <c r="G191" s="1024" t="str">
        <f t="shared" si="77"/>
        <v/>
      </c>
      <c r="I191" s="1024" t="str">
        <f t="shared" si="78"/>
        <v/>
      </c>
      <c r="K191" s="1024" t="str">
        <f t="shared" si="79"/>
        <v/>
      </c>
      <c r="M191" s="1024" t="str">
        <f t="shared" si="80"/>
        <v/>
      </c>
      <c r="O191" s="1024" t="str">
        <f t="shared" si="82"/>
        <v/>
      </c>
      <c r="Q191" s="1024" t="str">
        <f t="shared" si="63"/>
        <v/>
      </c>
      <c r="S191" s="1024" t="str">
        <f t="shared" si="64"/>
        <v/>
      </c>
      <c r="U191" s="1024" t="str">
        <f t="shared" si="65"/>
        <v/>
      </c>
      <c r="W191" s="1024" t="str">
        <f t="shared" si="66"/>
        <v/>
      </c>
      <c r="Y191" s="1024" t="str">
        <f t="shared" si="67"/>
        <v/>
      </c>
      <c r="AA191" s="1024" t="str">
        <f t="shared" si="76"/>
        <v/>
      </c>
      <c r="AC191" s="1024" t="str">
        <f t="shared" si="68"/>
        <v/>
      </c>
      <c r="AE191" s="1024" t="str">
        <f t="shared" si="69"/>
        <v/>
      </c>
      <c r="AG191" s="1024" t="str">
        <f t="shared" si="70"/>
        <v/>
      </c>
      <c r="AI191" s="1024" t="str">
        <f t="shared" si="71"/>
        <v/>
      </c>
      <c r="AK191" s="1024" t="str">
        <f t="shared" si="72"/>
        <v/>
      </c>
      <c r="AM191" s="1024" t="str">
        <f t="shared" si="73"/>
        <v/>
      </c>
      <c r="AO191" s="1024" t="str">
        <f t="shared" si="74"/>
        <v/>
      </c>
      <c r="AQ191" s="1024" t="str">
        <f t="shared" si="75"/>
        <v/>
      </c>
    </row>
    <row r="192" spans="5:43" x14ac:dyDescent="0.2">
      <c r="E192" s="1024" t="str">
        <f t="shared" si="81"/>
        <v/>
      </c>
      <c r="G192" s="1024" t="str">
        <f t="shared" si="77"/>
        <v/>
      </c>
      <c r="I192" s="1024" t="str">
        <f t="shared" si="78"/>
        <v/>
      </c>
      <c r="K192" s="1024" t="str">
        <f t="shared" si="79"/>
        <v/>
      </c>
      <c r="M192" s="1024" t="str">
        <f t="shared" si="80"/>
        <v/>
      </c>
      <c r="O192" s="1024" t="str">
        <f t="shared" si="82"/>
        <v/>
      </c>
      <c r="Q192" s="1024" t="str">
        <f t="shared" si="63"/>
        <v/>
      </c>
      <c r="S192" s="1024" t="str">
        <f t="shared" si="64"/>
        <v/>
      </c>
      <c r="U192" s="1024" t="str">
        <f t="shared" si="65"/>
        <v/>
      </c>
      <c r="W192" s="1024" t="str">
        <f t="shared" si="66"/>
        <v/>
      </c>
      <c r="Y192" s="1024" t="str">
        <f t="shared" si="67"/>
        <v/>
      </c>
      <c r="AA192" s="1024" t="str">
        <f t="shared" si="76"/>
        <v/>
      </c>
      <c r="AC192" s="1024" t="str">
        <f t="shared" si="68"/>
        <v/>
      </c>
      <c r="AE192" s="1024" t="str">
        <f t="shared" si="69"/>
        <v/>
      </c>
      <c r="AG192" s="1024" t="str">
        <f t="shared" si="70"/>
        <v/>
      </c>
      <c r="AI192" s="1024" t="str">
        <f t="shared" si="71"/>
        <v/>
      </c>
      <c r="AK192" s="1024" t="str">
        <f t="shared" si="72"/>
        <v/>
      </c>
      <c r="AM192" s="1024" t="str">
        <f t="shared" si="73"/>
        <v/>
      </c>
      <c r="AO192" s="1024" t="str">
        <f t="shared" si="74"/>
        <v/>
      </c>
      <c r="AQ192" s="1024" t="str">
        <f t="shared" si="75"/>
        <v/>
      </c>
    </row>
    <row r="193" spans="5:43" x14ac:dyDescent="0.2">
      <c r="E193" s="1024" t="str">
        <f t="shared" si="81"/>
        <v/>
      </c>
      <c r="G193" s="1024" t="str">
        <f t="shared" si="77"/>
        <v/>
      </c>
      <c r="I193" s="1024" t="str">
        <f t="shared" si="78"/>
        <v/>
      </c>
      <c r="K193" s="1024" t="str">
        <f t="shared" si="79"/>
        <v/>
      </c>
      <c r="M193" s="1024" t="str">
        <f t="shared" si="80"/>
        <v/>
      </c>
      <c r="O193" s="1024" t="str">
        <f t="shared" si="82"/>
        <v/>
      </c>
      <c r="Q193" s="1024" t="str">
        <f t="shared" si="63"/>
        <v/>
      </c>
      <c r="S193" s="1024" t="str">
        <f t="shared" si="64"/>
        <v/>
      </c>
      <c r="U193" s="1024" t="str">
        <f t="shared" si="65"/>
        <v/>
      </c>
      <c r="W193" s="1024" t="str">
        <f t="shared" si="66"/>
        <v/>
      </c>
      <c r="Y193" s="1024" t="str">
        <f t="shared" si="67"/>
        <v/>
      </c>
      <c r="AA193" s="1024" t="str">
        <f t="shared" si="76"/>
        <v/>
      </c>
      <c r="AC193" s="1024" t="str">
        <f t="shared" si="68"/>
        <v/>
      </c>
      <c r="AE193" s="1024" t="str">
        <f t="shared" si="69"/>
        <v/>
      </c>
      <c r="AG193" s="1024" t="str">
        <f t="shared" si="70"/>
        <v/>
      </c>
      <c r="AI193" s="1024" t="str">
        <f t="shared" si="71"/>
        <v/>
      </c>
      <c r="AK193" s="1024" t="str">
        <f t="shared" si="72"/>
        <v/>
      </c>
      <c r="AM193" s="1024" t="str">
        <f t="shared" si="73"/>
        <v/>
      </c>
      <c r="AO193" s="1024" t="str">
        <f t="shared" si="74"/>
        <v/>
      </c>
      <c r="AQ193" s="1024" t="str">
        <f t="shared" si="75"/>
        <v/>
      </c>
    </row>
    <row r="194" spans="5:43" x14ac:dyDescent="0.2">
      <c r="E194" s="1024" t="str">
        <f t="shared" si="81"/>
        <v/>
      </c>
      <c r="G194" s="1024" t="str">
        <f t="shared" si="77"/>
        <v/>
      </c>
      <c r="I194" s="1024" t="str">
        <f t="shared" si="78"/>
        <v/>
      </c>
      <c r="K194" s="1024" t="str">
        <f t="shared" si="79"/>
        <v/>
      </c>
      <c r="M194" s="1024" t="str">
        <f t="shared" si="80"/>
        <v/>
      </c>
      <c r="O194" s="1024" t="str">
        <f t="shared" si="82"/>
        <v/>
      </c>
      <c r="Q194" s="1024" t="str">
        <f t="shared" si="63"/>
        <v/>
      </c>
      <c r="S194" s="1024" t="str">
        <f t="shared" si="64"/>
        <v/>
      </c>
      <c r="U194" s="1024" t="str">
        <f t="shared" si="65"/>
        <v/>
      </c>
      <c r="W194" s="1024" t="str">
        <f t="shared" si="66"/>
        <v/>
      </c>
      <c r="Y194" s="1024" t="str">
        <f t="shared" si="67"/>
        <v/>
      </c>
      <c r="AA194" s="1024" t="str">
        <f t="shared" si="76"/>
        <v/>
      </c>
      <c r="AC194" s="1024" t="str">
        <f t="shared" si="68"/>
        <v/>
      </c>
      <c r="AE194" s="1024" t="str">
        <f t="shared" si="69"/>
        <v/>
      </c>
      <c r="AG194" s="1024" t="str">
        <f t="shared" si="70"/>
        <v/>
      </c>
      <c r="AI194" s="1024" t="str">
        <f t="shared" si="71"/>
        <v/>
      </c>
      <c r="AK194" s="1024" t="str">
        <f t="shared" si="72"/>
        <v/>
      </c>
      <c r="AM194" s="1024" t="str">
        <f t="shared" si="73"/>
        <v/>
      </c>
      <c r="AO194" s="1024" t="str">
        <f t="shared" si="74"/>
        <v/>
      </c>
      <c r="AQ194" s="1024" t="str">
        <f t="shared" si="75"/>
        <v/>
      </c>
    </row>
    <row r="195" spans="5:43" x14ac:dyDescent="0.2">
      <c r="E195" s="1024" t="str">
        <f t="shared" si="81"/>
        <v/>
      </c>
      <c r="G195" s="1024" t="str">
        <f t="shared" si="77"/>
        <v/>
      </c>
      <c r="I195" s="1024" t="str">
        <f t="shared" si="78"/>
        <v/>
      </c>
      <c r="K195" s="1024" t="str">
        <f t="shared" si="79"/>
        <v/>
      </c>
      <c r="M195" s="1024" t="str">
        <f t="shared" si="80"/>
        <v/>
      </c>
      <c r="O195" s="1024" t="str">
        <f t="shared" si="82"/>
        <v/>
      </c>
      <c r="Q195" s="1024" t="str">
        <f t="shared" si="63"/>
        <v/>
      </c>
      <c r="S195" s="1024" t="str">
        <f t="shared" si="64"/>
        <v/>
      </c>
      <c r="U195" s="1024" t="str">
        <f t="shared" si="65"/>
        <v/>
      </c>
      <c r="W195" s="1024" t="str">
        <f t="shared" si="66"/>
        <v/>
      </c>
      <c r="Y195" s="1024" t="str">
        <f t="shared" si="67"/>
        <v/>
      </c>
      <c r="AA195" s="1024" t="str">
        <f t="shared" si="76"/>
        <v/>
      </c>
      <c r="AC195" s="1024" t="str">
        <f t="shared" si="68"/>
        <v/>
      </c>
      <c r="AE195" s="1024" t="str">
        <f t="shared" si="69"/>
        <v/>
      </c>
      <c r="AG195" s="1024" t="str">
        <f t="shared" si="70"/>
        <v/>
      </c>
      <c r="AI195" s="1024" t="str">
        <f t="shared" si="71"/>
        <v/>
      </c>
      <c r="AK195" s="1024" t="str">
        <f t="shared" si="72"/>
        <v/>
      </c>
      <c r="AM195" s="1024" t="str">
        <f t="shared" si="73"/>
        <v/>
      </c>
      <c r="AO195" s="1024" t="str">
        <f t="shared" si="74"/>
        <v/>
      </c>
      <c r="AQ195" s="1024" t="str">
        <f t="shared" si="75"/>
        <v/>
      </c>
    </row>
    <row r="196" spans="5:43" x14ac:dyDescent="0.2">
      <c r="E196" s="1024" t="str">
        <f t="shared" si="81"/>
        <v/>
      </c>
      <c r="G196" s="1024" t="str">
        <f t="shared" si="77"/>
        <v/>
      </c>
      <c r="I196" s="1024" t="str">
        <f t="shared" si="78"/>
        <v/>
      </c>
      <c r="K196" s="1024" t="str">
        <f t="shared" si="79"/>
        <v/>
      </c>
      <c r="M196" s="1024" t="str">
        <f t="shared" si="80"/>
        <v/>
      </c>
      <c r="O196" s="1024" t="str">
        <f t="shared" si="82"/>
        <v/>
      </c>
      <c r="Q196" s="1024" t="str">
        <f t="shared" si="63"/>
        <v/>
      </c>
      <c r="S196" s="1024" t="str">
        <f t="shared" si="64"/>
        <v/>
      </c>
      <c r="U196" s="1024" t="str">
        <f t="shared" si="65"/>
        <v/>
      </c>
      <c r="W196" s="1024" t="str">
        <f t="shared" si="66"/>
        <v/>
      </c>
      <c r="Y196" s="1024" t="str">
        <f t="shared" si="67"/>
        <v/>
      </c>
      <c r="AA196" s="1024" t="str">
        <f t="shared" si="76"/>
        <v/>
      </c>
      <c r="AC196" s="1024" t="str">
        <f t="shared" si="68"/>
        <v/>
      </c>
      <c r="AE196" s="1024" t="str">
        <f t="shared" si="69"/>
        <v/>
      </c>
      <c r="AG196" s="1024" t="str">
        <f t="shared" si="70"/>
        <v/>
      </c>
      <c r="AI196" s="1024" t="str">
        <f t="shared" si="71"/>
        <v/>
      </c>
      <c r="AK196" s="1024" t="str">
        <f t="shared" si="72"/>
        <v/>
      </c>
      <c r="AM196" s="1024" t="str">
        <f t="shared" si="73"/>
        <v/>
      </c>
      <c r="AO196" s="1024" t="str">
        <f t="shared" si="74"/>
        <v/>
      </c>
      <c r="AQ196" s="1024" t="str">
        <f t="shared" si="75"/>
        <v/>
      </c>
    </row>
    <row r="197" spans="5:43" x14ac:dyDescent="0.2">
      <c r="E197" s="1024" t="str">
        <f t="shared" si="81"/>
        <v/>
      </c>
      <c r="G197" s="1024" t="str">
        <f t="shared" si="77"/>
        <v/>
      </c>
      <c r="I197" s="1024" t="str">
        <f t="shared" si="78"/>
        <v/>
      </c>
      <c r="K197" s="1024" t="str">
        <f t="shared" si="79"/>
        <v/>
      </c>
      <c r="M197" s="1024" t="str">
        <f t="shared" si="80"/>
        <v/>
      </c>
      <c r="O197" s="1024" t="str">
        <f t="shared" si="82"/>
        <v/>
      </c>
      <c r="Q197" s="1024" t="str">
        <f t="shared" si="63"/>
        <v/>
      </c>
      <c r="S197" s="1024" t="str">
        <f t="shared" si="64"/>
        <v/>
      </c>
      <c r="U197" s="1024" t="str">
        <f t="shared" si="65"/>
        <v/>
      </c>
      <c r="W197" s="1024" t="str">
        <f t="shared" si="66"/>
        <v/>
      </c>
      <c r="Y197" s="1024" t="str">
        <f t="shared" si="67"/>
        <v/>
      </c>
      <c r="AA197" s="1024" t="str">
        <f t="shared" si="76"/>
        <v/>
      </c>
      <c r="AC197" s="1024" t="str">
        <f t="shared" si="68"/>
        <v/>
      </c>
      <c r="AE197" s="1024" t="str">
        <f t="shared" si="69"/>
        <v/>
      </c>
      <c r="AG197" s="1024" t="str">
        <f t="shared" si="70"/>
        <v/>
      </c>
      <c r="AI197" s="1024" t="str">
        <f t="shared" si="71"/>
        <v/>
      </c>
      <c r="AK197" s="1024" t="str">
        <f t="shared" si="72"/>
        <v/>
      </c>
      <c r="AM197" s="1024" t="str">
        <f t="shared" si="73"/>
        <v/>
      </c>
      <c r="AO197" s="1024" t="str">
        <f t="shared" si="74"/>
        <v/>
      </c>
      <c r="AQ197" s="1024" t="str">
        <f t="shared" si="75"/>
        <v/>
      </c>
    </row>
    <row r="198" spans="5:43" x14ac:dyDescent="0.2">
      <c r="E198" s="1024" t="str">
        <f t="shared" si="81"/>
        <v/>
      </c>
      <c r="G198" s="1024" t="str">
        <f t="shared" si="77"/>
        <v/>
      </c>
      <c r="I198" s="1024" t="str">
        <f t="shared" si="78"/>
        <v/>
      </c>
      <c r="K198" s="1024" t="str">
        <f t="shared" si="79"/>
        <v/>
      </c>
      <c r="M198" s="1024" t="str">
        <f t="shared" si="80"/>
        <v/>
      </c>
      <c r="O198" s="1024" t="str">
        <f t="shared" si="82"/>
        <v/>
      </c>
      <c r="Q198" s="1024" t="str">
        <f t="shared" si="63"/>
        <v/>
      </c>
      <c r="S198" s="1024" t="str">
        <f t="shared" si="64"/>
        <v/>
      </c>
      <c r="U198" s="1024" t="str">
        <f t="shared" si="65"/>
        <v/>
      </c>
      <c r="W198" s="1024" t="str">
        <f t="shared" si="66"/>
        <v/>
      </c>
      <c r="Y198" s="1024" t="str">
        <f t="shared" si="67"/>
        <v/>
      </c>
      <c r="AA198" s="1024" t="str">
        <f t="shared" si="76"/>
        <v/>
      </c>
      <c r="AC198" s="1024" t="str">
        <f t="shared" si="68"/>
        <v/>
      </c>
      <c r="AE198" s="1024" t="str">
        <f t="shared" si="69"/>
        <v/>
      </c>
      <c r="AG198" s="1024" t="str">
        <f t="shared" si="70"/>
        <v/>
      </c>
      <c r="AI198" s="1024" t="str">
        <f t="shared" si="71"/>
        <v/>
      </c>
      <c r="AK198" s="1024" t="str">
        <f t="shared" si="72"/>
        <v/>
      </c>
      <c r="AM198" s="1024" t="str">
        <f t="shared" si="73"/>
        <v/>
      </c>
      <c r="AO198" s="1024" t="str">
        <f t="shared" si="74"/>
        <v/>
      </c>
      <c r="AQ198" s="1024" t="str">
        <f t="shared" si="75"/>
        <v/>
      </c>
    </row>
    <row r="199" spans="5:43" x14ac:dyDescent="0.2">
      <c r="E199" s="1024" t="str">
        <f t="shared" si="81"/>
        <v/>
      </c>
      <c r="G199" s="1024" t="str">
        <f t="shared" si="77"/>
        <v/>
      </c>
      <c r="I199" s="1024" t="str">
        <f t="shared" si="78"/>
        <v/>
      </c>
      <c r="K199" s="1024" t="str">
        <f t="shared" si="79"/>
        <v/>
      </c>
      <c r="M199" s="1024" t="str">
        <f t="shared" si="80"/>
        <v/>
      </c>
      <c r="O199" s="1024" t="str">
        <f t="shared" si="82"/>
        <v/>
      </c>
      <c r="Q199" s="1024" t="str">
        <f t="shared" si="63"/>
        <v/>
      </c>
      <c r="S199" s="1024" t="str">
        <f t="shared" si="64"/>
        <v/>
      </c>
      <c r="U199" s="1024" t="str">
        <f t="shared" si="65"/>
        <v/>
      </c>
      <c r="W199" s="1024" t="str">
        <f t="shared" si="66"/>
        <v/>
      </c>
      <c r="Y199" s="1024" t="str">
        <f t="shared" si="67"/>
        <v/>
      </c>
      <c r="AA199" s="1024" t="str">
        <f t="shared" si="76"/>
        <v/>
      </c>
      <c r="AC199" s="1024" t="str">
        <f t="shared" si="68"/>
        <v/>
      </c>
      <c r="AE199" s="1024" t="str">
        <f t="shared" si="69"/>
        <v/>
      </c>
      <c r="AG199" s="1024" t="str">
        <f t="shared" si="70"/>
        <v/>
      </c>
      <c r="AI199" s="1024" t="str">
        <f t="shared" si="71"/>
        <v/>
      </c>
      <c r="AK199" s="1024" t="str">
        <f t="shared" si="72"/>
        <v/>
      </c>
      <c r="AM199" s="1024" t="str">
        <f t="shared" si="73"/>
        <v/>
      </c>
      <c r="AO199" s="1024" t="str">
        <f t="shared" si="74"/>
        <v/>
      </c>
      <c r="AQ199" s="1024" t="str">
        <f t="shared" si="75"/>
        <v/>
      </c>
    </row>
    <row r="200" spans="5:43" x14ac:dyDescent="0.2">
      <c r="E200" s="1024" t="str">
        <f t="shared" si="81"/>
        <v/>
      </c>
      <c r="G200" s="1024" t="str">
        <f t="shared" si="77"/>
        <v/>
      </c>
      <c r="I200" s="1024" t="str">
        <f t="shared" si="78"/>
        <v/>
      </c>
      <c r="K200" s="1024" t="str">
        <f t="shared" si="79"/>
        <v/>
      </c>
      <c r="M200" s="1024" t="str">
        <f t="shared" si="80"/>
        <v/>
      </c>
      <c r="O200" s="1024" t="str">
        <f t="shared" si="82"/>
        <v/>
      </c>
      <c r="Q200" s="1024" t="str">
        <f t="shared" si="63"/>
        <v/>
      </c>
      <c r="S200" s="1024" t="str">
        <f t="shared" si="64"/>
        <v/>
      </c>
      <c r="U200" s="1024" t="str">
        <f t="shared" si="65"/>
        <v/>
      </c>
      <c r="W200" s="1024" t="str">
        <f t="shared" si="66"/>
        <v/>
      </c>
      <c r="Y200" s="1024" t="str">
        <f t="shared" si="67"/>
        <v/>
      </c>
      <c r="AA200" s="1024" t="str">
        <f t="shared" si="76"/>
        <v/>
      </c>
      <c r="AC200" s="1024" t="str">
        <f t="shared" si="68"/>
        <v/>
      </c>
      <c r="AE200" s="1024" t="str">
        <f t="shared" si="69"/>
        <v/>
      </c>
      <c r="AG200" s="1024" t="str">
        <f t="shared" si="70"/>
        <v/>
      </c>
      <c r="AI200" s="1024" t="str">
        <f t="shared" si="71"/>
        <v/>
      </c>
      <c r="AK200" s="1024" t="str">
        <f t="shared" si="72"/>
        <v/>
      </c>
      <c r="AM200" s="1024" t="str">
        <f t="shared" si="73"/>
        <v/>
      </c>
      <c r="AO200" s="1024" t="str">
        <f t="shared" si="74"/>
        <v/>
      </c>
      <c r="AQ200" s="1024" t="str">
        <f t="shared" si="75"/>
        <v/>
      </c>
    </row>
    <row r="201" spans="5:43" x14ac:dyDescent="0.2">
      <c r="E201" s="1024" t="str">
        <f t="shared" si="81"/>
        <v/>
      </c>
      <c r="G201" s="1024" t="str">
        <f t="shared" si="77"/>
        <v/>
      </c>
      <c r="I201" s="1024" t="str">
        <f t="shared" si="78"/>
        <v/>
      </c>
      <c r="K201" s="1024" t="str">
        <f t="shared" si="79"/>
        <v/>
      </c>
      <c r="M201" s="1024" t="str">
        <f t="shared" si="80"/>
        <v/>
      </c>
      <c r="O201" s="1024" t="str">
        <f t="shared" si="82"/>
        <v/>
      </c>
      <c r="Q201" s="1024" t="str">
        <f t="shared" si="63"/>
        <v/>
      </c>
      <c r="S201" s="1024" t="str">
        <f t="shared" si="64"/>
        <v/>
      </c>
      <c r="U201" s="1024" t="str">
        <f t="shared" si="65"/>
        <v/>
      </c>
      <c r="W201" s="1024" t="str">
        <f t="shared" si="66"/>
        <v/>
      </c>
      <c r="Y201" s="1024" t="str">
        <f t="shared" si="67"/>
        <v/>
      </c>
      <c r="AA201" s="1024" t="str">
        <f t="shared" si="76"/>
        <v/>
      </c>
      <c r="AC201" s="1024" t="str">
        <f t="shared" si="68"/>
        <v/>
      </c>
      <c r="AE201" s="1024" t="str">
        <f t="shared" si="69"/>
        <v/>
      </c>
      <c r="AG201" s="1024" t="str">
        <f t="shared" si="70"/>
        <v/>
      </c>
      <c r="AI201" s="1024" t="str">
        <f t="shared" si="71"/>
        <v/>
      </c>
      <c r="AK201" s="1024" t="str">
        <f t="shared" si="72"/>
        <v/>
      </c>
      <c r="AM201" s="1024" t="str">
        <f t="shared" si="73"/>
        <v/>
      </c>
      <c r="AO201" s="1024" t="str">
        <f t="shared" si="74"/>
        <v/>
      </c>
      <c r="AQ201" s="1024" t="str">
        <f t="shared" si="75"/>
        <v/>
      </c>
    </row>
    <row r="202" spans="5:43" x14ac:dyDescent="0.2">
      <c r="E202" s="1024" t="str">
        <f t="shared" si="81"/>
        <v/>
      </c>
      <c r="G202" s="1024" t="str">
        <f t="shared" si="77"/>
        <v/>
      </c>
      <c r="I202" s="1024" t="str">
        <f t="shared" si="78"/>
        <v/>
      </c>
      <c r="K202" s="1024" t="str">
        <f t="shared" si="79"/>
        <v/>
      </c>
      <c r="M202" s="1024" t="str">
        <f t="shared" si="80"/>
        <v/>
      </c>
      <c r="O202" s="1024" t="str">
        <f t="shared" si="82"/>
        <v/>
      </c>
      <c r="Q202" s="1024" t="str">
        <f t="shared" si="63"/>
        <v/>
      </c>
      <c r="S202" s="1024" t="str">
        <f t="shared" si="64"/>
        <v/>
      </c>
      <c r="U202" s="1024" t="str">
        <f t="shared" si="65"/>
        <v/>
      </c>
      <c r="W202" s="1024" t="str">
        <f t="shared" si="66"/>
        <v/>
      </c>
      <c r="Y202" s="1024" t="str">
        <f t="shared" si="67"/>
        <v/>
      </c>
      <c r="AA202" s="1024" t="str">
        <f t="shared" si="76"/>
        <v/>
      </c>
      <c r="AC202" s="1024" t="str">
        <f t="shared" si="68"/>
        <v/>
      </c>
      <c r="AE202" s="1024" t="str">
        <f t="shared" si="69"/>
        <v/>
      </c>
      <c r="AG202" s="1024" t="str">
        <f t="shared" si="70"/>
        <v/>
      </c>
      <c r="AI202" s="1024" t="str">
        <f t="shared" si="71"/>
        <v/>
      </c>
      <c r="AK202" s="1024" t="str">
        <f t="shared" si="72"/>
        <v/>
      </c>
      <c r="AM202" s="1024" t="str">
        <f t="shared" si="73"/>
        <v/>
      </c>
      <c r="AO202" s="1024" t="str">
        <f t="shared" si="74"/>
        <v/>
      </c>
      <c r="AQ202" s="1024" t="str">
        <f t="shared" si="75"/>
        <v/>
      </c>
    </row>
    <row r="203" spans="5:43" x14ac:dyDescent="0.2">
      <c r="E203" s="1024" t="str">
        <f t="shared" si="81"/>
        <v/>
      </c>
      <c r="G203" s="1024" t="str">
        <f t="shared" si="77"/>
        <v/>
      </c>
      <c r="I203" s="1024" t="str">
        <f t="shared" si="78"/>
        <v/>
      </c>
      <c r="K203" s="1024" t="str">
        <f t="shared" si="79"/>
        <v/>
      </c>
      <c r="M203" s="1024" t="str">
        <f t="shared" si="80"/>
        <v/>
      </c>
      <c r="O203" s="1024" t="str">
        <f t="shared" si="82"/>
        <v/>
      </c>
      <c r="Q203" s="1024" t="str">
        <f t="shared" si="63"/>
        <v/>
      </c>
      <c r="S203" s="1024" t="str">
        <f t="shared" si="64"/>
        <v/>
      </c>
      <c r="U203" s="1024" t="str">
        <f t="shared" si="65"/>
        <v/>
      </c>
      <c r="W203" s="1024" t="str">
        <f t="shared" si="66"/>
        <v/>
      </c>
      <c r="Y203" s="1024" t="str">
        <f t="shared" si="67"/>
        <v/>
      </c>
      <c r="AA203" s="1024" t="str">
        <f t="shared" si="76"/>
        <v/>
      </c>
      <c r="AC203" s="1024" t="str">
        <f t="shared" si="68"/>
        <v/>
      </c>
      <c r="AE203" s="1024" t="str">
        <f t="shared" si="69"/>
        <v/>
      </c>
      <c r="AG203" s="1024" t="str">
        <f t="shared" si="70"/>
        <v/>
      </c>
      <c r="AI203" s="1024" t="str">
        <f t="shared" si="71"/>
        <v/>
      </c>
      <c r="AK203" s="1024" t="str">
        <f t="shared" si="72"/>
        <v/>
      </c>
      <c r="AM203" s="1024" t="str">
        <f t="shared" si="73"/>
        <v/>
      </c>
      <c r="AO203" s="1024" t="str">
        <f t="shared" si="74"/>
        <v/>
      </c>
      <c r="AQ203" s="1024" t="str">
        <f t="shared" si="75"/>
        <v/>
      </c>
    </row>
    <row r="204" spans="5:43" x14ac:dyDescent="0.2">
      <c r="E204" s="1024" t="str">
        <f t="shared" si="81"/>
        <v/>
      </c>
      <c r="G204" s="1024" t="str">
        <f t="shared" si="77"/>
        <v/>
      </c>
      <c r="I204" s="1024" t="str">
        <f t="shared" si="78"/>
        <v/>
      </c>
      <c r="K204" s="1024" t="str">
        <f t="shared" si="79"/>
        <v/>
      </c>
      <c r="M204" s="1024" t="str">
        <f t="shared" si="80"/>
        <v/>
      </c>
      <c r="O204" s="1024" t="str">
        <f t="shared" si="82"/>
        <v/>
      </c>
      <c r="Q204" s="1024" t="str">
        <f t="shared" si="63"/>
        <v/>
      </c>
      <c r="S204" s="1024" t="str">
        <f t="shared" si="64"/>
        <v/>
      </c>
      <c r="U204" s="1024" t="str">
        <f t="shared" si="65"/>
        <v/>
      </c>
      <c r="W204" s="1024" t="str">
        <f t="shared" si="66"/>
        <v/>
      </c>
      <c r="Y204" s="1024" t="str">
        <f t="shared" si="67"/>
        <v/>
      </c>
      <c r="AA204" s="1024" t="str">
        <f t="shared" si="76"/>
        <v/>
      </c>
      <c r="AC204" s="1024" t="str">
        <f t="shared" si="68"/>
        <v/>
      </c>
      <c r="AE204" s="1024" t="str">
        <f t="shared" si="69"/>
        <v/>
      </c>
      <c r="AG204" s="1024" t="str">
        <f t="shared" si="70"/>
        <v/>
      </c>
      <c r="AI204" s="1024" t="str">
        <f t="shared" si="71"/>
        <v/>
      </c>
      <c r="AK204" s="1024" t="str">
        <f t="shared" si="72"/>
        <v/>
      </c>
      <c r="AM204" s="1024" t="str">
        <f t="shared" si="73"/>
        <v/>
      </c>
      <c r="AO204" s="1024" t="str">
        <f t="shared" si="74"/>
        <v/>
      </c>
      <c r="AQ204" s="1024" t="str">
        <f t="shared" si="75"/>
        <v/>
      </c>
    </row>
    <row r="205" spans="5:43" x14ac:dyDescent="0.2">
      <c r="E205" s="1024" t="str">
        <f t="shared" si="81"/>
        <v/>
      </c>
      <c r="G205" s="1024" t="str">
        <f t="shared" si="77"/>
        <v/>
      </c>
      <c r="I205" s="1024" t="str">
        <f t="shared" si="78"/>
        <v/>
      </c>
      <c r="K205" s="1024" t="str">
        <f t="shared" si="79"/>
        <v/>
      </c>
      <c r="M205" s="1024" t="str">
        <f t="shared" si="80"/>
        <v/>
      </c>
      <c r="O205" s="1024" t="str">
        <f t="shared" si="82"/>
        <v/>
      </c>
      <c r="Q205" s="1024" t="str">
        <f t="shared" si="63"/>
        <v/>
      </c>
      <c r="S205" s="1024" t="str">
        <f t="shared" si="64"/>
        <v/>
      </c>
      <c r="U205" s="1024" t="str">
        <f t="shared" si="65"/>
        <v/>
      </c>
      <c r="W205" s="1024" t="str">
        <f t="shared" si="66"/>
        <v/>
      </c>
      <c r="Y205" s="1024" t="str">
        <f t="shared" si="67"/>
        <v/>
      </c>
      <c r="AA205" s="1024" t="str">
        <f t="shared" si="76"/>
        <v/>
      </c>
      <c r="AC205" s="1024" t="str">
        <f t="shared" si="68"/>
        <v/>
      </c>
      <c r="AE205" s="1024" t="str">
        <f t="shared" si="69"/>
        <v/>
      </c>
      <c r="AG205" s="1024" t="str">
        <f t="shared" si="70"/>
        <v/>
      </c>
      <c r="AI205" s="1024" t="str">
        <f t="shared" si="71"/>
        <v/>
      </c>
      <c r="AK205" s="1024" t="str">
        <f t="shared" si="72"/>
        <v/>
      </c>
      <c r="AM205" s="1024" t="str">
        <f t="shared" si="73"/>
        <v/>
      </c>
      <c r="AO205" s="1024" t="str">
        <f t="shared" si="74"/>
        <v/>
      </c>
      <c r="AQ205" s="1024" t="str">
        <f t="shared" si="75"/>
        <v/>
      </c>
    </row>
    <row r="206" spans="5:43" x14ac:dyDescent="0.2">
      <c r="E206" s="1024" t="str">
        <f t="shared" si="81"/>
        <v/>
      </c>
      <c r="G206" s="1024" t="str">
        <f t="shared" si="77"/>
        <v/>
      </c>
      <c r="I206" s="1024" t="str">
        <f t="shared" si="78"/>
        <v/>
      </c>
      <c r="K206" s="1024" t="str">
        <f t="shared" si="79"/>
        <v/>
      </c>
      <c r="M206" s="1024" t="str">
        <f t="shared" si="80"/>
        <v/>
      </c>
      <c r="O206" s="1024" t="str">
        <f t="shared" si="82"/>
        <v/>
      </c>
      <c r="Q206" s="1024" t="str">
        <f t="shared" si="63"/>
        <v/>
      </c>
      <c r="S206" s="1024" t="str">
        <f t="shared" si="64"/>
        <v/>
      </c>
      <c r="U206" s="1024" t="str">
        <f t="shared" si="65"/>
        <v/>
      </c>
      <c r="W206" s="1024" t="str">
        <f t="shared" si="66"/>
        <v/>
      </c>
      <c r="Y206" s="1024" t="str">
        <f t="shared" si="67"/>
        <v/>
      </c>
      <c r="AA206" s="1024" t="str">
        <f t="shared" si="76"/>
        <v/>
      </c>
      <c r="AC206" s="1024" t="str">
        <f t="shared" si="68"/>
        <v/>
      </c>
      <c r="AE206" s="1024" t="str">
        <f t="shared" si="69"/>
        <v/>
      </c>
      <c r="AG206" s="1024" t="str">
        <f t="shared" si="70"/>
        <v/>
      </c>
      <c r="AI206" s="1024" t="str">
        <f t="shared" si="71"/>
        <v/>
      </c>
      <c r="AK206" s="1024" t="str">
        <f t="shared" si="72"/>
        <v/>
      </c>
      <c r="AM206" s="1024" t="str">
        <f t="shared" si="73"/>
        <v/>
      </c>
      <c r="AO206" s="1024" t="str">
        <f t="shared" si="74"/>
        <v/>
      </c>
      <c r="AQ206" s="1024" t="str">
        <f t="shared" si="75"/>
        <v/>
      </c>
    </row>
    <row r="207" spans="5:43" x14ac:dyDescent="0.2">
      <c r="E207" s="1024" t="str">
        <f t="shared" si="81"/>
        <v/>
      </c>
      <c r="G207" s="1024" t="str">
        <f t="shared" si="77"/>
        <v/>
      </c>
      <c r="I207" s="1024" t="str">
        <f t="shared" si="78"/>
        <v/>
      </c>
      <c r="K207" s="1024" t="str">
        <f t="shared" si="79"/>
        <v/>
      </c>
      <c r="M207" s="1024" t="str">
        <f t="shared" si="80"/>
        <v/>
      </c>
      <c r="O207" s="1024" t="str">
        <f t="shared" si="82"/>
        <v/>
      </c>
      <c r="Q207" s="1024" t="str">
        <f t="shared" si="63"/>
        <v/>
      </c>
      <c r="S207" s="1024" t="str">
        <f t="shared" si="64"/>
        <v/>
      </c>
      <c r="U207" s="1024" t="str">
        <f t="shared" si="65"/>
        <v/>
      </c>
      <c r="W207" s="1024" t="str">
        <f t="shared" si="66"/>
        <v/>
      </c>
      <c r="Y207" s="1024" t="str">
        <f t="shared" si="67"/>
        <v/>
      </c>
      <c r="AA207" s="1024" t="str">
        <f t="shared" si="76"/>
        <v/>
      </c>
      <c r="AC207" s="1024" t="str">
        <f t="shared" si="68"/>
        <v/>
      </c>
      <c r="AE207" s="1024" t="str">
        <f t="shared" si="69"/>
        <v/>
      </c>
      <c r="AG207" s="1024" t="str">
        <f t="shared" si="70"/>
        <v/>
      </c>
      <c r="AI207" s="1024" t="str">
        <f t="shared" si="71"/>
        <v/>
      </c>
      <c r="AK207" s="1024" t="str">
        <f t="shared" si="72"/>
        <v/>
      </c>
      <c r="AM207" s="1024" t="str">
        <f t="shared" si="73"/>
        <v/>
      </c>
      <c r="AO207" s="1024" t="str">
        <f t="shared" si="74"/>
        <v/>
      </c>
      <c r="AQ207" s="1024" t="str">
        <f t="shared" si="75"/>
        <v/>
      </c>
    </row>
    <row r="208" spans="5:43" x14ac:dyDescent="0.2">
      <c r="E208" s="1024" t="str">
        <f t="shared" si="81"/>
        <v/>
      </c>
      <c r="G208" s="1024" t="str">
        <f t="shared" si="77"/>
        <v/>
      </c>
      <c r="I208" s="1024" t="str">
        <f t="shared" si="78"/>
        <v/>
      </c>
      <c r="K208" s="1024" t="str">
        <f t="shared" si="79"/>
        <v/>
      </c>
      <c r="M208" s="1024" t="str">
        <f t="shared" si="80"/>
        <v/>
      </c>
      <c r="O208" s="1024" t="str">
        <f t="shared" si="82"/>
        <v/>
      </c>
      <c r="Q208" s="1024" t="str">
        <f t="shared" si="63"/>
        <v/>
      </c>
      <c r="S208" s="1024" t="str">
        <f t="shared" si="64"/>
        <v/>
      </c>
      <c r="U208" s="1024" t="str">
        <f t="shared" si="65"/>
        <v/>
      </c>
      <c r="W208" s="1024" t="str">
        <f t="shared" si="66"/>
        <v/>
      </c>
      <c r="Y208" s="1024" t="str">
        <f t="shared" si="67"/>
        <v/>
      </c>
      <c r="AA208" s="1024" t="str">
        <f t="shared" si="76"/>
        <v/>
      </c>
      <c r="AC208" s="1024" t="str">
        <f t="shared" si="68"/>
        <v/>
      </c>
      <c r="AE208" s="1024" t="str">
        <f t="shared" si="69"/>
        <v/>
      </c>
      <c r="AG208" s="1024" t="str">
        <f t="shared" si="70"/>
        <v/>
      </c>
      <c r="AI208" s="1024" t="str">
        <f t="shared" si="71"/>
        <v/>
      </c>
      <c r="AK208" s="1024" t="str">
        <f t="shared" si="72"/>
        <v/>
      </c>
      <c r="AM208" s="1024" t="str">
        <f t="shared" si="73"/>
        <v/>
      </c>
      <c r="AO208" s="1024" t="str">
        <f t="shared" si="74"/>
        <v/>
      </c>
      <c r="AQ208" s="1024" t="str">
        <f t="shared" si="75"/>
        <v/>
      </c>
    </row>
    <row r="209" spans="5:43" x14ac:dyDescent="0.2">
      <c r="E209" s="1024" t="str">
        <f t="shared" si="81"/>
        <v/>
      </c>
      <c r="G209" s="1024" t="str">
        <f t="shared" si="77"/>
        <v/>
      </c>
      <c r="I209" s="1024" t="str">
        <f t="shared" si="78"/>
        <v/>
      </c>
      <c r="K209" s="1024" t="str">
        <f t="shared" si="79"/>
        <v/>
      </c>
      <c r="M209" s="1024" t="str">
        <f t="shared" si="80"/>
        <v/>
      </c>
      <c r="O209" s="1024" t="str">
        <f t="shared" si="82"/>
        <v/>
      </c>
      <c r="Q209" s="1024" t="str">
        <f t="shared" si="63"/>
        <v/>
      </c>
      <c r="S209" s="1024" t="str">
        <f t="shared" si="64"/>
        <v/>
      </c>
      <c r="U209" s="1024" t="str">
        <f t="shared" si="65"/>
        <v/>
      </c>
      <c r="W209" s="1024" t="str">
        <f t="shared" si="66"/>
        <v/>
      </c>
      <c r="Y209" s="1024" t="str">
        <f t="shared" si="67"/>
        <v/>
      </c>
      <c r="AA209" s="1024" t="str">
        <f t="shared" si="76"/>
        <v/>
      </c>
      <c r="AC209" s="1024" t="str">
        <f t="shared" si="68"/>
        <v/>
      </c>
      <c r="AE209" s="1024" t="str">
        <f t="shared" si="69"/>
        <v/>
      </c>
      <c r="AG209" s="1024" t="str">
        <f t="shared" si="70"/>
        <v/>
      </c>
      <c r="AI209" s="1024" t="str">
        <f t="shared" si="71"/>
        <v/>
      </c>
      <c r="AK209" s="1024" t="str">
        <f t="shared" si="72"/>
        <v/>
      </c>
      <c r="AM209" s="1024" t="str">
        <f t="shared" si="73"/>
        <v/>
      </c>
      <c r="AO209" s="1024" t="str">
        <f t="shared" si="74"/>
        <v/>
      </c>
      <c r="AQ209" s="1024" t="str">
        <f t="shared" si="75"/>
        <v/>
      </c>
    </row>
    <row r="210" spans="5:43" x14ac:dyDescent="0.2">
      <c r="E210" s="1024" t="str">
        <f t="shared" si="81"/>
        <v/>
      </c>
      <c r="G210" s="1024" t="str">
        <f t="shared" si="77"/>
        <v/>
      </c>
      <c r="I210" s="1024" t="str">
        <f t="shared" si="78"/>
        <v/>
      </c>
      <c r="K210" s="1024" t="str">
        <f t="shared" si="79"/>
        <v/>
      </c>
      <c r="M210" s="1024" t="str">
        <f t="shared" si="80"/>
        <v/>
      </c>
      <c r="O210" s="1024" t="str">
        <f t="shared" si="82"/>
        <v/>
      </c>
      <c r="Q210" s="1024" t="str">
        <f t="shared" si="63"/>
        <v/>
      </c>
      <c r="S210" s="1024" t="str">
        <f t="shared" si="64"/>
        <v/>
      </c>
      <c r="U210" s="1024" t="str">
        <f t="shared" si="65"/>
        <v/>
      </c>
      <c r="W210" s="1024" t="str">
        <f t="shared" si="66"/>
        <v/>
      </c>
      <c r="Y210" s="1024" t="str">
        <f t="shared" si="67"/>
        <v/>
      </c>
      <c r="AA210" s="1024" t="str">
        <f t="shared" si="76"/>
        <v/>
      </c>
      <c r="AC210" s="1024" t="str">
        <f t="shared" si="68"/>
        <v/>
      </c>
      <c r="AE210" s="1024" t="str">
        <f t="shared" si="69"/>
        <v/>
      </c>
      <c r="AG210" s="1024" t="str">
        <f t="shared" si="70"/>
        <v/>
      </c>
      <c r="AI210" s="1024" t="str">
        <f t="shared" si="71"/>
        <v/>
      </c>
      <c r="AK210" s="1024" t="str">
        <f t="shared" si="72"/>
        <v/>
      </c>
      <c r="AM210" s="1024" t="str">
        <f t="shared" si="73"/>
        <v/>
      </c>
      <c r="AO210" s="1024" t="str">
        <f t="shared" si="74"/>
        <v/>
      </c>
      <c r="AQ210" s="1024" t="str">
        <f t="shared" si="75"/>
        <v/>
      </c>
    </row>
    <row r="211" spans="5:43" x14ac:dyDescent="0.2">
      <c r="E211" s="1024" t="str">
        <f t="shared" si="81"/>
        <v/>
      </c>
      <c r="G211" s="1024" t="str">
        <f t="shared" si="77"/>
        <v/>
      </c>
      <c r="I211" s="1024" t="str">
        <f t="shared" si="78"/>
        <v/>
      </c>
      <c r="K211" s="1024" t="str">
        <f t="shared" si="79"/>
        <v/>
      </c>
      <c r="M211" s="1024" t="str">
        <f t="shared" si="80"/>
        <v/>
      </c>
      <c r="O211" s="1024" t="str">
        <f t="shared" si="82"/>
        <v/>
      </c>
      <c r="Q211" s="1024" t="str">
        <f t="shared" si="63"/>
        <v/>
      </c>
      <c r="S211" s="1024" t="str">
        <f t="shared" si="64"/>
        <v/>
      </c>
      <c r="U211" s="1024" t="str">
        <f t="shared" si="65"/>
        <v/>
      </c>
      <c r="W211" s="1024" t="str">
        <f t="shared" si="66"/>
        <v/>
      </c>
      <c r="Y211" s="1024" t="str">
        <f t="shared" si="67"/>
        <v/>
      </c>
      <c r="AA211" s="1024" t="str">
        <f t="shared" si="76"/>
        <v/>
      </c>
      <c r="AC211" s="1024" t="str">
        <f t="shared" si="68"/>
        <v/>
      </c>
      <c r="AE211" s="1024" t="str">
        <f t="shared" si="69"/>
        <v/>
      </c>
      <c r="AG211" s="1024" t="str">
        <f t="shared" si="70"/>
        <v/>
      </c>
      <c r="AI211" s="1024" t="str">
        <f t="shared" si="71"/>
        <v/>
      </c>
      <c r="AK211" s="1024" t="str">
        <f t="shared" si="72"/>
        <v/>
      </c>
      <c r="AM211" s="1024" t="str">
        <f t="shared" si="73"/>
        <v/>
      </c>
      <c r="AO211" s="1024" t="str">
        <f t="shared" si="74"/>
        <v/>
      </c>
      <c r="AQ211" s="1024" t="str">
        <f t="shared" si="75"/>
        <v/>
      </c>
    </row>
    <row r="212" spans="5:43" x14ac:dyDescent="0.2">
      <c r="E212" s="1024" t="str">
        <f t="shared" si="81"/>
        <v/>
      </c>
      <c r="G212" s="1024" t="str">
        <f t="shared" si="77"/>
        <v/>
      </c>
      <c r="I212" s="1024" t="str">
        <f t="shared" si="78"/>
        <v/>
      </c>
      <c r="K212" s="1024" t="str">
        <f t="shared" si="79"/>
        <v/>
      </c>
      <c r="M212" s="1024" t="str">
        <f t="shared" si="80"/>
        <v/>
      </c>
      <c r="O212" s="1024" t="str">
        <f t="shared" si="82"/>
        <v/>
      </c>
      <c r="Q212" s="1024" t="str">
        <f t="shared" si="63"/>
        <v/>
      </c>
      <c r="S212" s="1024" t="str">
        <f t="shared" si="64"/>
        <v/>
      </c>
      <c r="U212" s="1024" t="str">
        <f t="shared" si="65"/>
        <v/>
      </c>
      <c r="W212" s="1024" t="str">
        <f t="shared" si="66"/>
        <v/>
      </c>
      <c r="Y212" s="1024" t="str">
        <f t="shared" si="67"/>
        <v/>
      </c>
      <c r="AA212" s="1024" t="str">
        <f t="shared" si="76"/>
        <v/>
      </c>
      <c r="AC212" s="1024" t="str">
        <f t="shared" si="68"/>
        <v/>
      </c>
      <c r="AE212" s="1024" t="str">
        <f t="shared" si="69"/>
        <v/>
      </c>
      <c r="AG212" s="1024" t="str">
        <f t="shared" si="70"/>
        <v/>
      </c>
      <c r="AI212" s="1024" t="str">
        <f t="shared" si="71"/>
        <v/>
      </c>
      <c r="AK212" s="1024" t="str">
        <f t="shared" si="72"/>
        <v/>
      </c>
      <c r="AM212" s="1024" t="str">
        <f t="shared" si="73"/>
        <v/>
      </c>
      <c r="AO212" s="1024" t="str">
        <f t="shared" si="74"/>
        <v/>
      </c>
      <c r="AQ212" s="1024" t="str">
        <f t="shared" si="75"/>
        <v/>
      </c>
    </row>
    <row r="213" spans="5:43" x14ac:dyDescent="0.2">
      <c r="E213" s="1024" t="str">
        <f t="shared" si="81"/>
        <v/>
      </c>
      <c r="G213" s="1024" t="str">
        <f t="shared" si="77"/>
        <v/>
      </c>
      <c r="I213" s="1024" t="str">
        <f t="shared" si="78"/>
        <v/>
      </c>
      <c r="K213" s="1024" t="str">
        <f t="shared" si="79"/>
        <v/>
      </c>
      <c r="M213" s="1024" t="str">
        <f t="shared" si="80"/>
        <v/>
      </c>
      <c r="O213" s="1024" t="str">
        <f t="shared" si="82"/>
        <v/>
      </c>
      <c r="Q213" s="1024" t="str">
        <f t="shared" si="63"/>
        <v/>
      </c>
      <c r="S213" s="1024" t="str">
        <f t="shared" si="64"/>
        <v/>
      </c>
      <c r="U213" s="1024" t="str">
        <f t="shared" si="65"/>
        <v/>
      </c>
      <c r="W213" s="1024" t="str">
        <f t="shared" si="66"/>
        <v/>
      </c>
      <c r="Y213" s="1024" t="str">
        <f t="shared" si="67"/>
        <v/>
      </c>
      <c r="AA213" s="1024" t="str">
        <f t="shared" si="76"/>
        <v/>
      </c>
      <c r="AC213" s="1024" t="str">
        <f t="shared" si="68"/>
        <v/>
      </c>
      <c r="AE213" s="1024" t="str">
        <f t="shared" si="69"/>
        <v/>
      </c>
      <c r="AG213" s="1024" t="str">
        <f t="shared" si="70"/>
        <v/>
      </c>
      <c r="AI213" s="1024" t="str">
        <f t="shared" si="71"/>
        <v/>
      </c>
      <c r="AK213" s="1024" t="str">
        <f t="shared" si="72"/>
        <v/>
      </c>
      <c r="AM213" s="1024" t="str">
        <f t="shared" si="73"/>
        <v/>
      </c>
      <c r="AO213" s="1024" t="str">
        <f t="shared" si="74"/>
        <v/>
      </c>
      <c r="AQ213" s="1024" t="str">
        <f t="shared" si="75"/>
        <v/>
      </c>
    </row>
    <row r="214" spans="5:43" x14ac:dyDescent="0.2">
      <c r="E214" s="1024" t="str">
        <f t="shared" si="81"/>
        <v/>
      </c>
      <c r="G214" s="1024" t="str">
        <f t="shared" si="77"/>
        <v/>
      </c>
      <c r="I214" s="1024" t="str">
        <f t="shared" si="78"/>
        <v/>
      </c>
      <c r="K214" s="1024" t="str">
        <f t="shared" si="79"/>
        <v/>
      </c>
      <c r="M214" s="1024" t="str">
        <f t="shared" si="80"/>
        <v/>
      </c>
      <c r="O214" s="1024" t="str">
        <f t="shared" si="82"/>
        <v/>
      </c>
      <c r="Q214" s="1024" t="str">
        <f t="shared" si="63"/>
        <v/>
      </c>
      <c r="S214" s="1024" t="str">
        <f t="shared" si="64"/>
        <v/>
      </c>
      <c r="U214" s="1024" t="str">
        <f t="shared" si="65"/>
        <v/>
      </c>
      <c r="W214" s="1024" t="str">
        <f t="shared" si="66"/>
        <v/>
      </c>
      <c r="Y214" s="1024" t="str">
        <f t="shared" si="67"/>
        <v/>
      </c>
      <c r="AA214" s="1024" t="str">
        <f t="shared" si="76"/>
        <v/>
      </c>
      <c r="AC214" s="1024" t="str">
        <f t="shared" si="68"/>
        <v/>
      </c>
      <c r="AE214" s="1024" t="str">
        <f t="shared" si="69"/>
        <v/>
      </c>
      <c r="AG214" s="1024" t="str">
        <f t="shared" si="70"/>
        <v/>
      </c>
      <c r="AI214" s="1024" t="str">
        <f t="shared" si="71"/>
        <v/>
      </c>
      <c r="AK214" s="1024" t="str">
        <f t="shared" si="72"/>
        <v/>
      </c>
      <c r="AM214" s="1024" t="str">
        <f t="shared" si="73"/>
        <v/>
      </c>
      <c r="AO214" s="1024" t="str">
        <f t="shared" si="74"/>
        <v/>
      </c>
      <c r="AQ214" s="1024" t="str">
        <f t="shared" si="75"/>
        <v/>
      </c>
    </row>
    <row r="215" spans="5:43" x14ac:dyDescent="0.2">
      <c r="E215" s="1024" t="str">
        <f t="shared" si="81"/>
        <v/>
      </c>
      <c r="G215" s="1024" t="str">
        <f t="shared" si="77"/>
        <v/>
      </c>
      <c r="I215" s="1024" t="str">
        <f t="shared" si="78"/>
        <v/>
      </c>
      <c r="K215" s="1024" t="str">
        <f t="shared" si="79"/>
        <v/>
      </c>
      <c r="M215" s="1024" t="str">
        <f t="shared" si="80"/>
        <v/>
      </c>
      <c r="O215" s="1024" t="str">
        <f t="shared" si="82"/>
        <v/>
      </c>
      <c r="Q215" s="1024" t="str">
        <f t="shared" si="63"/>
        <v/>
      </c>
      <c r="S215" s="1024" t="str">
        <f t="shared" si="64"/>
        <v/>
      </c>
      <c r="U215" s="1024" t="str">
        <f t="shared" si="65"/>
        <v/>
      </c>
      <c r="W215" s="1024" t="str">
        <f t="shared" si="66"/>
        <v/>
      </c>
      <c r="Y215" s="1024" t="str">
        <f t="shared" si="67"/>
        <v/>
      </c>
      <c r="AA215" s="1024" t="str">
        <f t="shared" si="76"/>
        <v/>
      </c>
      <c r="AC215" s="1024" t="str">
        <f t="shared" si="68"/>
        <v/>
      </c>
      <c r="AE215" s="1024" t="str">
        <f t="shared" si="69"/>
        <v/>
      </c>
      <c r="AG215" s="1024" t="str">
        <f t="shared" si="70"/>
        <v/>
      </c>
      <c r="AI215" s="1024" t="str">
        <f t="shared" si="71"/>
        <v/>
      </c>
      <c r="AK215" s="1024" t="str">
        <f t="shared" si="72"/>
        <v/>
      </c>
      <c r="AM215" s="1024" t="str">
        <f t="shared" si="73"/>
        <v/>
      </c>
      <c r="AO215" s="1024" t="str">
        <f t="shared" si="74"/>
        <v/>
      </c>
      <c r="AQ215" s="1024" t="str">
        <f t="shared" si="75"/>
        <v/>
      </c>
    </row>
    <row r="216" spans="5:43" x14ac:dyDescent="0.2">
      <c r="E216" s="1024" t="str">
        <f t="shared" si="81"/>
        <v/>
      </c>
      <c r="G216" s="1024" t="str">
        <f t="shared" si="77"/>
        <v/>
      </c>
      <c r="I216" s="1024" t="str">
        <f t="shared" si="78"/>
        <v/>
      </c>
      <c r="K216" s="1024" t="str">
        <f t="shared" si="79"/>
        <v/>
      </c>
      <c r="M216" s="1024" t="str">
        <f t="shared" si="80"/>
        <v/>
      </c>
      <c r="O216" s="1024" t="str">
        <f t="shared" si="82"/>
        <v/>
      </c>
      <c r="Q216" s="1024" t="str">
        <f t="shared" si="63"/>
        <v/>
      </c>
      <c r="S216" s="1024" t="str">
        <f t="shared" si="64"/>
        <v/>
      </c>
      <c r="U216" s="1024" t="str">
        <f t="shared" si="65"/>
        <v/>
      </c>
      <c r="W216" s="1024" t="str">
        <f t="shared" si="66"/>
        <v/>
      </c>
      <c r="Y216" s="1024" t="str">
        <f t="shared" si="67"/>
        <v/>
      </c>
      <c r="AA216" s="1024" t="str">
        <f t="shared" si="76"/>
        <v/>
      </c>
      <c r="AC216" s="1024" t="str">
        <f t="shared" si="68"/>
        <v/>
      </c>
      <c r="AE216" s="1024" t="str">
        <f t="shared" si="69"/>
        <v/>
      </c>
      <c r="AG216" s="1024" t="str">
        <f t="shared" si="70"/>
        <v/>
      </c>
      <c r="AI216" s="1024" t="str">
        <f t="shared" si="71"/>
        <v/>
      </c>
      <c r="AK216" s="1024" t="str">
        <f t="shared" si="72"/>
        <v/>
      </c>
      <c r="AM216" s="1024" t="str">
        <f t="shared" si="73"/>
        <v/>
      </c>
      <c r="AO216" s="1024" t="str">
        <f t="shared" si="74"/>
        <v/>
      </c>
      <c r="AQ216" s="1024" t="str">
        <f t="shared" si="75"/>
        <v/>
      </c>
    </row>
    <row r="217" spans="5:43" x14ac:dyDescent="0.2">
      <c r="E217" s="1024" t="str">
        <f t="shared" si="81"/>
        <v/>
      </c>
      <c r="G217" s="1024" t="str">
        <f t="shared" si="77"/>
        <v/>
      </c>
      <c r="I217" s="1024" t="str">
        <f t="shared" si="78"/>
        <v/>
      </c>
      <c r="K217" s="1024" t="str">
        <f t="shared" si="79"/>
        <v/>
      </c>
      <c r="M217" s="1024" t="str">
        <f t="shared" si="80"/>
        <v/>
      </c>
      <c r="O217" s="1024" t="str">
        <f t="shared" si="82"/>
        <v/>
      </c>
      <c r="Q217" s="1024" t="str">
        <f t="shared" si="63"/>
        <v/>
      </c>
      <c r="S217" s="1024" t="str">
        <f t="shared" si="64"/>
        <v/>
      </c>
      <c r="U217" s="1024" t="str">
        <f t="shared" si="65"/>
        <v/>
      </c>
      <c r="W217" s="1024" t="str">
        <f t="shared" si="66"/>
        <v/>
      </c>
      <c r="Y217" s="1024" t="str">
        <f t="shared" si="67"/>
        <v/>
      </c>
      <c r="AA217" s="1024" t="str">
        <f t="shared" si="76"/>
        <v/>
      </c>
      <c r="AC217" s="1024" t="str">
        <f t="shared" si="68"/>
        <v/>
      </c>
      <c r="AE217" s="1024" t="str">
        <f t="shared" si="69"/>
        <v/>
      </c>
      <c r="AG217" s="1024" t="str">
        <f t="shared" si="70"/>
        <v/>
      </c>
      <c r="AI217" s="1024" t="str">
        <f t="shared" si="71"/>
        <v/>
      </c>
      <c r="AK217" s="1024" t="str">
        <f t="shared" si="72"/>
        <v/>
      </c>
      <c r="AM217" s="1024" t="str">
        <f t="shared" si="73"/>
        <v/>
      </c>
      <c r="AO217" s="1024" t="str">
        <f t="shared" si="74"/>
        <v/>
      </c>
      <c r="AQ217" s="1024" t="str">
        <f t="shared" si="75"/>
        <v/>
      </c>
    </row>
    <row r="218" spans="5:43" x14ac:dyDescent="0.2">
      <c r="E218" s="1024" t="str">
        <f t="shared" si="81"/>
        <v/>
      </c>
      <c r="G218" s="1024" t="str">
        <f t="shared" si="77"/>
        <v/>
      </c>
      <c r="I218" s="1024" t="str">
        <f t="shared" si="78"/>
        <v/>
      </c>
      <c r="K218" s="1024" t="str">
        <f t="shared" si="79"/>
        <v/>
      </c>
      <c r="M218" s="1024" t="str">
        <f t="shared" si="80"/>
        <v/>
      </c>
      <c r="O218" s="1024" t="str">
        <f t="shared" si="82"/>
        <v/>
      </c>
      <c r="Q218" s="1024" t="str">
        <f t="shared" si="63"/>
        <v/>
      </c>
      <c r="S218" s="1024" t="str">
        <f t="shared" si="64"/>
        <v/>
      </c>
      <c r="U218" s="1024" t="str">
        <f t="shared" si="65"/>
        <v/>
      </c>
      <c r="W218" s="1024" t="str">
        <f t="shared" si="66"/>
        <v/>
      </c>
      <c r="Y218" s="1024" t="str">
        <f t="shared" si="67"/>
        <v/>
      </c>
      <c r="AA218" s="1024" t="str">
        <f t="shared" si="76"/>
        <v/>
      </c>
      <c r="AC218" s="1024" t="str">
        <f t="shared" si="68"/>
        <v/>
      </c>
      <c r="AE218" s="1024" t="str">
        <f t="shared" si="69"/>
        <v/>
      </c>
      <c r="AG218" s="1024" t="str">
        <f t="shared" si="70"/>
        <v/>
      </c>
      <c r="AI218" s="1024" t="str">
        <f t="shared" si="71"/>
        <v/>
      </c>
      <c r="AK218" s="1024" t="str">
        <f t="shared" si="72"/>
        <v/>
      </c>
      <c r="AM218" s="1024" t="str">
        <f t="shared" si="73"/>
        <v/>
      </c>
      <c r="AO218" s="1024" t="str">
        <f t="shared" si="74"/>
        <v/>
      </c>
      <c r="AQ218" s="1024" t="str">
        <f t="shared" si="75"/>
        <v/>
      </c>
    </row>
    <row r="219" spans="5:43" x14ac:dyDescent="0.2">
      <c r="E219" s="1024" t="str">
        <f t="shared" si="81"/>
        <v/>
      </c>
      <c r="G219" s="1024" t="str">
        <f t="shared" si="77"/>
        <v/>
      </c>
      <c r="I219" s="1024" t="str">
        <f t="shared" si="78"/>
        <v/>
      </c>
      <c r="K219" s="1024" t="str">
        <f t="shared" si="79"/>
        <v/>
      </c>
      <c r="M219" s="1024" t="str">
        <f t="shared" si="80"/>
        <v/>
      </c>
      <c r="O219" s="1024" t="str">
        <f t="shared" si="82"/>
        <v/>
      </c>
      <c r="Q219" s="1024" t="str">
        <f t="shared" si="63"/>
        <v/>
      </c>
      <c r="S219" s="1024" t="str">
        <f t="shared" si="64"/>
        <v/>
      </c>
      <c r="U219" s="1024" t="str">
        <f t="shared" si="65"/>
        <v/>
      </c>
      <c r="W219" s="1024" t="str">
        <f t="shared" si="66"/>
        <v/>
      </c>
      <c r="Y219" s="1024" t="str">
        <f t="shared" si="67"/>
        <v/>
      </c>
      <c r="AA219" s="1024" t="str">
        <f t="shared" si="76"/>
        <v/>
      </c>
      <c r="AC219" s="1024" t="str">
        <f t="shared" si="68"/>
        <v/>
      </c>
      <c r="AE219" s="1024" t="str">
        <f t="shared" si="69"/>
        <v/>
      </c>
      <c r="AG219" s="1024" t="str">
        <f t="shared" si="70"/>
        <v/>
      </c>
      <c r="AI219" s="1024" t="str">
        <f t="shared" si="71"/>
        <v/>
      </c>
      <c r="AK219" s="1024" t="str">
        <f t="shared" si="72"/>
        <v/>
      </c>
      <c r="AM219" s="1024" t="str">
        <f t="shared" si="73"/>
        <v/>
      </c>
      <c r="AO219" s="1024" t="str">
        <f t="shared" si="74"/>
        <v/>
      </c>
      <c r="AQ219" s="1024" t="str">
        <f t="shared" si="75"/>
        <v/>
      </c>
    </row>
    <row r="220" spans="5:43" x14ac:dyDescent="0.2">
      <c r="E220" s="1024" t="str">
        <f t="shared" si="81"/>
        <v/>
      </c>
      <c r="G220" s="1024" t="str">
        <f t="shared" si="77"/>
        <v/>
      </c>
      <c r="I220" s="1024" t="str">
        <f t="shared" si="78"/>
        <v/>
      </c>
      <c r="K220" s="1024" t="str">
        <f t="shared" si="79"/>
        <v/>
      </c>
      <c r="M220" s="1024" t="str">
        <f t="shared" si="80"/>
        <v/>
      </c>
      <c r="O220" s="1024" t="str">
        <f t="shared" si="82"/>
        <v/>
      </c>
      <c r="Q220" s="1024" t="str">
        <f t="shared" si="63"/>
        <v/>
      </c>
      <c r="S220" s="1024" t="str">
        <f t="shared" si="64"/>
        <v/>
      </c>
      <c r="U220" s="1024" t="str">
        <f t="shared" si="65"/>
        <v/>
      </c>
      <c r="W220" s="1024" t="str">
        <f t="shared" si="66"/>
        <v/>
      </c>
      <c r="Y220" s="1024" t="str">
        <f t="shared" si="67"/>
        <v/>
      </c>
      <c r="AA220" s="1024" t="str">
        <f t="shared" si="76"/>
        <v/>
      </c>
      <c r="AC220" s="1024" t="str">
        <f t="shared" si="68"/>
        <v/>
      </c>
      <c r="AE220" s="1024" t="str">
        <f t="shared" si="69"/>
        <v/>
      </c>
      <c r="AG220" s="1024" t="str">
        <f t="shared" si="70"/>
        <v/>
      </c>
      <c r="AI220" s="1024" t="str">
        <f t="shared" si="71"/>
        <v/>
      </c>
      <c r="AK220" s="1024" t="str">
        <f t="shared" si="72"/>
        <v/>
      </c>
      <c r="AM220" s="1024" t="str">
        <f t="shared" si="73"/>
        <v/>
      </c>
      <c r="AO220" s="1024" t="str">
        <f t="shared" si="74"/>
        <v/>
      </c>
      <c r="AQ220" s="1024" t="str">
        <f t="shared" si="75"/>
        <v/>
      </c>
    </row>
    <row r="221" spans="5:43" x14ac:dyDescent="0.2">
      <c r="E221" s="1024" t="str">
        <f t="shared" si="81"/>
        <v/>
      </c>
      <c r="G221" s="1024" t="str">
        <f t="shared" si="77"/>
        <v/>
      </c>
      <c r="I221" s="1024" t="str">
        <f t="shared" si="78"/>
        <v/>
      </c>
      <c r="K221" s="1024" t="str">
        <f t="shared" si="79"/>
        <v/>
      </c>
      <c r="M221" s="1024" t="str">
        <f t="shared" si="80"/>
        <v/>
      </c>
      <c r="O221" s="1024" t="str">
        <f t="shared" si="82"/>
        <v/>
      </c>
      <c r="Q221" s="1024" t="str">
        <f t="shared" si="63"/>
        <v/>
      </c>
      <c r="S221" s="1024" t="str">
        <f t="shared" si="64"/>
        <v/>
      </c>
      <c r="U221" s="1024" t="str">
        <f t="shared" si="65"/>
        <v/>
      </c>
      <c r="W221" s="1024" t="str">
        <f t="shared" si="66"/>
        <v/>
      </c>
      <c r="Y221" s="1024" t="str">
        <f t="shared" si="67"/>
        <v/>
      </c>
      <c r="AA221" s="1024" t="str">
        <f t="shared" si="76"/>
        <v/>
      </c>
      <c r="AC221" s="1024" t="str">
        <f t="shared" si="68"/>
        <v/>
      </c>
      <c r="AE221" s="1024" t="str">
        <f t="shared" si="69"/>
        <v/>
      </c>
      <c r="AG221" s="1024" t="str">
        <f t="shared" si="70"/>
        <v/>
      </c>
      <c r="AI221" s="1024" t="str">
        <f t="shared" si="71"/>
        <v/>
      </c>
      <c r="AK221" s="1024" t="str">
        <f t="shared" si="72"/>
        <v/>
      </c>
      <c r="AM221" s="1024" t="str">
        <f t="shared" si="73"/>
        <v/>
      </c>
      <c r="AO221" s="1024" t="str">
        <f t="shared" si="74"/>
        <v/>
      </c>
      <c r="AQ221" s="1024" t="str">
        <f t="shared" si="75"/>
        <v/>
      </c>
    </row>
    <row r="222" spans="5:43" x14ac:dyDescent="0.2">
      <c r="E222" s="1024" t="str">
        <f t="shared" si="81"/>
        <v/>
      </c>
      <c r="G222" s="1024" t="str">
        <f t="shared" si="77"/>
        <v/>
      </c>
      <c r="I222" s="1024" t="str">
        <f t="shared" si="78"/>
        <v/>
      </c>
      <c r="K222" s="1024" t="str">
        <f t="shared" si="79"/>
        <v/>
      </c>
      <c r="M222" s="1024" t="str">
        <f t="shared" si="80"/>
        <v/>
      </c>
      <c r="O222" s="1024" t="str">
        <f t="shared" si="82"/>
        <v/>
      </c>
      <c r="Q222" s="1024" t="str">
        <f t="shared" si="63"/>
        <v/>
      </c>
      <c r="S222" s="1024" t="str">
        <f t="shared" si="64"/>
        <v/>
      </c>
      <c r="U222" s="1024" t="str">
        <f t="shared" si="65"/>
        <v/>
      </c>
      <c r="W222" s="1024" t="str">
        <f t="shared" si="66"/>
        <v/>
      </c>
      <c r="Y222" s="1024" t="str">
        <f t="shared" si="67"/>
        <v/>
      </c>
      <c r="AA222" s="1024" t="str">
        <f t="shared" si="76"/>
        <v/>
      </c>
      <c r="AC222" s="1024" t="str">
        <f t="shared" si="68"/>
        <v/>
      </c>
      <c r="AE222" s="1024" t="str">
        <f t="shared" si="69"/>
        <v/>
      </c>
      <c r="AG222" s="1024" t="str">
        <f t="shared" si="70"/>
        <v/>
      </c>
      <c r="AI222" s="1024" t="str">
        <f t="shared" si="71"/>
        <v/>
      </c>
      <c r="AK222" s="1024" t="str">
        <f t="shared" si="72"/>
        <v/>
      </c>
      <c r="AM222" s="1024" t="str">
        <f t="shared" si="73"/>
        <v/>
      </c>
      <c r="AO222" s="1024" t="str">
        <f t="shared" si="74"/>
        <v/>
      </c>
      <c r="AQ222" s="1024" t="str">
        <f t="shared" si="75"/>
        <v/>
      </c>
    </row>
    <row r="223" spans="5:43" x14ac:dyDescent="0.2">
      <c r="E223" s="1024" t="str">
        <f t="shared" si="81"/>
        <v/>
      </c>
      <c r="G223" s="1024" t="str">
        <f t="shared" si="77"/>
        <v/>
      </c>
      <c r="I223" s="1024" t="str">
        <f t="shared" si="78"/>
        <v/>
      </c>
      <c r="K223" s="1024" t="str">
        <f t="shared" si="79"/>
        <v/>
      </c>
      <c r="M223" s="1024" t="str">
        <f t="shared" si="80"/>
        <v/>
      </c>
      <c r="O223" s="1024" t="str">
        <f t="shared" si="82"/>
        <v/>
      </c>
      <c r="Q223" s="1024" t="str">
        <f t="shared" ref="Q223:Q286" si="83">IF(OR($B222=0,P223=0),"",P223/$B222)</f>
        <v/>
      </c>
      <c r="S223" s="1024" t="str">
        <f t="shared" ref="S223:S286" si="84">IF(OR($B222=0,R223=0),"",R223/$B222)</f>
        <v/>
      </c>
      <c r="U223" s="1024" t="str">
        <f t="shared" ref="U223:U286" si="85">IF(OR($B222=0,T223=0),"",T223/$B222)</f>
        <v/>
      </c>
      <c r="W223" s="1024" t="str">
        <f t="shared" ref="W223:W286" si="86">IF(OR($B222=0,V223=0),"",V223/$B222)</f>
        <v/>
      </c>
      <c r="Y223" s="1024" t="str">
        <f t="shared" ref="Y223:Y286" si="87">IF(OR($B222=0,X223=0),"",X223/$B222)</f>
        <v/>
      </c>
      <c r="AA223" s="1024" t="str">
        <f t="shared" si="76"/>
        <v/>
      </c>
      <c r="AC223" s="1024" t="str">
        <f t="shared" ref="AC223:AC286" si="88">IF(OR($B222=0,AB223=0),"",AB223/$B222)</f>
        <v/>
      </c>
      <c r="AE223" s="1024" t="str">
        <f t="shared" ref="AE223:AE286" si="89">IF(OR($B222=0,AD223=0),"",AD223/$B222)</f>
        <v/>
      </c>
      <c r="AG223" s="1024" t="str">
        <f t="shared" ref="AG223:AG286" si="90">IF(OR($B222=0,AF223=0),"",AF223/$B222)</f>
        <v/>
      </c>
      <c r="AI223" s="1024" t="str">
        <f t="shared" ref="AI223:AI286" si="91">IF(OR($B222=0,AH223=0),"",AH223/$B222)</f>
        <v/>
      </c>
      <c r="AK223" s="1024" t="str">
        <f t="shared" ref="AK223:AK286" si="92">IF(OR($B222=0,AJ223=0),"",AJ223/$B222)</f>
        <v/>
      </c>
      <c r="AM223" s="1024" t="str">
        <f t="shared" ref="AM223:AM286" si="93">IF(OR($B222=0,AL223=0),"",AL223/$B222)</f>
        <v/>
      </c>
      <c r="AO223" s="1024" t="str">
        <f t="shared" ref="AO223:AO286" si="94">IF(OR($B222=0,AN223=0),"",AN223/$B222)</f>
        <v/>
      </c>
      <c r="AQ223" s="1024" t="str">
        <f t="shared" ref="AQ223:AQ286" si="95">IF(OR($B222=0,AP223=0),"",AP223/$B222)</f>
        <v/>
      </c>
    </row>
    <row r="224" spans="5:43" x14ac:dyDescent="0.2">
      <c r="E224" s="1024" t="str">
        <f t="shared" si="81"/>
        <v/>
      </c>
      <c r="G224" s="1024" t="str">
        <f t="shared" si="77"/>
        <v/>
      </c>
      <c r="I224" s="1024" t="str">
        <f t="shared" si="78"/>
        <v/>
      </c>
      <c r="K224" s="1024" t="str">
        <f t="shared" si="79"/>
        <v/>
      </c>
      <c r="M224" s="1024" t="str">
        <f t="shared" si="80"/>
        <v/>
      </c>
      <c r="O224" s="1024" t="str">
        <f t="shared" si="82"/>
        <v/>
      </c>
      <c r="Q224" s="1024" t="str">
        <f t="shared" si="83"/>
        <v/>
      </c>
      <c r="S224" s="1024" t="str">
        <f t="shared" si="84"/>
        <v/>
      </c>
      <c r="U224" s="1024" t="str">
        <f t="shared" si="85"/>
        <v/>
      </c>
      <c r="W224" s="1024" t="str">
        <f t="shared" si="86"/>
        <v/>
      </c>
      <c r="Y224" s="1024" t="str">
        <f t="shared" si="87"/>
        <v/>
      </c>
      <c r="AA224" s="1024" t="str">
        <f t="shared" ref="AA224:AA287" si="96">IF(OR($B223=0,Z224=0),"",Z224/$B223)</f>
        <v/>
      </c>
      <c r="AC224" s="1024" t="str">
        <f t="shared" si="88"/>
        <v/>
      </c>
      <c r="AE224" s="1024" t="str">
        <f t="shared" si="89"/>
        <v/>
      </c>
      <c r="AG224" s="1024" t="str">
        <f t="shared" si="90"/>
        <v/>
      </c>
      <c r="AI224" s="1024" t="str">
        <f t="shared" si="91"/>
        <v/>
      </c>
      <c r="AK224" s="1024" t="str">
        <f t="shared" si="92"/>
        <v/>
      </c>
      <c r="AM224" s="1024" t="str">
        <f t="shared" si="93"/>
        <v/>
      </c>
      <c r="AO224" s="1024" t="str">
        <f t="shared" si="94"/>
        <v/>
      </c>
      <c r="AQ224" s="1024" t="str">
        <f t="shared" si="95"/>
        <v/>
      </c>
    </row>
    <row r="225" spans="5:43" x14ac:dyDescent="0.2">
      <c r="E225" s="1024" t="str">
        <f t="shared" si="81"/>
        <v/>
      </c>
      <c r="G225" s="1024" t="str">
        <f t="shared" si="77"/>
        <v/>
      </c>
      <c r="I225" s="1024" t="str">
        <f t="shared" si="78"/>
        <v/>
      </c>
      <c r="K225" s="1024" t="str">
        <f t="shared" si="79"/>
        <v/>
      </c>
      <c r="M225" s="1024" t="str">
        <f t="shared" si="80"/>
        <v/>
      </c>
      <c r="O225" s="1024" t="str">
        <f t="shared" si="82"/>
        <v/>
      </c>
      <c r="Q225" s="1024" t="str">
        <f t="shared" si="83"/>
        <v/>
      </c>
      <c r="S225" s="1024" t="str">
        <f t="shared" si="84"/>
        <v/>
      </c>
      <c r="U225" s="1024" t="str">
        <f t="shared" si="85"/>
        <v/>
      </c>
      <c r="W225" s="1024" t="str">
        <f t="shared" si="86"/>
        <v/>
      </c>
      <c r="Y225" s="1024" t="str">
        <f t="shared" si="87"/>
        <v/>
      </c>
      <c r="AA225" s="1024" t="str">
        <f t="shared" si="96"/>
        <v/>
      </c>
      <c r="AC225" s="1024" t="str">
        <f t="shared" si="88"/>
        <v/>
      </c>
      <c r="AE225" s="1024" t="str">
        <f t="shared" si="89"/>
        <v/>
      </c>
      <c r="AG225" s="1024" t="str">
        <f t="shared" si="90"/>
        <v/>
      </c>
      <c r="AI225" s="1024" t="str">
        <f t="shared" si="91"/>
        <v/>
      </c>
      <c r="AK225" s="1024" t="str">
        <f t="shared" si="92"/>
        <v/>
      </c>
      <c r="AM225" s="1024" t="str">
        <f t="shared" si="93"/>
        <v/>
      </c>
      <c r="AO225" s="1024" t="str">
        <f t="shared" si="94"/>
        <v/>
      </c>
      <c r="AQ225" s="1024" t="str">
        <f t="shared" si="95"/>
        <v/>
      </c>
    </row>
    <row r="226" spans="5:43" x14ac:dyDescent="0.2">
      <c r="E226" s="1024" t="str">
        <f t="shared" si="81"/>
        <v/>
      </c>
      <c r="G226" s="1024" t="str">
        <f t="shared" ref="G226:G289" si="97">IF(OR($B225=0,F226=0),"",F226/$B225)</f>
        <v/>
      </c>
      <c r="I226" s="1024" t="str">
        <f t="shared" ref="I226:I289" si="98">IF(OR($B225=0,H226=0),"",H226/$B225)</f>
        <v/>
      </c>
      <c r="K226" s="1024" t="str">
        <f t="shared" ref="K226:K289" si="99">IF(OR($B225=0,J226=0),"",J226/$B225)</f>
        <v/>
      </c>
      <c r="M226" s="1024" t="str">
        <f t="shared" ref="M226:M289" si="100">IF(OR($B225=0,L226=0),"",L226/$B225)</f>
        <v/>
      </c>
      <c r="O226" s="1024" t="str">
        <f t="shared" si="82"/>
        <v/>
      </c>
      <c r="Q226" s="1024" t="str">
        <f t="shared" si="83"/>
        <v/>
      </c>
      <c r="S226" s="1024" t="str">
        <f t="shared" si="84"/>
        <v/>
      </c>
      <c r="U226" s="1024" t="str">
        <f t="shared" si="85"/>
        <v/>
      </c>
      <c r="W226" s="1024" t="str">
        <f t="shared" si="86"/>
        <v/>
      </c>
      <c r="Y226" s="1024" t="str">
        <f t="shared" si="87"/>
        <v/>
      </c>
      <c r="AA226" s="1024" t="str">
        <f t="shared" si="96"/>
        <v/>
      </c>
      <c r="AC226" s="1024" t="str">
        <f t="shared" si="88"/>
        <v/>
      </c>
      <c r="AE226" s="1024" t="str">
        <f t="shared" si="89"/>
        <v/>
      </c>
      <c r="AG226" s="1024" t="str">
        <f t="shared" si="90"/>
        <v/>
      </c>
      <c r="AI226" s="1024" t="str">
        <f t="shared" si="91"/>
        <v/>
      </c>
      <c r="AK226" s="1024" t="str">
        <f t="shared" si="92"/>
        <v/>
      </c>
      <c r="AM226" s="1024" t="str">
        <f t="shared" si="93"/>
        <v/>
      </c>
      <c r="AO226" s="1024" t="str">
        <f t="shared" si="94"/>
        <v/>
      </c>
      <c r="AQ226" s="1024" t="str">
        <f t="shared" si="95"/>
        <v/>
      </c>
    </row>
    <row r="227" spans="5:43" x14ac:dyDescent="0.2">
      <c r="E227" s="1024" t="str">
        <f t="shared" ref="E227:E290" si="101">IF(OR($B226=0,D227=0),"",D227/$B226)</f>
        <v/>
      </c>
      <c r="G227" s="1024" t="str">
        <f t="shared" si="97"/>
        <v/>
      </c>
      <c r="I227" s="1024" t="str">
        <f t="shared" si="98"/>
        <v/>
      </c>
      <c r="K227" s="1024" t="str">
        <f t="shared" si="99"/>
        <v/>
      </c>
      <c r="M227" s="1024" t="str">
        <f t="shared" si="100"/>
        <v/>
      </c>
      <c r="O227" s="1024" t="str">
        <f t="shared" ref="O227:O290" si="102">IF(OR($B226=0,N227=0),"",N227/$B226)</f>
        <v/>
      </c>
      <c r="Q227" s="1024" t="str">
        <f t="shared" si="83"/>
        <v/>
      </c>
      <c r="S227" s="1024" t="str">
        <f t="shared" si="84"/>
        <v/>
      </c>
      <c r="U227" s="1024" t="str">
        <f t="shared" si="85"/>
        <v/>
      </c>
      <c r="W227" s="1024" t="str">
        <f t="shared" si="86"/>
        <v/>
      </c>
      <c r="Y227" s="1024" t="str">
        <f t="shared" si="87"/>
        <v/>
      </c>
      <c r="AA227" s="1024" t="str">
        <f t="shared" si="96"/>
        <v/>
      </c>
      <c r="AC227" s="1024" t="str">
        <f t="shared" si="88"/>
        <v/>
      </c>
      <c r="AE227" s="1024" t="str">
        <f t="shared" si="89"/>
        <v/>
      </c>
      <c r="AG227" s="1024" t="str">
        <f t="shared" si="90"/>
        <v/>
      </c>
      <c r="AI227" s="1024" t="str">
        <f t="shared" si="91"/>
        <v/>
      </c>
      <c r="AK227" s="1024" t="str">
        <f t="shared" si="92"/>
        <v/>
      </c>
      <c r="AM227" s="1024" t="str">
        <f t="shared" si="93"/>
        <v/>
      </c>
      <c r="AO227" s="1024" t="str">
        <f t="shared" si="94"/>
        <v/>
      </c>
      <c r="AQ227" s="1024" t="str">
        <f t="shared" si="95"/>
        <v/>
      </c>
    </row>
    <row r="228" spans="5:43" x14ac:dyDescent="0.2">
      <c r="E228" s="1024" t="str">
        <f t="shared" si="101"/>
        <v/>
      </c>
      <c r="G228" s="1024" t="str">
        <f t="shared" si="97"/>
        <v/>
      </c>
      <c r="I228" s="1024" t="str">
        <f t="shared" si="98"/>
        <v/>
      </c>
      <c r="K228" s="1024" t="str">
        <f t="shared" si="99"/>
        <v/>
      </c>
      <c r="M228" s="1024" t="str">
        <f t="shared" si="100"/>
        <v/>
      </c>
      <c r="O228" s="1024" t="str">
        <f t="shared" si="102"/>
        <v/>
      </c>
      <c r="Q228" s="1024" t="str">
        <f t="shared" si="83"/>
        <v/>
      </c>
      <c r="S228" s="1024" t="str">
        <f t="shared" si="84"/>
        <v/>
      </c>
      <c r="U228" s="1024" t="str">
        <f t="shared" si="85"/>
        <v/>
      </c>
      <c r="W228" s="1024" t="str">
        <f t="shared" si="86"/>
        <v/>
      </c>
      <c r="Y228" s="1024" t="str">
        <f t="shared" si="87"/>
        <v/>
      </c>
      <c r="AA228" s="1024" t="str">
        <f t="shared" si="96"/>
        <v/>
      </c>
      <c r="AC228" s="1024" t="str">
        <f t="shared" si="88"/>
        <v/>
      </c>
      <c r="AE228" s="1024" t="str">
        <f t="shared" si="89"/>
        <v/>
      </c>
      <c r="AG228" s="1024" t="str">
        <f t="shared" si="90"/>
        <v/>
      </c>
      <c r="AI228" s="1024" t="str">
        <f t="shared" si="91"/>
        <v/>
      </c>
      <c r="AK228" s="1024" t="str">
        <f t="shared" si="92"/>
        <v/>
      </c>
      <c r="AM228" s="1024" t="str">
        <f t="shared" si="93"/>
        <v/>
      </c>
      <c r="AO228" s="1024" t="str">
        <f t="shared" si="94"/>
        <v/>
      </c>
      <c r="AQ228" s="1024" t="str">
        <f t="shared" si="95"/>
        <v/>
      </c>
    </row>
    <row r="229" spans="5:43" x14ac:dyDescent="0.2">
      <c r="E229" s="1024" t="str">
        <f t="shared" si="101"/>
        <v/>
      </c>
      <c r="G229" s="1024" t="str">
        <f t="shared" si="97"/>
        <v/>
      </c>
      <c r="I229" s="1024" t="str">
        <f t="shared" si="98"/>
        <v/>
      </c>
      <c r="K229" s="1024" t="str">
        <f t="shared" si="99"/>
        <v/>
      </c>
      <c r="M229" s="1024" t="str">
        <f t="shared" si="100"/>
        <v/>
      </c>
      <c r="O229" s="1024" t="str">
        <f t="shared" si="102"/>
        <v/>
      </c>
      <c r="Q229" s="1024" t="str">
        <f t="shared" si="83"/>
        <v/>
      </c>
      <c r="S229" s="1024" t="str">
        <f t="shared" si="84"/>
        <v/>
      </c>
      <c r="U229" s="1024" t="str">
        <f t="shared" si="85"/>
        <v/>
      </c>
      <c r="W229" s="1024" t="str">
        <f t="shared" si="86"/>
        <v/>
      </c>
      <c r="Y229" s="1024" t="str">
        <f t="shared" si="87"/>
        <v/>
      </c>
      <c r="AA229" s="1024" t="str">
        <f t="shared" si="96"/>
        <v/>
      </c>
      <c r="AC229" s="1024" t="str">
        <f t="shared" si="88"/>
        <v/>
      </c>
      <c r="AE229" s="1024" t="str">
        <f t="shared" si="89"/>
        <v/>
      </c>
      <c r="AG229" s="1024" t="str">
        <f t="shared" si="90"/>
        <v/>
      </c>
      <c r="AI229" s="1024" t="str">
        <f t="shared" si="91"/>
        <v/>
      </c>
      <c r="AK229" s="1024" t="str">
        <f t="shared" si="92"/>
        <v/>
      </c>
      <c r="AM229" s="1024" t="str">
        <f t="shared" si="93"/>
        <v/>
      </c>
      <c r="AO229" s="1024" t="str">
        <f t="shared" si="94"/>
        <v/>
      </c>
      <c r="AQ229" s="1024" t="str">
        <f t="shared" si="95"/>
        <v/>
      </c>
    </row>
    <row r="230" spans="5:43" x14ac:dyDescent="0.2">
      <c r="E230" s="1024" t="str">
        <f t="shared" si="101"/>
        <v/>
      </c>
      <c r="G230" s="1024" t="str">
        <f t="shared" si="97"/>
        <v/>
      </c>
      <c r="I230" s="1024" t="str">
        <f t="shared" si="98"/>
        <v/>
      </c>
      <c r="K230" s="1024" t="str">
        <f t="shared" si="99"/>
        <v/>
      </c>
      <c r="M230" s="1024" t="str">
        <f t="shared" si="100"/>
        <v/>
      </c>
      <c r="O230" s="1024" t="str">
        <f t="shared" si="102"/>
        <v/>
      </c>
      <c r="Q230" s="1024" t="str">
        <f t="shared" si="83"/>
        <v/>
      </c>
      <c r="S230" s="1024" t="str">
        <f t="shared" si="84"/>
        <v/>
      </c>
      <c r="U230" s="1024" t="str">
        <f t="shared" si="85"/>
        <v/>
      </c>
      <c r="W230" s="1024" t="str">
        <f t="shared" si="86"/>
        <v/>
      </c>
      <c r="Y230" s="1024" t="str">
        <f t="shared" si="87"/>
        <v/>
      </c>
      <c r="AA230" s="1024" t="str">
        <f t="shared" si="96"/>
        <v/>
      </c>
      <c r="AC230" s="1024" t="str">
        <f t="shared" si="88"/>
        <v/>
      </c>
      <c r="AE230" s="1024" t="str">
        <f t="shared" si="89"/>
        <v/>
      </c>
      <c r="AG230" s="1024" t="str">
        <f t="shared" si="90"/>
        <v/>
      </c>
      <c r="AI230" s="1024" t="str">
        <f t="shared" si="91"/>
        <v/>
      </c>
      <c r="AK230" s="1024" t="str">
        <f t="shared" si="92"/>
        <v/>
      </c>
      <c r="AM230" s="1024" t="str">
        <f t="shared" si="93"/>
        <v/>
      </c>
      <c r="AO230" s="1024" t="str">
        <f t="shared" si="94"/>
        <v/>
      </c>
      <c r="AQ230" s="1024" t="str">
        <f t="shared" si="95"/>
        <v/>
      </c>
    </row>
    <row r="231" spans="5:43" x14ac:dyDescent="0.2">
      <c r="E231" s="1024" t="str">
        <f t="shared" si="101"/>
        <v/>
      </c>
      <c r="G231" s="1024" t="str">
        <f t="shared" si="97"/>
        <v/>
      </c>
      <c r="I231" s="1024" t="str">
        <f t="shared" si="98"/>
        <v/>
      </c>
      <c r="K231" s="1024" t="str">
        <f t="shared" si="99"/>
        <v/>
      </c>
      <c r="M231" s="1024" t="str">
        <f t="shared" si="100"/>
        <v/>
      </c>
      <c r="O231" s="1024" t="str">
        <f t="shared" si="102"/>
        <v/>
      </c>
      <c r="Q231" s="1024" t="str">
        <f t="shared" si="83"/>
        <v/>
      </c>
      <c r="S231" s="1024" t="str">
        <f t="shared" si="84"/>
        <v/>
      </c>
      <c r="U231" s="1024" t="str">
        <f t="shared" si="85"/>
        <v/>
      </c>
      <c r="W231" s="1024" t="str">
        <f t="shared" si="86"/>
        <v/>
      </c>
      <c r="Y231" s="1024" t="str">
        <f t="shared" si="87"/>
        <v/>
      </c>
      <c r="AA231" s="1024" t="str">
        <f t="shared" si="96"/>
        <v/>
      </c>
      <c r="AC231" s="1024" t="str">
        <f t="shared" si="88"/>
        <v/>
      </c>
      <c r="AE231" s="1024" t="str">
        <f t="shared" si="89"/>
        <v/>
      </c>
      <c r="AG231" s="1024" t="str">
        <f t="shared" si="90"/>
        <v/>
      </c>
      <c r="AI231" s="1024" t="str">
        <f t="shared" si="91"/>
        <v/>
      </c>
      <c r="AK231" s="1024" t="str">
        <f t="shared" si="92"/>
        <v/>
      </c>
      <c r="AM231" s="1024" t="str">
        <f t="shared" si="93"/>
        <v/>
      </c>
      <c r="AO231" s="1024" t="str">
        <f t="shared" si="94"/>
        <v/>
      </c>
      <c r="AQ231" s="1024" t="str">
        <f t="shared" si="95"/>
        <v/>
      </c>
    </row>
    <row r="232" spans="5:43" x14ac:dyDescent="0.2">
      <c r="E232" s="1024" t="str">
        <f t="shared" si="101"/>
        <v/>
      </c>
      <c r="G232" s="1024" t="str">
        <f t="shared" si="97"/>
        <v/>
      </c>
      <c r="I232" s="1024" t="str">
        <f t="shared" si="98"/>
        <v/>
      </c>
      <c r="K232" s="1024" t="str">
        <f t="shared" si="99"/>
        <v/>
      </c>
      <c r="M232" s="1024" t="str">
        <f t="shared" si="100"/>
        <v/>
      </c>
      <c r="O232" s="1024" t="str">
        <f t="shared" si="102"/>
        <v/>
      </c>
      <c r="Q232" s="1024" t="str">
        <f t="shared" si="83"/>
        <v/>
      </c>
      <c r="S232" s="1024" t="str">
        <f t="shared" si="84"/>
        <v/>
      </c>
      <c r="U232" s="1024" t="str">
        <f t="shared" si="85"/>
        <v/>
      </c>
      <c r="W232" s="1024" t="str">
        <f t="shared" si="86"/>
        <v/>
      </c>
      <c r="Y232" s="1024" t="str">
        <f t="shared" si="87"/>
        <v/>
      </c>
      <c r="AA232" s="1024" t="str">
        <f t="shared" si="96"/>
        <v/>
      </c>
      <c r="AC232" s="1024" t="str">
        <f t="shared" si="88"/>
        <v/>
      </c>
      <c r="AE232" s="1024" t="str">
        <f t="shared" si="89"/>
        <v/>
      </c>
      <c r="AG232" s="1024" t="str">
        <f t="shared" si="90"/>
        <v/>
      </c>
      <c r="AI232" s="1024" t="str">
        <f t="shared" si="91"/>
        <v/>
      </c>
      <c r="AK232" s="1024" t="str">
        <f t="shared" si="92"/>
        <v/>
      </c>
      <c r="AM232" s="1024" t="str">
        <f t="shared" si="93"/>
        <v/>
      </c>
      <c r="AO232" s="1024" t="str">
        <f t="shared" si="94"/>
        <v/>
      </c>
      <c r="AQ232" s="1024" t="str">
        <f t="shared" si="95"/>
        <v/>
      </c>
    </row>
    <row r="233" spans="5:43" x14ac:dyDescent="0.2">
      <c r="E233" s="1024" t="str">
        <f t="shared" si="101"/>
        <v/>
      </c>
      <c r="G233" s="1024" t="str">
        <f t="shared" si="97"/>
        <v/>
      </c>
      <c r="I233" s="1024" t="str">
        <f t="shared" si="98"/>
        <v/>
      </c>
      <c r="K233" s="1024" t="str">
        <f t="shared" si="99"/>
        <v/>
      </c>
      <c r="M233" s="1024" t="str">
        <f t="shared" si="100"/>
        <v/>
      </c>
      <c r="O233" s="1024" t="str">
        <f t="shared" si="102"/>
        <v/>
      </c>
      <c r="Q233" s="1024" t="str">
        <f t="shared" si="83"/>
        <v/>
      </c>
      <c r="S233" s="1024" t="str">
        <f t="shared" si="84"/>
        <v/>
      </c>
      <c r="U233" s="1024" t="str">
        <f t="shared" si="85"/>
        <v/>
      </c>
      <c r="W233" s="1024" t="str">
        <f t="shared" si="86"/>
        <v/>
      </c>
      <c r="Y233" s="1024" t="str">
        <f t="shared" si="87"/>
        <v/>
      </c>
      <c r="AA233" s="1024" t="str">
        <f t="shared" si="96"/>
        <v/>
      </c>
      <c r="AC233" s="1024" t="str">
        <f t="shared" si="88"/>
        <v/>
      </c>
      <c r="AE233" s="1024" t="str">
        <f t="shared" si="89"/>
        <v/>
      </c>
      <c r="AG233" s="1024" t="str">
        <f t="shared" si="90"/>
        <v/>
      </c>
      <c r="AI233" s="1024" t="str">
        <f t="shared" si="91"/>
        <v/>
      </c>
      <c r="AK233" s="1024" t="str">
        <f t="shared" si="92"/>
        <v/>
      </c>
      <c r="AM233" s="1024" t="str">
        <f t="shared" si="93"/>
        <v/>
      </c>
      <c r="AO233" s="1024" t="str">
        <f t="shared" si="94"/>
        <v/>
      </c>
      <c r="AQ233" s="1024" t="str">
        <f t="shared" si="95"/>
        <v/>
      </c>
    </row>
    <row r="234" spans="5:43" x14ac:dyDescent="0.2">
      <c r="E234" s="1024" t="str">
        <f t="shared" si="101"/>
        <v/>
      </c>
      <c r="G234" s="1024" t="str">
        <f t="shared" si="97"/>
        <v/>
      </c>
      <c r="I234" s="1024" t="str">
        <f t="shared" si="98"/>
        <v/>
      </c>
      <c r="K234" s="1024" t="str">
        <f t="shared" si="99"/>
        <v/>
      </c>
      <c r="M234" s="1024" t="str">
        <f t="shared" si="100"/>
        <v/>
      </c>
      <c r="O234" s="1024" t="str">
        <f t="shared" si="102"/>
        <v/>
      </c>
      <c r="Q234" s="1024" t="str">
        <f t="shared" si="83"/>
        <v/>
      </c>
      <c r="S234" s="1024" t="str">
        <f t="shared" si="84"/>
        <v/>
      </c>
      <c r="U234" s="1024" t="str">
        <f t="shared" si="85"/>
        <v/>
      </c>
      <c r="W234" s="1024" t="str">
        <f t="shared" si="86"/>
        <v/>
      </c>
      <c r="Y234" s="1024" t="str">
        <f t="shared" si="87"/>
        <v/>
      </c>
      <c r="AA234" s="1024" t="str">
        <f t="shared" si="96"/>
        <v/>
      </c>
      <c r="AC234" s="1024" t="str">
        <f t="shared" si="88"/>
        <v/>
      </c>
      <c r="AE234" s="1024" t="str">
        <f t="shared" si="89"/>
        <v/>
      </c>
      <c r="AG234" s="1024" t="str">
        <f t="shared" si="90"/>
        <v/>
      </c>
      <c r="AI234" s="1024" t="str">
        <f t="shared" si="91"/>
        <v/>
      </c>
      <c r="AK234" s="1024" t="str">
        <f t="shared" si="92"/>
        <v/>
      </c>
      <c r="AM234" s="1024" t="str">
        <f t="shared" si="93"/>
        <v/>
      </c>
      <c r="AO234" s="1024" t="str">
        <f t="shared" si="94"/>
        <v/>
      </c>
      <c r="AQ234" s="1024" t="str">
        <f t="shared" si="95"/>
        <v/>
      </c>
    </row>
    <row r="235" spans="5:43" x14ac:dyDescent="0.2">
      <c r="E235" s="1024" t="str">
        <f t="shared" si="101"/>
        <v/>
      </c>
      <c r="G235" s="1024" t="str">
        <f t="shared" si="97"/>
        <v/>
      </c>
      <c r="I235" s="1024" t="str">
        <f t="shared" si="98"/>
        <v/>
      </c>
      <c r="K235" s="1024" t="str">
        <f t="shared" si="99"/>
        <v/>
      </c>
      <c r="M235" s="1024" t="str">
        <f t="shared" si="100"/>
        <v/>
      </c>
      <c r="O235" s="1024" t="str">
        <f t="shared" si="102"/>
        <v/>
      </c>
      <c r="Q235" s="1024" t="str">
        <f t="shared" si="83"/>
        <v/>
      </c>
      <c r="S235" s="1024" t="str">
        <f t="shared" si="84"/>
        <v/>
      </c>
      <c r="U235" s="1024" t="str">
        <f t="shared" si="85"/>
        <v/>
      </c>
      <c r="W235" s="1024" t="str">
        <f t="shared" si="86"/>
        <v/>
      </c>
      <c r="Y235" s="1024" t="str">
        <f t="shared" si="87"/>
        <v/>
      </c>
      <c r="AA235" s="1024" t="str">
        <f t="shared" si="96"/>
        <v/>
      </c>
      <c r="AC235" s="1024" t="str">
        <f t="shared" si="88"/>
        <v/>
      </c>
      <c r="AE235" s="1024" t="str">
        <f t="shared" si="89"/>
        <v/>
      </c>
      <c r="AG235" s="1024" t="str">
        <f t="shared" si="90"/>
        <v/>
      </c>
      <c r="AI235" s="1024" t="str">
        <f t="shared" si="91"/>
        <v/>
      </c>
      <c r="AK235" s="1024" t="str">
        <f t="shared" si="92"/>
        <v/>
      </c>
      <c r="AM235" s="1024" t="str">
        <f t="shared" si="93"/>
        <v/>
      </c>
      <c r="AO235" s="1024" t="str">
        <f t="shared" si="94"/>
        <v/>
      </c>
      <c r="AQ235" s="1024" t="str">
        <f t="shared" si="95"/>
        <v/>
      </c>
    </row>
    <row r="236" spans="5:43" x14ac:dyDescent="0.2">
      <c r="E236" s="1024" t="str">
        <f t="shared" si="101"/>
        <v/>
      </c>
      <c r="G236" s="1024" t="str">
        <f t="shared" si="97"/>
        <v/>
      </c>
      <c r="I236" s="1024" t="str">
        <f t="shared" si="98"/>
        <v/>
      </c>
      <c r="K236" s="1024" t="str">
        <f t="shared" si="99"/>
        <v/>
      </c>
      <c r="M236" s="1024" t="str">
        <f t="shared" si="100"/>
        <v/>
      </c>
      <c r="O236" s="1024" t="str">
        <f t="shared" si="102"/>
        <v/>
      </c>
      <c r="Q236" s="1024" t="str">
        <f t="shared" si="83"/>
        <v/>
      </c>
      <c r="S236" s="1024" t="str">
        <f t="shared" si="84"/>
        <v/>
      </c>
      <c r="U236" s="1024" t="str">
        <f t="shared" si="85"/>
        <v/>
      </c>
      <c r="W236" s="1024" t="str">
        <f t="shared" si="86"/>
        <v/>
      </c>
      <c r="Y236" s="1024" t="str">
        <f t="shared" si="87"/>
        <v/>
      </c>
      <c r="AA236" s="1024" t="str">
        <f t="shared" si="96"/>
        <v/>
      </c>
      <c r="AC236" s="1024" t="str">
        <f t="shared" si="88"/>
        <v/>
      </c>
      <c r="AE236" s="1024" t="str">
        <f t="shared" si="89"/>
        <v/>
      </c>
      <c r="AG236" s="1024" t="str">
        <f t="shared" si="90"/>
        <v/>
      </c>
      <c r="AI236" s="1024" t="str">
        <f t="shared" si="91"/>
        <v/>
      </c>
      <c r="AK236" s="1024" t="str">
        <f t="shared" si="92"/>
        <v/>
      </c>
      <c r="AM236" s="1024" t="str">
        <f t="shared" si="93"/>
        <v/>
      </c>
      <c r="AO236" s="1024" t="str">
        <f t="shared" si="94"/>
        <v/>
      </c>
      <c r="AQ236" s="1024" t="str">
        <f t="shared" si="95"/>
        <v/>
      </c>
    </row>
    <row r="237" spans="5:43" x14ac:dyDescent="0.2">
      <c r="E237" s="1024" t="str">
        <f t="shared" si="101"/>
        <v/>
      </c>
      <c r="G237" s="1024" t="str">
        <f t="shared" si="97"/>
        <v/>
      </c>
      <c r="I237" s="1024" t="str">
        <f t="shared" si="98"/>
        <v/>
      </c>
      <c r="K237" s="1024" t="str">
        <f t="shared" si="99"/>
        <v/>
      </c>
      <c r="M237" s="1024" t="str">
        <f t="shared" si="100"/>
        <v/>
      </c>
      <c r="O237" s="1024" t="str">
        <f t="shared" si="102"/>
        <v/>
      </c>
      <c r="Q237" s="1024" t="str">
        <f t="shared" si="83"/>
        <v/>
      </c>
      <c r="S237" s="1024" t="str">
        <f t="shared" si="84"/>
        <v/>
      </c>
      <c r="U237" s="1024" t="str">
        <f t="shared" si="85"/>
        <v/>
      </c>
      <c r="W237" s="1024" t="str">
        <f t="shared" si="86"/>
        <v/>
      </c>
      <c r="Y237" s="1024" t="str">
        <f t="shared" si="87"/>
        <v/>
      </c>
      <c r="AA237" s="1024" t="str">
        <f t="shared" si="96"/>
        <v/>
      </c>
      <c r="AC237" s="1024" t="str">
        <f t="shared" si="88"/>
        <v/>
      </c>
      <c r="AE237" s="1024" t="str">
        <f t="shared" si="89"/>
        <v/>
      </c>
      <c r="AG237" s="1024" t="str">
        <f t="shared" si="90"/>
        <v/>
      </c>
      <c r="AI237" s="1024" t="str">
        <f t="shared" si="91"/>
        <v/>
      </c>
      <c r="AK237" s="1024" t="str">
        <f t="shared" si="92"/>
        <v/>
      </c>
      <c r="AM237" s="1024" t="str">
        <f t="shared" si="93"/>
        <v/>
      </c>
      <c r="AO237" s="1024" t="str">
        <f t="shared" si="94"/>
        <v/>
      </c>
      <c r="AQ237" s="1024" t="str">
        <f t="shared" si="95"/>
        <v/>
      </c>
    </row>
    <row r="238" spans="5:43" x14ac:dyDescent="0.2">
      <c r="E238" s="1024" t="str">
        <f t="shared" si="101"/>
        <v/>
      </c>
      <c r="G238" s="1024" t="str">
        <f t="shared" si="97"/>
        <v/>
      </c>
      <c r="I238" s="1024" t="str">
        <f t="shared" si="98"/>
        <v/>
      </c>
      <c r="K238" s="1024" t="str">
        <f t="shared" si="99"/>
        <v/>
      </c>
      <c r="M238" s="1024" t="str">
        <f t="shared" si="100"/>
        <v/>
      </c>
      <c r="O238" s="1024" t="str">
        <f t="shared" si="102"/>
        <v/>
      </c>
      <c r="Q238" s="1024" t="str">
        <f t="shared" si="83"/>
        <v/>
      </c>
      <c r="S238" s="1024" t="str">
        <f t="shared" si="84"/>
        <v/>
      </c>
      <c r="U238" s="1024" t="str">
        <f t="shared" si="85"/>
        <v/>
      </c>
      <c r="W238" s="1024" t="str">
        <f t="shared" si="86"/>
        <v/>
      </c>
      <c r="Y238" s="1024" t="str">
        <f t="shared" si="87"/>
        <v/>
      </c>
      <c r="AA238" s="1024" t="str">
        <f t="shared" si="96"/>
        <v/>
      </c>
      <c r="AC238" s="1024" t="str">
        <f t="shared" si="88"/>
        <v/>
      </c>
      <c r="AE238" s="1024" t="str">
        <f t="shared" si="89"/>
        <v/>
      </c>
      <c r="AG238" s="1024" t="str">
        <f t="shared" si="90"/>
        <v/>
      </c>
      <c r="AI238" s="1024" t="str">
        <f t="shared" si="91"/>
        <v/>
      </c>
      <c r="AK238" s="1024" t="str">
        <f t="shared" si="92"/>
        <v/>
      </c>
      <c r="AM238" s="1024" t="str">
        <f t="shared" si="93"/>
        <v/>
      </c>
      <c r="AO238" s="1024" t="str">
        <f t="shared" si="94"/>
        <v/>
      </c>
      <c r="AQ238" s="1024" t="str">
        <f t="shared" si="95"/>
        <v/>
      </c>
    </row>
    <row r="239" spans="5:43" x14ac:dyDescent="0.2">
      <c r="E239" s="1024" t="str">
        <f t="shared" si="101"/>
        <v/>
      </c>
      <c r="G239" s="1024" t="str">
        <f t="shared" si="97"/>
        <v/>
      </c>
      <c r="I239" s="1024" t="str">
        <f t="shared" si="98"/>
        <v/>
      </c>
      <c r="K239" s="1024" t="str">
        <f t="shared" si="99"/>
        <v/>
      </c>
      <c r="M239" s="1024" t="str">
        <f t="shared" si="100"/>
        <v/>
      </c>
      <c r="O239" s="1024" t="str">
        <f t="shared" si="102"/>
        <v/>
      </c>
      <c r="Q239" s="1024" t="str">
        <f t="shared" si="83"/>
        <v/>
      </c>
      <c r="S239" s="1024" t="str">
        <f t="shared" si="84"/>
        <v/>
      </c>
      <c r="U239" s="1024" t="str">
        <f t="shared" si="85"/>
        <v/>
      </c>
      <c r="W239" s="1024" t="str">
        <f t="shared" si="86"/>
        <v/>
      </c>
      <c r="Y239" s="1024" t="str">
        <f t="shared" si="87"/>
        <v/>
      </c>
      <c r="AA239" s="1024" t="str">
        <f t="shared" si="96"/>
        <v/>
      </c>
      <c r="AC239" s="1024" t="str">
        <f t="shared" si="88"/>
        <v/>
      </c>
      <c r="AE239" s="1024" t="str">
        <f t="shared" si="89"/>
        <v/>
      </c>
      <c r="AG239" s="1024" t="str">
        <f t="shared" si="90"/>
        <v/>
      </c>
      <c r="AI239" s="1024" t="str">
        <f t="shared" si="91"/>
        <v/>
      </c>
      <c r="AK239" s="1024" t="str">
        <f t="shared" si="92"/>
        <v/>
      </c>
      <c r="AM239" s="1024" t="str">
        <f t="shared" si="93"/>
        <v/>
      </c>
      <c r="AO239" s="1024" t="str">
        <f t="shared" si="94"/>
        <v/>
      </c>
      <c r="AQ239" s="1024" t="str">
        <f t="shared" si="95"/>
        <v/>
      </c>
    </row>
    <row r="240" spans="5:43" x14ac:dyDescent="0.2">
      <c r="E240" s="1024" t="str">
        <f t="shared" si="101"/>
        <v/>
      </c>
      <c r="G240" s="1024" t="str">
        <f t="shared" si="97"/>
        <v/>
      </c>
      <c r="I240" s="1024" t="str">
        <f t="shared" si="98"/>
        <v/>
      </c>
      <c r="K240" s="1024" t="str">
        <f t="shared" si="99"/>
        <v/>
      </c>
      <c r="M240" s="1024" t="str">
        <f t="shared" si="100"/>
        <v/>
      </c>
      <c r="O240" s="1024" t="str">
        <f t="shared" si="102"/>
        <v/>
      </c>
      <c r="Q240" s="1024" t="str">
        <f t="shared" si="83"/>
        <v/>
      </c>
      <c r="S240" s="1024" t="str">
        <f t="shared" si="84"/>
        <v/>
      </c>
      <c r="U240" s="1024" t="str">
        <f t="shared" si="85"/>
        <v/>
      </c>
      <c r="W240" s="1024" t="str">
        <f t="shared" si="86"/>
        <v/>
      </c>
      <c r="Y240" s="1024" t="str">
        <f t="shared" si="87"/>
        <v/>
      </c>
      <c r="AA240" s="1024" t="str">
        <f t="shared" si="96"/>
        <v/>
      </c>
      <c r="AC240" s="1024" t="str">
        <f t="shared" si="88"/>
        <v/>
      </c>
      <c r="AE240" s="1024" t="str">
        <f t="shared" si="89"/>
        <v/>
      </c>
      <c r="AG240" s="1024" t="str">
        <f t="shared" si="90"/>
        <v/>
      </c>
      <c r="AI240" s="1024" t="str">
        <f t="shared" si="91"/>
        <v/>
      </c>
      <c r="AK240" s="1024" t="str">
        <f t="shared" si="92"/>
        <v/>
      </c>
      <c r="AM240" s="1024" t="str">
        <f t="shared" si="93"/>
        <v/>
      </c>
      <c r="AO240" s="1024" t="str">
        <f t="shared" si="94"/>
        <v/>
      </c>
      <c r="AQ240" s="1024" t="str">
        <f t="shared" si="95"/>
        <v/>
      </c>
    </row>
    <row r="241" spans="5:43" x14ac:dyDescent="0.2">
      <c r="E241" s="1024" t="str">
        <f t="shared" si="101"/>
        <v/>
      </c>
      <c r="G241" s="1024" t="str">
        <f t="shared" si="97"/>
        <v/>
      </c>
      <c r="I241" s="1024" t="str">
        <f t="shared" si="98"/>
        <v/>
      </c>
      <c r="K241" s="1024" t="str">
        <f t="shared" si="99"/>
        <v/>
      </c>
      <c r="M241" s="1024" t="str">
        <f t="shared" si="100"/>
        <v/>
      </c>
      <c r="O241" s="1024" t="str">
        <f t="shared" si="102"/>
        <v/>
      </c>
      <c r="Q241" s="1024" t="str">
        <f t="shared" si="83"/>
        <v/>
      </c>
      <c r="S241" s="1024" t="str">
        <f t="shared" si="84"/>
        <v/>
      </c>
      <c r="U241" s="1024" t="str">
        <f t="shared" si="85"/>
        <v/>
      </c>
      <c r="W241" s="1024" t="str">
        <f t="shared" si="86"/>
        <v/>
      </c>
      <c r="Y241" s="1024" t="str">
        <f t="shared" si="87"/>
        <v/>
      </c>
      <c r="AA241" s="1024" t="str">
        <f t="shared" si="96"/>
        <v/>
      </c>
      <c r="AC241" s="1024" t="str">
        <f t="shared" si="88"/>
        <v/>
      </c>
      <c r="AE241" s="1024" t="str">
        <f t="shared" si="89"/>
        <v/>
      </c>
      <c r="AG241" s="1024" t="str">
        <f t="shared" si="90"/>
        <v/>
      </c>
      <c r="AI241" s="1024" t="str">
        <f t="shared" si="91"/>
        <v/>
      </c>
      <c r="AK241" s="1024" t="str">
        <f t="shared" si="92"/>
        <v/>
      </c>
      <c r="AM241" s="1024" t="str">
        <f t="shared" si="93"/>
        <v/>
      </c>
      <c r="AO241" s="1024" t="str">
        <f t="shared" si="94"/>
        <v/>
      </c>
      <c r="AQ241" s="1024" t="str">
        <f t="shared" si="95"/>
        <v/>
      </c>
    </row>
    <row r="242" spans="5:43" x14ac:dyDescent="0.2">
      <c r="E242" s="1024" t="str">
        <f t="shared" si="101"/>
        <v/>
      </c>
      <c r="G242" s="1024" t="str">
        <f t="shared" si="97"/>
        <v/>
      </c>
      <c r="I242" s="1024" t="str">
        <f t="shared" si="98"/>
        <v/>
      </c>
      <c r="K242" s="1024" t="str">
        <f t="shared" si="99"/>
        <v/>
      </c>
      <c r="M242" s="1024" t="str">
        <f t="shared" si="100"/>
        <v/>
      </c>
      <c r="O242" s="1024" t="str">
        <f t="shared" si="102"/>
        <v/>
      </c>
      <c r="Q242" s="1024" t="str">
        <f t="shared" si="83"/>
        <v/>
      </c>
      <c r="S242" s="1024" t="str">
        <f t="shared" si="84"/>
        <v/>
      </c>
      <c r="U242" s="1024" t="str">
        <f t="shared" si="85"/>
        <v/>
      </c>
      <c r="W242" s="1024" t="str">
        <f t="shared" si="86"/>
        <v/>
      </c>
      <c r="Y242" s="1024" t="str">
        <f t="shared" si="87"/>
        <v/>
      </c>
      <c r="AA242" s="1024" t="str">
        <f t="shared" si="96"/>
        <v/>
      </c>
      <c r="AC242" s="1024" t="str">
        <f t="shared" si="88"/>
        <v/>
      </c>
      <c r="AE242" s="1024" t="str">
        <f t="shared" si="89"/>
        <v/>
      </c>
      <c r="AG242" s="1024" t="str">
        <f t="shared" si="90"/>
        <v/>
      </c>
      <c r="AI242" s="1024" t="str">
        <f t="shared" si="91"/>
        <v/>
      </c>
      <c r="AK242" s="1024" t="str">
        <f t="shared" si="92"/>
        <v/>
      </c>
      <c r="AM242" s="1024" t="str">
        <f t="shared" si="93"/>
        <v/>
      </c>
      <c r="AO242" s="1024" t="str">
        <f t="shared" si="94"/>
        <v/>
      </c>
      <c r="AQ242" s="1024" t="str">
        <f t="shared" si="95"/>
        <v/>
      </c>
    </row>
    <row r="243" spans="5:43" x14ac:dyDescent="0.2">
      <c r="E243" s="1024" t="str">
        <f t="shared" si="101"/>
        <v/>
      </c>
      <c r="G243" s="1024" t="str">
        <f t="shared" si="97"/>
        <v/>
      </c>
      <c r="I243" s="1024" t="str">
        <f t="shared" si="98"/>
        <v/>
      </c>
      <c r="K243" s="1024" t="str">
        <f t="shared" si="99"/>
        <v/>
      </c>
      <c r="M243" s="1024" t="str">
        <f t="shared" si="100"/>
        <v/>
      </c>
      <c r="O243" s="1024" t="str">
        <f t="shared" si="102"/>
        <v/>
      </c>
      <c r="Q243" s="1024" t="str">
        <f t="shared" si="83"/>
        <v/>
      </c>
      <c r="S243" s="1024" t="str">
        <f t="shared" si="84"/>
        <v/>
      </c>
      <c r="U243" s="1024" t="str">
        <f t="shared" si="85"/>
        <v/>
      </c>
      <c r="W243" s="1024" t="str">
        <f t="shared" si="86"/>
        <v/>
      </c>
      <c r="Y243" s="1024" t="str">
        <f t="shared" si="87"/>
        <v/>
      </c>
      <c r="AA243" s="1024" t="str">
        <f t="shared" si="96"/>
        <v/>
      </c>
      <c r="AC243" s="1024" t="str">
        <f t="shared" si="88"/>
        <v/>
      </c>
      <c r="AE243" s="1024" t="str">
        <f t="shared" si="89"/>
        <v/>
      </c>
      <c r="AG243" s="1024" t="str">
        <f t="shared" si="90"/>
        <v/>
      </c>
      <c r="AI243" s="1024" t="str">
        <f t="shared" si="91"/>
        <v/>
      </c>
      <c r="AK243" s="1024" t="str">
        <f t="shared" si="92"/>
        <v/>
      </c>
      <c r="AM243" s="1024" t="str">
        <f t="shared" si="93"/>
        <v/>
      </c>
      <c r="AO243" s="1024" t="str">
        <f t="shared" si="94"/>
        <v/>
      </c>
      <c r="AQ243" s="1024" t="str">
        <f t="shared" si="95"/>
        <v/>
      </c>
    </row>
    <row r="244" spans="5:43" x14ac:dyDescent="0.2">
      <c r="E244" s="1024" t="str">
        <f t="shared" si="101"/>
        <v/>
      </c>
      <c r="G244" s="1024" t="str">
        <f t="shared" si="97"/>
        <v/>
      </c>
      <c r="I244" s="1024" t="str">
        <f t="shared" si="98"/>
        <v/>
      </c>
      <c r="K244" s="1024" t="str">
        <f t="shared" si="99"/>
        <v/>
      </c>
      <c r="M244" s="1024" t="str">
        <f t="shared" si="100"/>
        <v/>
      </c>
      <c r="O244" s="1024" t="str">
        <f t="shared" si="102"/>
        <v/>
      </c>
      <c r="Q244" s="1024" t="str">
        <f t="shared" si="83"/>
        <v/>
      </c>
      <c r="S244" s="1024" t="str">
        <f t="shared" si="84"/>
        <v/>
      </c>
      <c r="U244" s="1024" t="str">
        <f t="shared" si="85"/>
        <v/>
      </c>
      <c r="W244" s="1024" t="str">
        <f t="shared" si="86"/>
        <v/>
      </c>
      <c r="Y244" s="1024" t="str">
        <f t="shared" si="87"/>
        <v/>
      </c>
      <c r="AA244" s="1024" t="str">
        <f t="shared" si="96"/>
        <v/>
      </c>
      <c r="AC244" s="1024" t="str">
        <f t="shared" si="88"/>
        <v/>
      </c>
      <c r="AE244" s="1024" t="str">
        <f t="shared" si="89"/>
        <v/>
      </c>
      <c r="AG244" s="1024" t="str">
        <f t="shared" si="90"/>
        <v/>
      </c>
      <c r="AI244" s="1024" t="str">
        <f t="shared" si="91"/>
        <v/>
      </c>
      <c r="AK244" s="1024" t="str">
        <f t="shared" si="92"/>
        <v/>
      </c>
      <c r="AM244" s="1024" t="str">
        <f t="shared" si="93"/>
        <v/>
      </c>
      <c r="AO244" s="1024" t="str">
        <f t="shared" si="94"/>
        <v/>
      </c>
      <c r="AQ244" s="1024" t="str">
        <f t="shared" si="95"/>
        <v/>
      </c>
    </row>
    <row r="245" spans="5:43" x14ac:dyDescent="0.2">
      <c r="E245" s="1024" t="str">
        <f t="shared" si="101"/>
        <v/>
      </c>
      <c r="G245" s="1024" t="str">
        <f t="shared" si="97"/>
        <v/>
      </c>
      <c r="I245" s="1024" t="str">
        <f t="shared" si="98"/>
        <v/>
      </c>
      <c r="K245" s="1024" t="str">
        <f t="shared" si="99"/>
        <v/>
      </c>
      <c r="M245" s="1024" t="str">
        <f t="shared" si="100"/>
        <v/>
      </c>
      <c r="O245" s="1024" t="str">
        <f t="shared" si="102"/>
        <v/>
      </c>
      <c r="Q245" s="1024" t="str">
        <f t="shared" si="83"/>
        <v/>
      </c>
      <c r="S245" s="1024" t="str">
        <f t="shared" si="84"/>
        <v/>
      </c>
      <c r="U245" s="1024" t="str">
        <f t="shared" si="85"/>
        <v/>
      </c>
      <c r="W245" s="1024" t="str">
        <f t="shared" si="86"/>
        <v/>
      </c>
      <c r="Y245" s="1024" t="str">
        <f t="shared" si="87"/>
        <v/>
      </c>
      <c r="AA245" s="1024" t="str">
        <f t="shared" si="96"/>
        <v/>
      </c>
      <c r="AC245" s="1024" t="str">
        <f t="shared" si="88"/>
        <v/>
      </c>
      <c r="AE245" s="1024" t="str">
        <f t="shared" si="89"/>
        <v/>
      </c>
      <c r="AG245" s="1024" t="str">
        <f t="shared" si="90"/>
        <v/>
      </c>
      <c r="AI245" s="1024" t="str">
        <f t="shared" si="91"/>
        <v/>
      </c>
      <c r="AK245" s="1024" t="str">
        <f t="shared" si="92"/>
        <v/>
      </c>
      <c r="AM245" s="1024" t="str">
        <f t="shared" si="93"/>
        <v/>
      </c>
      <c r="AO245" s="1024" t="str">
        <f t="shared" si="94"/>
        <v/>
      </c>
      <c r="AQ245" s="1024" t="str">
        <f t="shared" si="95"/>
        <v/>
      </c>
    </row>
    <row r="246" spans="5:43" x14ac:dyDescent="0.2">
      <c r="E246" s="1024" t="str">
        <f t="shared" si="101"/>
        <v/>
      </c>
      <c r="G246" s="1024" t="str">
        <f t="shared" si="97"/>
        <v/>
      </c>
      <c r="I246" s="1024" t="str">
        <f t="shared" si="98"/>
        <v/>
      </c>
      <c r="K246" s="1024" t="str">
        <f t="shared" si="99"/>
        <v/>
      </c>
      <c r="M246" s="1024" t="str">
        <f t="shared" si="100"/>
        <v/>
      </c>
      <c r="O246" s="1024" t="str">
        <f t="shared" si="102"/>
        <v/>
      </c>
      <c r="Q246" s="1024" t="str">
        <f t="shared" si="83"/>
        <v/>
      </c>
      <c r="S246" s="1024" t="str">
        <f t="shared" si="84"/>
        <v/>
      </c>
      <c r="U246" s="1024" t="str">
        <f t="shared" si="85"/>
        <v/>
      </c>
      <c r="W246" s="1024" t="str">
        <f t="shared" si="86"/>
        <v/>
      </c>
      <c r="Y246" s="1024" t="str">
        <f t="shared" si="87"/>
        <v/>
      </c>
      <c r="AA246" s="1024" t="str">
        <f t="shared" si="96"/>
        <v/>
      </c>
      <c r="AC246" s="1024" t="str">
        <f t="shared" si="88"/>
        <v/>
      </c>
      <c r="AE246" s="1024" t="str">
        <f t="shared" si="89"/>
        <v/>
      </c>
      <c r="AG246" s="1024" t="str">
        <f t="shared" si="90"/>
        <v/>
      </c>
      <c r="AI246" s="1024" t="str">
        <f t="shared" si="91"/>
        <v/>
      </c>
      <c r="AK246" s="1024" t="str">
        <f t="shared" si="92"/>
        <v/>
      </c>
      <c r="AM246" s="1024" t="str">
        <f t="shared" si="93"/>
        <v/>
      </c>
      <c r="AO246" s="1024" t="str">
        <f t="shared" si="94"/>
        <v/>
      </c>
      <c r="AQ246" s="1024" t="str">
        <f t="shared" si="95"/>
        <v/>
      </c>
    </row>
    <row r="247" spans="5:43" x14ac:dyDescent="0.2">
      <c r="E247" s="1024" t="str">
        <f t="shared" si="101"/>
        <v/>
      </c>
      <c r="G247" s="1024" t="str">
        <f t="shared" si="97"/>
        <v/>
      </c>
      <c r="I247" s="1024" t="str">
        <f t="shared" si="98"/>
        <v/>
      </c>
      <c r="K247" s="1024" t="str">
        <f t="shared" si="99"/>
        <v/>
      </c>
      <c r="M247" s="1024" t="str">
        <f t="shared" si="100"/>
        <v/>
      </c>
      <c r="O247" s="1024" t="str">
        <f t="shared" si="102"/>
        <v/>
      </c>
      <c r="Q247" s="1024" t="str">
        <f t="shared" si="83"/>
        <v/>
      </c>
      <c r="S247" s="1024" t="str">
        <f t="shared" si="84"/>
        <v/>
      </c>
      <c r="U247" s="1024" t="str">
        <f t="shared" si="85"/>
        <v/>
      </c>
      <c r="W247" s="1024" t="str">
        <f t="shared" si="86"/>
        <v/>
      </c>
      <c r="Y247" s="1024" t="str">
        <f t="shared" si="87"/>
        <v/>
      </c>
      <c r="AA247" s="1024" t="str">
        <f t="shared" si="96"/>
        <v/>
      </c>
      <c r="AC247" s="1024" t="str">
        <f t="shared" si="88"/>
        <v/>
      </c>
      <c r="AE247" s="1024" t="str">
        <f t="shared" si="89"/>
        <v/>
      </c>
      <c r="AG247" s="1024" t="str">
        <f t="shared" si="90"/>
        <v/>
      </c>
      <c r="AI247" s="1024" t="str">
        <f t="shared" si="91"/>
        <v/>
      </c>
      <c r="AK247" s="1024" t="str">
        <f t="shared" si="92"/>
        <v/>
      </c>
      <c r="AM247" s="1024" t="str">
        <f t="shared" si="93"/>
        <v/>
      </c>
      <c r="AO247" s="1024" t="str">
        <f t="shared" si="94"/>
        <v/>
      </c>
      <c r="AQ247" s="1024" t="str">
        <f t="shared" si="95"/>
        <v/>
      </c>
    </row>
    <row r="248" spans="5:43" x14ac:dyDescent="0.2">
      <c r="E248" s="1024" t="str">
        <f t="shared" si="101"/>
        <v/>
      </c>
      <c r="G248" s="1024" t="str">
        <f t="shared" si="97"/>
        <v/>
      </c>
      <c r="I248" s="1024" t="str">
        <f t="shared" si="98"/>
        <v/>
      </c>
      <c r="K248" s="1024" t="str">
        <f t="shared" si="99"/>
        <v/>
      </c>
      <c r="M248" s="1024" t="str">
        <f t="shared" si="100"/>
        <v/>
      </c>
      <c r="O248" s="1024" t="str">
        <f t="shared" si="102"/>
        <v/>
      </c>
      <c r="Q248" s="1024" t="str">
        <f t="shared" si="83"/>
        <v/>
      </c>
      <c r="S248" s="1024" t="str">
        <f t="shared" si="84"/>
        <v/>
      </c>
      <c r="U248" s="1024" t="str">
        <f t="shared" si="85"/>
        <v/>
      </c>
      <c r="W248" s="1024" t="str">
        <f t="shared" si="86"/>
        <v/>
      </c>
      <c r="Y248" s="1024" t="str">
        <f t="shared" si="87"/>
        <v/>
      </c>
      <c r="AA248" s="1024" t="str">
        <f t="shared" si="96"/>
        <v/>
      </c>
      <c r="AC248" s="1024" t="str">
        <f t="shared" si="88"/>
        <v/>
      </c>
      <c r="AE248" s="1024" t="str">
        <f t="shared" si="89"/>
        <v/>
      </c>
      <c r="AG248" s="1024" t="str">
        <f t="shared" si="90"/>
        <v/>
      </c>
      <c r="AI248" s="1024" t="str">
        <f t="shared" si="91"/>
        <v/>
      </c>
      <c r="AK248" s="1024" t="str">
        <f t="shared" si="92"/>
        <v/>
      </c>
      <c r="AM248" s="1024" t="str">
        <f t="shared" si="93"/>
        <v/>
      </c>
      <c r="AO248" s="1024" t="str">
        <f t="shared" si="94"/>
        <v/>
      </c>
      <c r="AQ248" s="1024" t="str">
        <f t="shared" si="95"/>
        <v/>
      </c>
    </row>
    <row r="249" spans="5:43" x14ac:dyDescent="0.2">
      <c r="E249" s="1024" t="str">
        <f t="shared" si="101"/>
        <v/>
      </c>
      <c r="G249" s="1024" t="str">
        <f t="shared" si="97"/>
        <v/>
      </c>
      <c r="I249" s="1024" t="str">
        <f t="shared" si="98"/>
        <v/>
      </c>
      <c r="K249" s="1024" t="str">
        <f t="shared" si="99"/>
        <v/>
      </c>
      <c r="M249" s="1024" t="str">
        <f t="shared" si="100"/>
        <v/>
      </c>
      <c r="O249" s="1024" t="str">
        <f t="shared" si="102"/>
        <v/>
      </c>
      <c r="Q249" s="1024" t="str">
        <f t="shared" si="83"/>
        <v/>
      </c>
      <c r="S249" s="1024" t="str">
        <f t="shared" si="84"/>
        <v/>
      </c>
      <c r="U249" s="1024" t="str">
        <f t="shared" si="85"/>
        <v/>
      </c>
      <c r="W249" s="1024" t="str">
        <f t="shared" si="86"/>
        <v/>
      </c>
      <c r="Y249" s="1024" t="str">
        <f t="shared" si="87"/>
        <v/>
      </c>
      <c r="AA249" s="1024" t="str">
        <f t="shared" si="96"/>
        <v/>
      </c>
      <c r="AC249" s="1024" t="str">
        <f t="shared" si="88"/>
        <v/>
      </c>
      <c r="AE249" s="1024" t="str">
        <f t="shared" si="89"/>
        <v/>
      </c>
      <c r="AG249" s="1024" t="str">
        <f t="shared" si="90"/>
        <v/>
      </c>
      <c r="AI249" s="1024" t="str">
        <f t="shared" si="91"/>
        <v/>
      </c>
      <c r="AK249" s="1024" t="str">
        <f t="shared" si="92"/>
        <v/>
      </c>
      <c r="AM249" s="1024" t="str">
        <f t="shared" si="93"/>
        <v/>
      </c>
      <c r="AO249" s="1024" t="str">
        <f t="shared" si="94"/>
        <v/>
      </c>
      <c r="AQ249" s="1024" t="str">
        <f t="shared" si="95"/>
        <v/>
      </c>
    </row>
    <row r="250" spans="5:43" x14ac:dyDescent="0.2">
      <c r="E250" s="1024" t="str">
        <f t="shared" si="101"/>
        <v/>
      </c>
      <c r="G250" s="1024" t="str">
        <f t="shared" si="97"/>
        <v/>
      </c>
      <c r="I250" s="1024" t="str">
        <f t="shared" si="98"/>
        <v/>
      </c>
      <c r="K250" s="1024" t="str">
        <f t="shared" si="99"/>
        <v/>
      </c>
      <c r="M250" s="1024" t="str">
        <f t="shared" si="100"/>
        <v/>
      </c>
      <c r="O250" s="1024" t="str">
        <f t="shared" si="102"/>
        <v/>
      </c>
      <c r="Q250" s="1024" t="str">
        <f t="shared" si="83"/>
        <v/>
      </c>
      <c r="S250" s="1024" t="str">
        <f t="shared" si="84"/>
        <v/>
      </c>
      <c r="U250" s="1024" t="str">
        <f t="shared" si="85"/>
        <v/>
      </c>
      <c r="W250" s="1024" t="str">
        <f t="shared" si="86"/>
        <v/>
      </c>
      <c r="Y250" s="1024" t="str">
        <f t="shared" si="87"/>
        <v/>
      </c>
      <c r="AA250" s="1024" t="str">
        <f t="shared" si="96"/>
        <v/>
      </c>
      <c r="AC250" s="1024" t="str">
        <f t="shared" si="88"/>
        <v/>
      </c>
      <c r="AE250" s="1024" t="str">
        <f t="shared" si="89"/>
        <v/>
      </c>
      <c r="AG250" s="1024" t="str">
        <f t="shared" si="90"/>
        <v/>
      </c>
      <c r="AI250" s="1024" t="str">
        <f t="shared" si="91"/>
        <v/>
      </c>
      <c r="AK250" s="1024" t="str">
        <f t="shared" si="92"/>
        <v/>
      </c>
      <c r="AM250" s="1024" t="str">
        <f t="shared" si="93"/>
        <v/>
      </c>
      <c r="AO250" s="1024" t="str">
        <f t="shared" si="94"/>
        <v/>
      </c>
      <c r="AQ250" s="1024" t="str">
        <f t="shared" si="95"/>
        <v/>
      </c>
    </row>
    <row r="251" spans="5:43" x14ac:dyDescent="0.2">
      <c r="E251" s="1024" t="str">
        <f t="shared" si="101"/>
        <v/>
      </c>
      <c r="G251" s="1024" t="str">
        <f t="shared" si="97"/>
        <v/>
      </c>
      <c r="I251" s="1024" t="str">
        <f t="shared" si="98"/>
        <v/>
      </c>
      <c r="K251" s="1024" t="str">
        <f t="shared" si="99"/>
        <v/>
      </c>
      <c r="M251" s="1024" t="str">
        <f t="shared" si="100"/>
        <v/>
      </c>
      <c r="O251" s="1024" t="str">
        <f t="shared" si="102"/>
        <v/>
      </c>
      <c r="Q251" s="1024" t="str">
        <f t="shared" si="83"/>
        <v/>
      </c>
      <c r="S251" s="1024" t="str">
        <f t="shared" si="84"/>
        <v/>
      </c>
      <c r="U251" s="1024" t="str">
        <f t="shared" si="85"/>
        <v/>
      </c>
      <c r="W251" s="1024" t="str">
        <f t="shared" si="86"/>
        <v/>
      </c>
      <c r="Y251" s="1024" t="str">
        <f t="shared" si="87"/>
        <v/>
      </c>
      <c r="AA251" s="1024" t="str">
        <f t="shared" si="96"/>
        <v/>
      </c>
      <c r="AC251" s="1024" t="str">
        <f t="shared" si="88"/>
        <v/>
      </c>
      <c r="AE251" s="1024" t="str">
        <f t="shared" si="89"/>
        <v/>
      </c>
      <c r="AG251" s="1024" t="str">
        <f t="shared" si="90"/>
        <v/>
      </c>
      <c r="AI251" s="1024" t="str">
        <f t="shared" si="91"/>
        <v/>
      </c>
      <c r="AK251" s="1024" t="str">
        <f t="shared" si="92"/>
        <v/>
      </c>
      <c r="AM251" s="1024" t="str">
        <f t="shared" si="93"/>
        <v/>
      </c>
      <c r="AO251" s="1024" t="str">
        <f t="shared" si="94"/>
        <v/>
      </c>
      <c r="AQ251" s="1024" t="str">
        <f t="shared" si="95"/>
        <v/>
      </c>
    </row>
    <row r="252" spans="5:43" x14ac:dyDescent="0.2">
      <c r="E252" s="1024" t="str">
        <f t="shared" si="101"/>
        <v/>
      </c>
      <c r="G252" s="1024" t="str">
        <f t="shared" si="97"/>
        <v/>
      </c>
      <c r="I252" s="1024" t="str">
        <f t="shared" si="98"/>
        <v/>
      </c>
      <c r="K252" s="1024" t="str">
        <f t="shared" si="99"/>
        <v/>
      </c>
      <c r="M252" s="1024" t="str">
        <f t="shared" si="100"/>
        <v/>
      </c>
      <c r="O252" s="1024" t="str">
        <f t="shared" si="102"/>
        <v/>
      </c>
      <c r="Q252" s="1024" t="str">
        <f t="shared" si="83"/>
        <v/>
      </c>
      <c r="S252" s="1024" t="str">
        <f t="shared" si="84"/>
        <v/>
      </c>
      <c r="U252" s="1024" t="str">
        <f t="shared" si="85"/>
        <v/>
      </c>
      <c r="W252" s="1024" t="str">
        <f t="shared" si="86"/>
        <v/>
      </c>
      <c r="Y252" s="1024" t="str">
        <f t="shared" si="87"/>
        <v/>
      </c>
      <c r="AA252" s="1024" t="str">
        <f t="shared" si="96"/>
        <v/>
      </c>
      <c r="AC252" s="1024" t="str">
        <f t="shared" si="88"/>
        <v/>
      </c>
      <c r="AE252" s="1024" t="str">
        <f t="shared" si="89"/>
        <v/>
      </c>
      <c r="AG252" s="1024" t="str">
        <f t="shared" si="90"/>
        <v/>
      </c>
      <c r="AI252" s="1024" t="str">
        <f t="shared" si="91"/>
        <v/>
      </c>
      <c r="AK252" s="1024" t="str">
        <f t="shared" si="92"/>
        <v/>
      </c>
      <c r="AM252" s="1024" t="str">
        <f t="shared" si="93"/>
        <v/>
      </c>
      <c r="AO252" s="1024" t="str">
        <f t="shared" si="94"/>
        <v/>
      </c>
      <c r="AQ252" s="1024" t="str">
        <f t="shared" si="95"/>
        <v/>
      </c>
    </row>
    <row r="253" spans="5:43" x14ac:dyDescent="0.2">
      <c r="E253" s="1024" t="str">
        <f t="shared" si="101"/>
        <v/>
      </c>
      <c r="G253" s="1024" t="str">
        <f t="shared" si="97"/>
        <v/>
      </c>
      <c r="I253" s="1024" t="str">
        <f t="shared" si="98"/>
        <v/>
      </c>
      <c r="K253" s="1024" t="str">
        <f t="shared" si="99"/>
        <v/>
      </c>
      <c r="M253" s="1024" t="str">
        <f t="shared" si="100"/>
        <v/>
      </c>
      <c r="O253" s="1024" t="str">
        <f t="shared" si="102"/>
        <v/>
      </c>
      <c r="Q253" s="1024" t="str">
        <f t="shared" si="83"/>
        <v/>
      </c>
      <c r="S253" s="1024" t="str">
        <f t="shared" si="84"/>
        <v/>
      </c>
      <c r="U253" s="1024" t="str">
        <f t="shared" si="85"/>
        <v/>
      </c>
      <c r="W253" s="1024" t="str">
        <f t="shared" si="86"/>
        <v/>
      </c>
      <c r="Y253" s="1024" t="str">
        <f t="shared" si="87"/>
        <v/>
      </c>
      <c r="AA253" s="1024" t="str">
        <f t="shared" si="96"/>
        <v/>
      </c>
      <c r="AC253" s="1024" t="str">
        <f t="shared" si="88"/>
        <v/>
      </c>
      <c r="AE253" s="1024" t="str">
        <f t="shared" si="89"/>
        <v/>
      </c>
      <c r="AG253" s="1024" t="str">
        <f t="shared" si="90"/>
        <v/>
      </c>
      <c r="AI253" s="1024" t="str">
        <f t="shared" si="91"/>
        <v/>
      </c>
      <c r="AK253" s="1024" t="str">
        <f t="shared" si="92"/>
        <v/>
      </c>
      <c r="AM253" s="1024" t="str">
        <f t="shared" si="93"/>
        <v/>
      </c>
      <c r="AO253" s="1024" t="str">
        <f t="shared" si="94"/>
        <v/>
      </c>
      <c r="AQ253" s="1024" t="str">
        <f t="shared" si="95"/>
        <v/>
      </c>
    </row>
    <row r="254" spans="5:43" x14ac:dyDescent="0.2">
      <c r="E254" s="1024" t="str">
        <f t="shared" si="101"/>
        <v/>
      </c>
      <c r="G254" s="1024" t="str">
        <f t="shared" si="97"/>
        <v/>
      </c>
      <c r="I254" s="1024" t="str">
        <f t="shared" si="98"/>
        <v/>
      </c>
      <c r="K254" s="1024" t="str">
        <f t="shared" si="99"/>
        <v/>
      </c>
      <c r="M254" s="1024" t="str">
        <f t="shared" si="100"/>
        <v/>
      </c>
      <c r="O254" s="1024" t="str">
        <f t="shared" si="102"/>
        <v/>
      </c>
      <c r="Q254" s="1024" t="str">
        <f t="shared" si="83"/>
        <v/>
      </c>
      <c r="S254" s="1024" t="str">
        <f t="shared" si="84"/>
        <v/>
      </c>
      <c r="U254" s="1024" t="str">
        <f t="shared" si="85"/>
        <v/>
      </c>
      <c r="W254" s="1024" t="str">
        <f t="shared" si="86"/>
        <v/>
      </c>
      <c r="Y254" s="1024" t="str">
        <f t="shared" si="87"/>
        <v/>
      </c>
      <c r="AA254" s="1024" t="str">
        <f t="shared" si="96"/>
        <v/>
      </c>
      <c r="AC254" s="1024" t="str">
        <f t="shared" si="88"/>
        <v/>
      </c>
      <c r="AE254" s="1024" t="str">
        <f t="shared" si="89"/>
        <v/>
      </c>
      <c r="AG254" s="1024" t="str">
        <f t="shared" si="90"/>
        <v/>
      </c>
      <c r="AI254" s="1024" t="str">
        <f t="shared" si="91"/>
        <v/>
      </c>
      <c r="AK254" s="1024" t="str">
        <f t="shared" si="92"/>
        <v/>
      </c>
      <c r="AM254" s="1024" t="str">
        <f t="shared" si="93"/>
        <v/>
      </c>
      <c r="AO254" s="1024" t="str">
        <f t="shared" si="94"/>
        <v/>
      </c>
      <c r="AQ254" s="1024" t="str">
        <f t="shared" si="95"/>
        <v/>
      </c>
    </row>
    <row r="255" spans="5:43" x14ac:dyDescent="0.2">
      <c r="E255" s="1024" t="str">
        <f t="shared" si="101"/>
        <v/>
      </c>
      <c r="G255" s="1024" t="str">
        <f t="shared" si="97"/>
        <v/>
      </c>
      <c r="I255" s="1024" t="str">
        <f t="shared" si="98"/>
        <v/>
      </c>
      <c r="K255" s="1024" t="str">
        <f t="shared" si="99"/>
        <v/>
      </c>
      <c r="M255" s="1024" t="str">
        <f t="shared" si="100"/>
        <v/>
      </c>
      <c r="O255" s="1024" t="str">
        <f t="shared" si="102"/>
        <v/>
      </c>
      <c r="Q255" s="1024" t="str">
        <f t="shared" si="83"/>
        <v/>
      </c>
      <c r="S255" s="1024" t="str">
        <f t="shared" si="84"/>
        <v/>
      </c>
      <c r="U255" s="1024" t="str">
        <f t="shared" si="85"/>
        <v/>
      </c>
      <c r="W255" s="1024" t="str">
        <f t="shared" si="86"/>
        <v/>
      </c>
      <c r="Y255" s="1024" t="str">
        <f t="shared" si="87"/>
        <v/>
      </c>
      <c r="AA255" s="1024" t="str">
        <f t="shared" si="96"/>
        <v/>
      </c>
      <c r="AC255" s="1024" t="str">
        <f t="shared" si="88"/>
        <v/>
      </c>
      <c r="AE255" s="1024" t="str">
        <f t="shared" si="89"/>
        <v/>
      </c>
      <c r="AG255" s="1024" t="str">
        <f t="shared" si="90"/>
        <v/>
      </c>
      <c r="AI255" s="1024" t="str">
        <f t="shared" si="91"/>
        <v/>
      </c>
      <c r="AK255" s="1024" t="str">
        <f t="shared" si="92"/>
        <v/>
      </c>
      <c r="AM255" s="1024" t="str">
        <f t="shared" si="93"/>
        <v/>
      </c>
      <c r="AO255" s="1024" t="str">
        <f t="shared" si="94"/>
        <v/>
      </c>
      <c r="AQ255" s="1024" t="str">
        <f t="shared" si="95"/>
        <v/>
      </c>
    </row>
    <row r="256" spans="5:43" x14ac:dyDescent="0.2">
      <c r="E256" s="1024" t="str">
        <f t="shared" si="101"/>
        <v/>
      </c>
      <c r="G256" s="1024" t="str">
        <f t="shared" si="97"/>
        <v/>
      </c>
      <c r="I256" s="1024" t="str">
        <f t="shared" si="98"/>
        <v/>
      </c>
      <c r="K256" s="1024" t="str">
        <f t="shared" si="99"/>
        <v/>
      </c>
      <c r="M256" s="1024" t="str">
        <f t="shared" si="100"/>
        <v/>
      </c>
      <c r="O256" s="1024" t="str">
        <f t="shared" si="102"/>
        <v/>
      </c>
      <c r="Q256" s="1024" t="str">
        <f t="shared" si="83"/>
        <v/>
      </c>
      <c r="S256" s="1024" t="str">
        <f t="shared" si="84"/>
        <v/>
      </c>
      <c r="U256" s="1024" t="str">
        <f t="shared" si="85"/>
        <v/>
      </c>
      <c r="W256" s="1024" t="str">
        <f t="shared" si="86"/>
        <v/>
      </c>
      <c r="Y256" s="1024" t="str">
        <f t="shared" si="87"/>
        <v/>
      </c>
      <c r="AA256" s="1024" t="str">
        <f t="shared" si="96"/>
        <v/>
      </c>
      <c r="AC256" s="1024" t="str">
        <f t="shared" si="88"/>
        <v/>
      </c>
      <c r="AE256" s="1024" t="str">
        <f t="shared" si="89"/>
        <v/>
      </c>
      <c r="AG256" s="1024" t="str">
        <f t="shared" si="90"/>
        <v/>
      </c>
      <c r="AI256" s="1024" t="str">
        <f t="shared" si="91"/>
        <v/>
      </c>
      <c r="AK256" s="1024" t="str">
        <f t="shared" si="92"/>
        <v/>
      </c>
      <c r="AM256" s="1024" t="str">
        <f t="shared" si="93"/>
        <v/>
      </c>
      <c r="AO256" s="1024" t="str">
        <f t="shared" si="94"/>
        <v/>
      </c>
      <c r="AQ256" s="1024" t="str">
        <f t="shared" si="95"/>
        <v/>
      </c>
    </row>
    <row r="257" spans="5:43" x14ac:dyDescent="0.2">
      <c r="E257" s="1024" t="str">
        <f t="shared" si="101"/>
        <v/>
      </c>
      <c r="G257" s="1024" t="str">
        <f t="shared" si="97"/>
        <v/>
      </c>
      <c r="I257" s="1024" t="str">
        <f t="shared" si="98"/>
        <v/>
      </c>
      <c r="K257" s="1024" t="str">
        <f t="shared" si="99"/>
        <v/>
      </c>
      <c r="M257" s="1024" t="str">
        <f t="shared" si="100"/>
        <v/>
      </c>
      <c r="O257" s="1024" t="str">
        <f t="shared" si="102"/>
        <v/>
      </c>
      <c r="Q257" s="1024" t="str">
        <f t="shared" si="83"/>
        <v/>
      </c>
      <c r="S257" s="1024" t="str">
        <f t="shared" si="84"/>
        <v/>
      </c>
      <c r="U257" s="1024" t="str">
        <f t="shared" si="85"/>
        <v/>
      </c>
      <c r="W257" s="1024" t="str">
        <f t="shared" si="86"/>
        <v/>
      </c>
      <c r="Y257" s="1024" t="str">
        <f t="shared" si="87"/>
        <v/>
      </c>
      <c r="AA257" s="1024" t="str">
        <f t="shared" si="96"/>
        <v/>
      </c>
      <c r="AC257" s="1024" t="str">
        <f t="shared" si="88"/>
        <v/>
      </c>
      <c r="AE257" s="1024" t="str">
        <f t="shared" si="89"/>
        <v/>
      </c>
      <c r="AG257" s="1024" t="str">
        <f t="shared" si="90"/>
        <v/>
      </c>
      <c r="AI257" s="1024" t="str">
        <f t="shared" si="91"/>
        <v/>
      </c>
      <c r="AK257" s="1024" t="str">
        <f t="shared" si="92"/>
        <v/>
      </c>
      <c r="AM257" s="1024" t="str">
        <f t="shared" si="93"/>
        <v/>
      </c>
      <c r="AO257" s="1024" t="str">
        <f t="shared" si="94"/>
        <v/>
      </c>
      <c r="AQ257" s="1024" t="str">
        <f t="shared" si="95"/>
        <v/>
      </c>
    </row>
    <row r="258" spans="5:43" x14ac:dyDescent="0.2">
      <c r="E258" s="1024" t="str">
        <f t="shared" si="101"/>
        <v/>
      </c>
      <c r="G258" s="1024" t="str">
        <f t="shared" si="97"/>
        <v/>
      </c>
      <c r="I258" s="1024" t="str">
        <f t="shared" si="98"/>
        <v/>
      </c>
      <c r="K258" s="1024" t="str">
        <f t="shared" si="99"/>
        <v/>
      </c>
      <c r="M258" s="1024" t="str">
        <f t="shared" si="100"/>
        <v/>
      </c>
      <c r="O258" s="1024" t="str">
        <f t="shared" si="102"/>
        <v/>
      </c>
      <c r="Q258" s="1024" t="str">
        <f t="shared" si="83"/>
        <v/>
      </c>
      <c r="S258" s="1024" t="str">
        <f t="shared" si="84"/>
        <v/>
      </c>
      <c r="U258" s="1024" t="str">
        <f t="shared" si="85"/>
        <v/>
      </c>
      <c r="W258" s="1024" t="str">
        <f t="shared" si="86"/>
        <v/>
      </c>
      <c r="Y258" s="1024" t="str">
        <f t="shared" si="87"/>
        <v/>
      </c>
      <c r="AA258" s="1024" t="str">
        <f t="shared" si="96"/>
        <v/>
      </c>
      <c r="AC258" s="1024" t="str">
        <f t="shared" si="88"/>
        <v/>
      </c>
      <c r="AE258" s="1024" t="str">
        <f t="shared" si="89"/>
        <v/>
      </c>
      <c r="AG258" s="1024" t="str">
        <f t="shared" si="90"/>
        <v/>
      </c>
      <c r="AI258" s="1024" t="str">
        <f t="shared" si="91"/>
        <v/>
      </c>
      <c r="AK258" s="1024" t="str">
        <f t="shared" si="92"/>
        <v/>
      </c>
      <c r="AM258" s="1024" t="str">
        <f t="shared" si="93"/>
        <v/>
      </c>
      <c r="AO258" s="1024" t="str">
        <f t="shared" si="94"/>
        <v/>
      </c>
      <c r="AQ258" s="1024" t="str">
        <f t="shared" si="95"/>
        <v/>
      </c>
    </row>
    <row r="259" spans="5:43" x14ac:dyDescent="0.2">
      <c r="E259" s="1024" t="str">
        <f t="shared" si="101"/>
        <v/>
      </c>
      <c r="G259" s="1024" t="str">
        <f t="shared" si="97"/>
        <v/>
      </c>
      <c r="I259" s="1024" t="str">
        <f t="shared" si="98"/>
        <v/>
      </c>
      <c r="K259" s="1024" t="str">
        <f t="shared" si="99"/>
        <v/>
      </c>
      <c r="M259" s="1024" t="str">
        <f t="shared" si="100"/>
        <v/>
      </c>
      <c r="O259" s="1024" t="str">
        <f t="shared" si="102"/>
        <v/>
      </c>
      <c r="Q259" s="1024" t="str">
        <f t="shared" si="83"/>
        <v/>
      </c>
      <c r="S259" s="1024" t="str">
        <f t="shared" si="84"/>
        <v/>
      </c>
      <c r="U259" s="1024" t="str">
        <f t="shared" si="85"/>
        <v/>
      </c>
      <c r="W259" s="1024" t="str">
        <f t="shared" si="86"/>
        <v/>
      </c>
      <c r="Y259" s="1024" t="str">
        <f t="shared" si="87"/>
        <v/>
      </c>
      <c r="AA259" s="1024" t="str">
        <f t="shared" si="96"/>
        <v/>
      </c>
      <c r="AC259" s="1024" t="str">
        <f t="shared" si="88"/>
        <v/>
      </c>
      <c r="AE259" s="1024" t="str">
        <f t="shared" si="89"/>
        <v/>
      </c>
      <c r="AG259" s="1024" t="str">
        <f t="shared" si="90"/>
        <v/>
      </c>
      <c r="AI259" s="1024" t="str">
        <f t="shared" si="91"/>
        <v/>
      </c>
      <c r="AK259" s="1024" t="str">
        <f t="shared" si="92"/>
        <v/>
      </c>
      <c r="AM259" s="1024" t="str">
        <f t="shared" si="93"/>
        <v/>
      </c>
      <c r="AO259" s="1024" t="str">
        <f t="shared" si="94"/>
        <v/>
      </c>
      <c r="AQ259" s="1024" t="str">
        <f t="shared" si="95"/>
        <v/>
      </c>
    </row>
    <row r="260" spans="5:43" x14ac:dyDescent="0.2">
      <c r="E260" s="1024" t="str">
        <f t="shared" si="101"/>
        <v/>
      </c>
      <c r="G260" s="1024" t="str">
        <f t="shared" si="97"/>
        <v/>
      </c>
      <c r="I260" s="1024" t="str">
        <f t="shared" si="98"/>
        <v/>
      </c>
      <c r="K260" s="1024" t="str">
        <f t="shared" si="99"/>
        <v/>
      </c>
      <c r="M260" s="1024" t="str">
        <f t="shared" si="100"/>
        <v/>
      </c>
      <c r="O260" s="1024" t="str">
        <f t="shared" si="102"/>
        <v/>
      </c>
      <c r="Q260" s="1024" t="str">
        <f t="shared" si="83"/>
        <v/>
      </c>
      <c r="S260" s="1024" t="str">
        <f t="shared" si="84"/>
        <v/>
      </c>
      <c r="U260" s="1024" t="str">
        <f t="shared" si="85"/>
        <v/>
      </c>
      <c r="W260" s="1024" t="str">
        <f t="shared" si="86"/>
        <v/>
      </c>
      <c r="Y260" s="1024" t="str">
        <f t="shared" si="87"/>
        <v/>
      </c>
      <c r="AA260" s="1024" t="str">
        <f t="shared" si="96"/>
        <v/>
      </c>
      <c r="AC260" s="1024" t="str">
        <f t="shared" si="88"/>
        <v/>
      </c>
      <c r="AE260" s="1024" t="str">
        <f t="shared" si="89"/>
        <v/>
      </c>
      <c r="AG260" s="1024" t="str">
        <f t="shared" si="90"/>
        <v/>
      </c>
      <c r="AI260" s="1024" t="str">
        <f t="shared" si="91"/>
        <v/>
      </c>
      <c r="AK260" s="1024" t="str">
        <f t="shared" si="92"/>
        <v/>
      </c>
      <c r="AM260" s="1024" t="str">
        <f t="shared" si="93"/>
        <v/>
      </c>
      <c r="AO260" s="1024" t="str">
        <f t="shared" si="94"/>
        <v/>
      </c>
      <c r="AQ260" s="1024" t="str">
        <f t="shared" si="95"/>
        <v/>
      </c>
    </row>
    <row r="261" spans="5:43" x14ac:dyDescent="0.2">
      <c r="E261" s="1024" t="str">
        <f t="shared" si="101"/>
        <v/>
      </c>
      <c r="G261" s="1024" t="str">
        <f t="shared" si="97"/>
        <v/>
      </c>
      <c r="I261" s="1024" t="str">
        <f t="shared" si="98"/>
        <v/>
      </c>
      <c r="K261" s="1024" t="str">
        <f t="shared" si="99"/>
        <v/>
      </c>
      <c r="M261" s="1024" t="str">
        <f t="shared" si="100"/>
        <v/>
      </c>
      <c r="O261" s="1024" t="str">
        <f t="shared" si="102"/>
        <v/>
      </c>
      <c r="Q261" s="1024" t="str">
        <f t="shared" si="83"/>
        <v/>
      </c>
      <c r="S261" s="1024" t="str">
        <f t="shared" si="84"/>
        <v/>
      </c>
      <c r="U261" s="1024" t="str">
        <f t="shared" si="85"/>
        <v/>
      </c>
      <c r="W261" s="1024" t="str">
        <f t="shared" si="86"/>
        <v/>
      </c>
      <c r="Y261" s="1024" t="str">
        <f t="shared" si="87"/>
        <v/>
      </c>
      <c r="AA261" s="1024" t="str">
        <f t="shared" si="96"/>
        <v/>
      </c>
      <c r="AC261" s="1024" t="str">
        <f t="shared" si="88"/>
        <v/>
      </c>
      <c r="AE261" s="1024" t="str">
        <f t="shared" si="89"/>
        <v/>
      </c>
      <c r="AG261" s="1024" t="str">
        <f t="shared" si="90"/>
        <v/>
      </c>
      <c r="AI261" s="1024" t="str">
        <f t="shared" si="91"/>
        <v/>
      </c>
      <c r="AK261" s="1024" t="str">
        <f t="shared" si="92"/>
        <v/>
      </c>
      <c r="AM261" s="1024" t="str">
        <f t="shared" si="93"/>
        <v/>
      </c>
      <c r="AO261" s="1024" t="str">
        <f t="shared" si="94"/>
        <v/>
      </c>
      <c r="AQ261" s="1024" t="str">
        <f t="shared" si="95"/>
        <v/>
      </c>
    </row>
    <row r="262" spans="5:43" x14ac:dyDescent="0.2">
      <c r="E262" s="1024" t="str">
        <f t="shared" si="101"/>
        <v/>
      </c>
      <c r="G262" s="1024" t="str">
        <f t="shared" si="97"/>
        <v/>
      </c>
      <c r="I262" s="1024" t="str">
        <f t="shared" si="98"/>
        <v/>
      </c>
      <c r="K262" s="1024" t="str">
        <f t="shared" si="99"/>
        <v/>
      </c>
      <c r="M262" s="1024" t="str">
        <f t="shared" si="100"/>
        <v/>
      </c>
      <c r="O262" s="1024" t="str">
        <f t="shared" si="102"/>
        <v/>
      </c>
      <c r="Q262" s="1024" t="str">
        <f t="shared" si="83"/>
        <v/>
      </c>
      <c r="S262" s="1024" t="str">
        <f t="shared" si="84"/>
        <v/>
      </c>
      <c r="U262" s="1024" t="str">
        <f t="shared" si="85"/>
        <v/>
      </c>
      <c r="W262" s="1024" t="str">
        <f t="shared" si="86"/>
        <v/>
      </c>
      <c r="Y262" s="1024" t="str">
        <f t="shared" si="87"/>
        <v/>
      </c>
      <c r="AA262" s="1024" t="str">
        <f t="shared" si="96"/>
        <v/>
      </c>
      <c r="AC262" s="1024" t="str">
        <f t="shared" si="88"/>
        <v/>
      </c>
      <c r="AE262" s="1024" t="str">
        <f t="shared" si="89"/>
        <v/>
      </c>
      <c r="AG262" s="1024" t="str">
        <f t="shared" si="90"/>
        <v/>
      </c>
      <c r="AI262" s="1024" t="str">
        <f t="shared" si="91"/>
        <v/>
      </c>
      <c r="AK262" s="1024" t="str">
        <f t="shared" si="92"/>
        <v/>
      </c>
      <c r="AM262" s="1024" t="str">
        <f t="shared" si="93"/>
        <v/>
      </c>
      <c r="AO262" s="1024" t="str">
        <f t="shared" si="94"/>
        <v/>
      </c>
      <c r="AQ262" s="1024" t="str">
        <f t="shared" si="95"/>
        <v/>
      </c>
    </row>
    <row r="263" spans="5:43" x14ac:dyDescent="0.2">
      <c r="E263" s="1024" t="str">
        <f t="shared" si="101"/>
        <v/>
      </c>
      <c r="G263" s="1024" t="str">
        <f t="shared" si="97"/>
        <v/>
      </c>
      <c r="I263" s="1024" t="str">
        <f t="shared" si="98"/>
        <v/>
      </c>
      <c r="K263" s="1024" t="str">
        <f t="shared" si="99"/>
        <v/>
      </c>
      <c r="M263" s="1024" t="str">
        <f t="shared" si="100"/>
        <v/>
      </c>
      <c r="O263" s="1024" t="str">
        <f t="shared" si="102"/>
        <v/>
      </c>
      <c r="Q263" s="1024" t="str">
        <f t="shared" si="83"/>
        <v/>
      </c>
      <c r="S263" s="1024" t="str">
        <f t="shared" si="84"/>
        <v/>
      </c>
      <c r="U263" s="1024" t="str">
        <f t="shared" si="85"/>
        <v/>
      </c>
      <c r="W263" s="1024" t="str">
        <f t="shared" si="86"/>
        <v/>
      </c>
      <c r="Y263" s="1024" t="str">
        <f t="shared" si="87"/>
        <v/>
      </c>
      <c r="AA263" s="1024" t="str">
        <f t="shared" si="96"/>
        <v/>
      </c>
      <c r="AC263" s="1024" t="str">
        <f t="shared" si="88"/>
        <v/>
      </c>
      <c r="AE263" s="1024" t="str">
        <f t="shared" si="89"/>
        <v/>
      </c>
      <c r="AG263" s="1024" t="str">
        <f t="shared" si="90"/>
        <v/>
      </c>
      <c r="AI263" s="1024" t="str">
        <f t="shared" si="91"/>
        <v/>
      </c>
      <c r="AK263" s="1024" t="str">
        <f t="shared" si="92"/>
        <v/>
      </c>
      <c r="AM263" s="1024" t="str">
        <f t="shared" si="93"/>
        <v/>
      </c>
      <c r="AO263" s="1024" t="str">
        <f t="shared" si="94"/>
        <v/>
      </c>
      <c r="AQ263" s="1024" t="str">
        <f t="shared" si="95"/>
        <v/>
      </c>
    </row>
    <row r="264" spans="5:43" x14ac:dyDescent="0.2">
      <c r="E264" s="1024" t="str">
        <f t="shared" si="101"/>
        <v/>
      </c>
      <c r="G264" s="1024" t="str">
        <f t="shared" si="97"/>
        <v/>
      </c>
      <c r="I264" s="1024" t="str">
        <f t="shared" si="98"/>
        <v/>
      </c>
      <c r="K264" s="1024" t="str">
        <f t="shared" si="99"/>
        <v/>
      </c>
      <c r="M264" s="1024" t="str">
        <f t="shared" si="100"/>
        <v/>
      </c>
      <c r="O264" s="1024" t="str">
        <f t="shared" si="102"/>
        <v/>
      </c>
      <c r="Q264" s="1024" t="str">
        <f t="shared" si="83"/>
        <v/>
      </c>
      <c r="S264" s="1024" t="str">
        <f t="shared" si="84"/>
        <v/>
      </c>
      <c r="U264" s="1024" t="str">
        <f t="shared" si="85"/>
        <v/>
      </c>
      <c r="W264" s="1024" t="str">
        <f t="shared" si="86"/>
        <v/>
      </c>
      <c r="Y264" s="1024" t="str">
        <f t="shared" si="87"/>
        <v/>
      </c>
      <c r="AA264" s="1024" t="str">
        <f t="shared" si="96"/>
        <v/>
      </c>
      <c r="AC264" s="1024" t="str">
        <f t="shared" si="88"/>
        <v/>
      </c>
      <c r="AE264" s="1024" t="str">
        <f t="shared" si="89"/>
        <v/>
      </c>
      <c r="AG264" s="1024" t="str">
        <f t="shared" si="90"/>
        <v/>
      </c>
      <c r="AI264" s="1024" t="str">
        <f t="shared" si="91"/>
        <v/>
      </c>
      <c r="AK264" s="1024" t="str">
        <f t="shared" si="92"/>
        <v/>
      </c>
      <c r="AM264" s="1024" t="str">
        <f t="shared" si="93"/>
        <v/>
      </c>
      <c r="AO264" s="1024" t="str">
        <f t="shared" si="94"/>
        <v/>
      </c>
      <c r="AQ264" s="1024" t="str">
        <f t="shared" si="95"/>
        <v/>
      </c>
    </row>
    <row r="265" spans="5:43" x14ac:dyDescent="0.2">
      <c r="E265" s="1024" t="str">
        <f t="shared" si="101"/>
        <v/>
      </c>
      <c r="G265" s="1024" t="str">
        <f t="shared" si="97"/>
        <v/>
      </c>
      <c r="I265" s="1024" t="str">
        <f t="shared" si="98"/>
        <v/>
      </c>
      <c r="K265" s="1024" t="str">
        <f t="shared" si="99"/>
        <v/>
      </c>
      <c r="M265" s="1024" t="str">
        <f t="shared" si="100"/>
        <v/>
      </c>
      <c r="O265" s="1024" t="str">
        <f t="shared" si="102"/>
        <v/>
      </c>
      <c r="Q265" s="1024" t="str">
        <f t="shared" si="83"/>
        <v/>
      </c>
      <c r="S265" s="1024" t="str">
        <f t="shared" si="84"/>
        <v/>
      </c>
      <c r="U265" s="1024" t="str">
        <f t="shared" si="85"/>
        <v/>
      </c>
      <c r="W265" s="1024" t="str">
        <f t="shared" si="86"/>
        <v/>
      </c>
      <c r="Y265" s="1024" t="str">
        <f t="shared" si="87"/>
        <v/>
      </c>
      <c r="AA265" s="1024" t="str">
        <f t="shared" si="96"/>
        <v/>
      </c>
      <c r="AC265" s="1024" t="str">
        <f t="shared" si="88"/>
        <v/>
      </c>
      <c r="AE265" s="1024" t="str">
        <f t="shared" si="89"/>
        <v/>
      </c>
      <c r="AG265" s="1024" t="str">
        <f t="shared" si="90"/>
        <v/>
      </c>
      <c r="AI265" s="1024" t="str">
        <f t="shared" si="91"/>
        <v/>
      </c>
      <c r="AK265" s="1024" t="str">
        <f t="shared" si="92"/>
        <v/>
      </c>
      <c r="AM265" s="1024" t="str">
        <f t="shared" si="93"/>
        <v/>
      </c>
      <c r="AO265" s="1024" t="str">
        <f t="shared" si="94"/>
        <v/>
      </c>
      <c r="AQ265" s="1024" t="str">
        <f t="shared" si="95"/>
        <v/>
      </c>
    </row>
    <row r="266" spans="5:43" x14ac:dyDescent="0.2">
      <c r="E266" s="1024" t="str">
        <f t="shared" si="101"/>
        <v/>
      </c>
      <c r="G266" s="1024" t="str">
        <f t="shared" si="97"/>
        <v/>
      </c>
      <c r="I266" s="1024" t="str">
        <f t="shared" si="98"/>
        <v/>
      </c>
      <c r="K266" s="1024" t="str">
        <f t="shared" si="99"/>
        <v/>
      </c>
      <c r="M266" s="1024" t="str">
        <f t="shared" si="100"/>
        <v/>
      </c>
      <c r="O266" s="1024" t="str">
        <f t="shared" si="102"/>
        <v/>
      </c>
      <c r="Q266" s="1024" t="str">
        <f t="shared" si="83"/>
        <v/>
      </c>
      <c r="S266" s="1024" t="str">
        <f t="shared" si="84"/>
        <v/>
      </c>
      <c r="U266" s="1024" t="str">
        <f t="shared" si="85"/>
        <v/>
      </c>
      <c r="W266" s="1024" t="str">
        <f t="shared" si="86"/>
        <v/>
      </c>
      <c r="Y266" s="1024" t="str">
        <f t="shared" si="87"/>
        <v/>
      </c>
      <c r="AA266" s="1024" t="str">
        <f t="shared" si="96"/>
        <v/>
      </c>
      <c r="AC266" s="1024" t="str">
        <f t="shared" si="88"/>
        <v/>
      </c>
      <c r="AE266" s="1024" t="str">
        <f t="shared" si="89"/>
        <v/>
      </c>
      <c r="AG266" s="1024" t="str">
        <f t="shared" si="90"/>
        <v/>
      </c>
      <c r="AI266" s="1024" t="str">
        <f t="shared" si="91"/>
        <v/>
      </c>
      <c r="AK266" s="1024" t="str">
        <f t="shared" si="92"/>
        <v/>
      </c>
      <c r="AM266" s="1024" t="str">
        <f t="shared" si="93"/>
        <v/>
      </c>
      <c r="AO266" s="1024" t="str">
        <f t="shared" si="94"/>
        <v/>
      </c>
      <c r="AQ266" s="1024" t="str">
        <f t="shared" si="95"/>
        <v/>
      </c>
    </row>
    <row r="267" spans="5:43" x14ac:dyDescent="0.2">
      <c r="E267" s="1024" t="str">
        <f t="shared" si="101"/>
        <v/>
      </c>
      <c r="G267" s="1024" t="str">
        <f t="shared" si="97"/>
        <v/>
      </c>
      <c r="I267" s="1024" t="str">
        <f t="shared" si="98"/>
        <v/>
      </c>
      <c r="K267" s="1024" t="str">
        <f t="shared" si="99"/>
        <v/>
      </c>
      <c r="M267" s="1024" t="str">
        <f t="shared" si="100"/>
        <v/>
      </c>
      <c r="O267" s="1024" t="str">
        <f t="shared" si="102"/>
        <v/>
      </c>
      <c r="Q267" s="1024" t="str">
        <f t="shared" si="83"/>
        <v/>
      </c>
      <c r="S267" s="1024" t="str">
        <f t="shared" si="84"/>
        <v/>
      </c>
      <c r="U267" s="1024" t="str">
        <f t="shared" si="85"/>
        <v/>
      </c>
      <c r="W267" s="1024" t="str">
        <f t="shared" si="86"/>
        <v/>
      </c>
      <c r="Y267" s="1024" t="str">
        <f t="shared" si="87"/>
        <v/>
      </c>
      <c r="AA267" s="1024" t="str">
        <f t="shared" si="96"/>
        <v/>
      </c>
      <c r="AC267" s="1024" t="str">
        <f t="shared" si="88"/>
        <v/>
      </c>
      <c r="AE267" s="1024" t="str">
        <f t="shared" si="89"/>
        <v/>
      </c>
      <c r="AG267" s="1024" t="str">
        <f t="shared" si="90"/>
        <v/>
      </c>
      <c r="AI267" s="1024" t="str">
        <f t="shared" si="91"/>
        <v/>
      </c>
      <c r="AK267" s="1024" t="str">
        <f t="shared" si="92"/>
        <v/>
      </c>
      <c r="AM267" s="1024" t="str">
        <f t="shared" si="93"/>
        <v/>
      </c>
      <c r="AO267" s="1024" t="str">
        <f t="shared" si="94"/>
        <v/>
      </c>
      <c r="AQ267" s="1024" t="str">
        <f t="shared" si="95"/>
        <v/>
      </c>
    </row>
    <row r="268" spans="5:43" x14ac:dyDescent="0.2">
      <c r="E268" s="1024" t="str">
        <f t="shared" si="101"/>
        <v/>
      </c>
      <c r="G268" s="1024" t="str">
        <f t="shared" si="97"/>
        <v/>
      </c>
      <c r="I268" s="1024" t="str">
        <f t="shared" si="98"/>
        <v/>
      </c>
      <c r="K268" s="1024" t="str">
        <f t="shared" si="99"/>
        <v/>
      </c>
      <c r="M268" s="1024" t="str">
        <f t="shared" si="100"/>
        <v/>
      </c>
      <c r="O268" s="1024" t="str">
        <f t="shared" si="102"/>
        <v/>
      </c>
      <c r="Q268" s="1024" t="str">
        <f t="shared" si="83"/>
        <v/>
      </c>
      <c r="S268" s="1024" t="str">
        <f t="shared" si="84"/>
        <v/>
      </c>
      <c r="U268" s="1024" t="str">
        <f t="shared" si="85"/>
        <v/>
      </c>
      <c r="W268" s="1024" t="str">
        <f t="shared" si="86"/>
        <v/>
      </c>
      <c r="Y268" s="1024" t="str">
        <f t="shared" si="87"/>
        <v/>
      </c>
      <c r="AA268" s="1024" t="str">
        <f t="shared" si="96"/>
        <v/>
      </c>
      <c r="AC268" s="1024" t="str">
        <f t="shared" si="88"/>
        <v/>
      </c>
      <c r="AE268" s="1024" t="str">
        <f t="shared" si="89"/>
        <v/>
      </c>
      <c r="AG268" s="1024" t="str">
        <f t="shared" si="90"/>
        <v/>
      </c>
      <c r="AI268" s="1024" t="str">
        <f t="shared" si="91"/>
        <v/>
      </c>
      <c r="AK268" s="1024" t="str">
        <f t="shared" si="92"/>
        <v/>
      </c>
      <c r="AM268" s="1024" t="str">
        <f t="shared" si="93"/>
        <v/>
      </c>
      <c r="AO268" s="1024" t="str">
        <f t="shared" si="94"/>
        <v/>
      </c>
      <c r="AQ268" s="1024" t="str">
        <f t="shared" si="95"/>
        <v/>
      </c>
    </row>
    <row r="269" spans="5:43" x14ac:dyDescent="0.2">
      <c r="E269" s="1024" t="str">
        <f t="shared" si="101"/>
        <v/>
      </c>
      <c r="G269" s="1024" t="str">
        <f t="shared" si="97"/>
        <v/>
      </c>
      <c r="I269" s="1024" t="str">
        <f t="shared" si="98"/>
        <v/>
      </c>
      <c r="K269" s="1024" t="str">
        <f t="shared" si="99"/>
        <v/>
      </c>
      <c r="M269" s="1024" t="str">
        <f t="shared" si="100"/>
        <v/>
      </c>
      <c r="O269" s="1024" t="str">
        <f t="shared" si="102"/>
        <v/>
      </c>
      <c r="Q269" s="1024" t="str">
        <f t="shared" si="83"/>
        <v/>
      </c>
      <c r="S269" s="1024" t="str">
        <f t="shared" si="84"/>
        <v/>
      </c>
      <c r="U269" s="1024" t="str">
        <f t="shared" si="85"/>
        <v/>
      </c>
      <c r="W269" s="1024" t="str">
        <f t="shared" si="86"/>
        <v/>
      </c>
      <c r="Y269" s="1024" t="str">
        <f t="shared" si="87"/>
        <v/>
      </c>
      <c r="AA269" s="1024" t="str">
        <f t="shared" si="96"/>
        <v/>
      </c>
      <c r="AC269" s="1024" t="str">
        <f t="shared" si="88"/>
        <v/>
      </c>
      <c r="AE269" s="1024" t="str">
        <f t="shared" si="89"/>
        <v/>
      </c>
      <c r="AG269" s="1024" t="str">
        <f t="shared" si="90"/>
        <v/>
      </c>
      <c r="AI269" s="1024" t="str">
        <f t="shared" si="91"/>
        <v/>
      </c>
      <c r="AK269" s="1024" t="str">
        <f t="shared" si="92"/>
        <v/>
      </c>
      <c r="AM269" s="1024" t="str">
        <f t="shared" si="93"/>
        <v/>
      </c>
      <c r="AO269" s="1024" t="str">
        <f t="shared" si="94"/>
        <v/>
      </c>
      <c r="AQ269" s="1024" t="str">
        <f t="shared" si="95"/>
        <v/>
      </c>
    </row>
    <row r="270" spans="5:43" x14ac:dyDescent="0.2">
      <c r="E270" s="1024" t="str">
        <f t="shared" si="101"/>
        <v/>
      </c>
      <c r="G270" s="1024" t="str">
        <f t="shared" si="97"/>
        <v/>
      </c>
      <c r="I270" s="1024" t="str">
        <f t="shared" si="98"/>
        <v/>
      </c>
      <c r="K270" s="1024" t="str">
        <f t="shared" si="99"/>
        <v/>
      </c>
      <c r="M270" s="1024" t="str">
        <f t="shared" si="100"/>
        <v/>
      </c>
      <c r="O270" s="1024" t="str">
        <f t="shared" si="102"/>
        <v/>
      </c>
      <c r="Q270" s="1024" t="str">
        <f t="shared" si="83"/>
        <v/>
      </c>
      <c r="S270" s="1024" t="str">
        <f t="shared" si="84"/>
        <v/>
      </c>
      <c r="U270" s="1024" t="str">
        <f t="shared" si="85"/>
        <v/>
      </c>
      <c r="W270" s="1024" t="str">
        <f t="shared" si="86"/>
        <v/>
      </c>
      <c r="Y270" s="1024" t="str">
        <f t="shared" si="87"/>
        <v/>
      </c>
      <c r="AA270" s="1024" t="str">
        <f t="shared" si="96"/>
        <v/>
      </c>
      <c r="AC270" s="1024" t="str">
        <f t="shared" si="88"/>
        <v/>
      </c>
      <c r="AE270" s="1024" t="str">
        <f t="shared" si="89"/>
        <v/>
      </c>
      <c r="AG270" s="1024" t="str">
        <f t="shared" si="90"/>
        <v/>
      </c>
      <c r="AI270" s="1024" t="str">
        <f t="shared" si="91"/>
        <v/>
      </c>
      <c r="AK270" s="1024" t="str">
        <f t="shared" si="92"/>
        <v/>
      </c>
      <c r="AM270" s="1024" t="str">
        <f t="shared" si="93"/>
        <v/>
      </c>
      <c r="AO270" s="1024" t="str">
        <f t="shared" si="94"/>
        <v/>
      </c>
      <c r="AQ270" s="1024" t="str">
        <f t="shared" si="95"/>
        <v/>
      </c>
    </row>
    <row r="271" spans="5:43" x14ac:dyDescent="0.2">
      <c r="E271" s="1024" t="str">
        <f t="shared" si="101"/>
        <v/>
      </c>
      <c r="G271" s="1024" t="str">
        <f t="shared" si="97"/>
        <v/>
      </c>
      <c r="I271" s="1024" t="str">
        <f t="shared" si="98"/>
        <v/>
      </c>
      <c r="K271" s="1024" t="str">
        <f t="shared" si="99"/>
        <v/>
      </c>
      <c r="M271" s="1024" t="str">
        <f t="shared" si="100"/>
        <v/>
      </c>
      <c r="O271" s="1024" t="str">
        <f t="shared" si="102"/>
        <v/>
      </c>
      <c r="Q271" s="1024" t="str">
        <f t="shared" si="83"/>
        <v/>
      </c>
      <c r="S271" s="1024" t="str">
        <f t="shared" si="84"/>
        <v/>
      </c>
      <c r="U271" s="1024" t="str">
        <f t="shared" si="85"/>
        <v/>
      </c>
      <c r="W271" s="1024" t="str">
        <f t="shared" si="86"/>
        <v/>
      </c>
      <c r="Y271" s="1024" t="str">
        <f t="shared" si="87"/>
        <v/>
      </c>
      <c r="AA271" s="1024" t="str">
        <f t="shared" si="96"/>
        <v/>
      </c>
      <c r="AC271" s="1024" t="str">
        <f t="shared" si="88"/>
        <v/>
      </c>
      <c r="AE271" s="1024" t="str">
        <f t="shared" si="89"/>
        <v/>
      </c>
      <c r="AG271" s="1024" t="str">
        <f t="shared" si="90"/>
        <v/>
      </c>
      <c r="AI271" s="1024" t="str">
        <f t="shared" si="91"/>
        <v/>
      </c>
      <c r="AK271" s="1024" t="str">
        <f t="shared" si="92"/>
        <v/>
      </c>
      <c r="AM271" s="1024" t="str">
        <f t="shared" si="93"/>
        <v/>
      </c>
      <c r="AO271" s="1024" t="str">
        <f t="shared" si="94"/>
        <v/>
      </c>
      <c r="AQ271" s="1024" t="str">
        <f t="shared" si="95"/>
        <v/>
      </c>
    </row>
    <row r="272" spans="5:43" x14ac:dyDescent="0.2">
      <c r="E272" s="1024" t="str">
        <f t="shared" si="101"/>
        <v/>
      </c>
      <c r="G272" s="1024" t="str">
        <f t="shared" si="97"/>
        <v/>
      </c>
      <c r="I272" s="1024" t="str">
        <f t="shared" si="98"/>
        <v/>
      </c>
      <c r="K272" s="1024" t="str">
        <f t="shared" si="99"/>
        <v/>
      </c>
      <c r="M272" s="1024" t="str">
        <f t="shared" si="100"/>
        <v/>
      </c>
      <c r="O272" s="1024" t="str">
        <f t="shared" si="102"/>
        <v/>
      </c>
      <c r="Q272" s="1024" t="str">
        <f t="shared" si="83"/>
        <v/>
      </c>
      <c r="S272" s="1024" t="str">
        <f t="shared" si="84"/>
        <v/>
      </c>
      <c r="U272" s="1024" t="str">
        <f t="shared" si="85"/>
        <v/>
      </c>
      <c r="W272" s="1024" t="str">
        <f t="shared" si="86"/>
        <v/>
      </c>
      <c r="Y272" s="1024" t="str">
        <f t="shared" si="87"/>
        <v/>
      </c>
      <c r="AA272" s="1024" t="str">
        <f t="shared" si="96"/>
        <v/>
      </c>
      <c r="AC272" s="1024" t="str">
        <f t="shared" si="88"/>
        <v/>
      </c>
      <c r="AE272" s="1024" t="str">
        <f t="shared" si="89"/>
        <v/>
      </c>
      <c r="AG272" s="1024" t="str">
        <f t="shared" si="90"/>
        <v/>
      </c>
      <c r="AI272" s="1024" t="str">
        <f t="shared" si="91"/>
        <v/>
      </c>
      <c r="AK272" s="1024" t="str">
        <f t="shared" si="92"/>
        <v/>
      </c>
      <c r="AM272" s="1024" t="str">
        <f t="shared" si="93"/>
        <v/>
      </c>
      <c r="AO272" s="1024" t="str">
        <f t="shared" si="94"/>
        <v/>
      </c>
      <c r="AQ272" s="1024" t="str">
        <f t="shared" si="95"/>
        <v/>
      </c>
    </row>
    <row r="273" spans="5:43" x14ac:dyDescent="0.2">
      <c r="E273" s="1024" t="str">
        <f t="shared" si="101"/>
        <v/>
      </c>
      <c r="G273" s="1024" t="str">
        <f t="shared" si="97"/>
        <v/>
      </c>
      <c r="I273" s="1024" t="str">
        <f t="shared" si="98"/>
        <v/>
      </c>
      <c r="K273" s="1024" t="str">
        <f t="shared" si="99"/>
        <v/>
      </c>
      <c r="M273" s="1024" t="str">
        <f t="shared" si="100"/>
        <v/>
      </c>
      <c r="O273" s="1024" t="str">
        <f t="shared" si="102"/>
        <v/>
      </c>
      <c r="Q273" s="1024" t="str">
        <f t="shared" si="83"/>
        <v/>
      </c>
      <c r="S273" s="1024" t="str">
        <f t="shared" si="84"/>
        <v/>
      </c>
      <c r="U273" s="1024" t="str">
        <f t="shared" si="85"/>
        <v/>
      </c>
      <c r="W273" s="1024" t="str">
        <f t="shared" si="86"/>
        <v/>
      </c>
      <c r="Y273" s="1024" t="str">
        <f t="shared" si="87"/>
        <v/>
      </c>
      <c r="AA273" s="1024" t="str">
        <f t="shared" si="96"/>
        <v/>
      </c>
      <c r="AC273" s="1024" t="str">
        <f t="shared" si="88"/>
        <v/>
      </c>
      <c r="AE273" s="1024" t="str">
        <f t="shared" si="89"/>
        <v/>
      </c>
      <c r="AG273" s="1024" t="str">
        <f t="shared" si="90"/>
        <v/>
      </c>
      <c r="AI273" s="1024" t="str">
        <f t="shared" si="91"/>
        <v/>
      </c>
      <c r="AK273" s="1024" t="str">
        <f t="shared" si="92"/>
        <v/>
      </c>
      <c r="AM273" s="1024" t="str">
        <f t="shared" si="93"/>
        <v/>
      </c>
      <c r="AO273" s="1024" t="str">
        <f t="shared" si="94"/>
        <v/>
      </c>
      <c r="AQ273" s="1024" t="str">
        <f t="shared" si="95"/>
        <v/>
      </c>
    </row>
    <row r="274" spans="5:43" x14ac:dyDescent="0.2">
      <c r="E274" s="1024" t="str">
        <f t="shared" si="101"/>
        <v/>
      </c>
      <c r="G274" s="1024" t="str">
        <f t="shared" si="97"/>
        <v/>
      </c>
      <c r="I274" s="1024" t="str">
        <f t="shared" si="98"/>
        <v/>
      </c>
      <c r="K274" s="1024" t="str">
        <f t="shared" si="99"/>
        <v/>
      </c>
      <c r="M274" s="1024" t="str">
        <f t="shared" si="100"/>
        <v/>
      </c>
      <c r="O274" s="1024" t="str">
        <f t="shared" si="102"/>
        <v/>
      </c>
      <c r="Q274" s="1024" t="str">
        <f t="shared" si="83"/>
        <v/>
      </c>
      <c r="S274" s="1024" t="str">
        <f t="shared" si="84"/>
        <v/>
      </c>
      <c r="U274" s="1024" t="str">
        <f t="shared" si="85"/>
        <v/>
      </c>
      <c r="W274" s="1024" t="str">
        <f t="shared" si="86"/>
        <v/>
      </c>
      <c r="Y274" s="1024" t="str">
        <f t="shared" si="87"/>
        <v/>
      </c>
      <c r="AA274" s="1024" t="str">
        <f t="shared" si="96"/>
        <v/>
      </c>
      <c r="AC274" s="1024" t="str">
        <f t="shared" si="88"/>
        <v/>
      </c>
      <c r="AE274" s="1024" t="str">
        <f t="shared" si="89"/>
        <v/>
      </c>
      <c r="AG274" s="1024" t="str">
        <f t="shared" si="90"/>
        <v/>
      </c>
      <c r="AI274" s="1024" t="str">
        <f t="shared" si="91"/>
        <v/>
      </c>
      <c r="AK274" s="1024" t="str">
        <f t="shared" si="92"/>
        <v/>
      </c>
      <c r="AM274" s="1024" t="str">
        <f t="shared" si="93"/>
        <v/>
      </c>
      <c r="AO274" s="1024" t="str">
        <f t="shared" si="94"/>
        <v/>
      </c>
      <c r="AQ274" s="1024" t="str">
        <f t="shared" si="95"/>
        <v/>
      </c>
    </row>
    <row r="275" spans="5:43" x14ac:dyDescent="0.2">
      <c r="E275" s="1024" t="str">
        <f t="shared" si="101"/>
        <v/>
      </c>
      <c r="G275" s="1024" t="str">
        <f t="shared" si="97"/>
        <v/>
      </c>
      <c r="I275" s="1024" t="str">
        <f t="shared" si="98"/>
        <v/>
      </c>
      <c r="K275" s="1024" t="str">
        <f t="shared" si="99"/>
        <v/>
      </c>
      <c r="M275" s="1024" t="str">
        <f t="shared" si="100"/>
        <v/>
      </c>
      <c r="O275" s="1024" t="str">
        <f t="shared" si="102"/>
        <v/>
      </c>
      <c r="Q275" s="1024" t="str">
        <f t="shared" si="83"/>
        <v/>
      </c>
      <c r="S275" s="1024" t="str">
        <f t="shared" si="84"/>
        <v/>
      </c>
      <c r="U275" s="1024" t="str">
        <f t="shared" si="85"/>
        <v/>
      </c>
      <c r="W275" s="1024" t="str">
        <f t="shared" si="86"/>
        <v/>
      </c>
      <c r="Y275" s="1024" t="str">
        <f t="shared" si="87"/>
        <v/>
      </c>
      <c r="AA275" s="1024" t="str">
        <f t="shared" si="96"/>
        <v/>
      </c>
      <c r="AC275" s="1024" t="str">
        <f t="shared" si="88"/>
        <v/>
      </c>
      <c r="AE275" s="1024" t="str">
        <f t="shared" si="89"/>
        <v/>
      </c>
      <c r="AG275" s="1024" t="str">
        <f t="shared" si="90"/>
        <v/>
      </c>
      <c r="AI275" s="1024" t="str">
        <f t="shared" si="91"/>
        <v/>
      </c>
      <c r="AK275" s="1024" t="str">
        <f t="shared" si="92"/>
        <v/>
      </c>
      <c r="AM275" s="1024" t="str">
        <f t="shared" si="93"/>
        <v/>
      </c>
      <c r="AO275" s="1024" t="str">
        <f t="shared" si="94"/>
        <v/>
      </c>
      <c r="AQ275" s="1024" t="str">
        <f t="shared" si="95"/>
        <v/>
      </c>
    </row>
    <row r="276" spans="5:43" x14ac:dyDescent="0.2">
      <c r="E276" s="1024" t="str">
        <f t="shared" si="101"/>
        <v/>
      </c>
      <c r="G276" s="1024" t="str">
        <f t="shared" si="97"/>
        <v/>
      </c>
      <c r="I276" s="1024" t="str">
        <f t="shared" si="98"/>
        <v/>
      </c>
      <c r="K276" s="1024" t="str">
        <f t="shared" si="99"/>
        <v/>
      </c>
      <c r="M276" s="1024" t="str">
        <f t="shared" si="100"/>
        <v/>
      </c>
      <c r="O276" s="1024" t="str">
        <f t="shared" si="102"/>
        <v/>
      </c>
      <c r="Q276" s="1024" t="str">
        <f t="shared" si="83"/>
        <v/>
      </c>
      <c r="S276" s="1024" t="str">
        <f t="shared" si="84"/>
        <v/>
      </c>
      <c r="U276" s="1024" t="str">
        <f t="shared" si="85"/>
        <v/>
      </c>
      <c r="W276" s="1024" t="str">
        <f t="shared" si="86"/>
        <v/>
      </c>
      <c r="Y276" s="1024" t="str">
        <f t="shared" si="87"/>
        <v/>
      </c>
      <c r="AA276" s="1024" t="str">
        <f t="shared" si="96"/>
        <v/>
      </c>
      <c r="AC276" s="1024" t="str">
        <f t="shared" si="88"/>
        <v/>
      </c>
      <c r="AE276" s="1024" t="str">
        <f t="shared" si="89"/>
        <v/>
      </c>
      <c r="AG276" s="1024" t="str">
        <f t="shared" si="90"/>
        <v/>
      </c>
      <c r="AI276" s="1024" t="str">
        <f t="shared" si="91"/>
        <v/>
      </c>
      <c r="AK276" s="1024" t="str">
        <f t="shared" si="92"/>
        <v/>
      </c>
      <c r="AM276" s="1024" t="str">
        <f t="shared" si="93"/>
        <v/>
      </c>
      <c r="AO276" s="1024" t="str">
        <f t="shared" si="94"/>
        <v/>
      </c>
      <c r="AQ276" s="1024" t="str">
        <f t="shared" si="95"/>
        <v/>
      </c>
    </row>
    <row r="277" spans="5:43" x14ac:dyDescent="0.2">
      <c r="E277" s="1024" t="str">
        <f t="shared" si="101"/>
        <v/>
      </c>
      <c r="G277" s="1024" t="str">
        <f t="shared" si="97"/>
        <v/>
      </c>
      <c r="I277" s="1024" t="str">
        <f t="shared" si="98"/>
        <v/>
      </c>
      <c r="K277" s="1024" t="str">
        <f t="shared" si="99"/>
        <v/>
      </c>
      <c r="M277" s="1024" t="str">
        <f t="shared" si="100"/>
        <v/>
      </c>
      <c r="O277" s="1024" t="str">
        <f t="shared" si="102"/>
        <v/>
      </c>
      <c r="Q277" s="1024" t="str">
        <f t="shared" si="83"/>
        <v/>
      </c>
      <c r="S277" s="1024" t="str">
        <f t="shared" si="84"/>
        <v/>
      </c>
      <c r="U277" s="1024" t="str">
        <f t="shared" si="85"/>
        <v/>
      </c>
      <c r="W277" s="1024" t="str">
        <f t="shared" si="86"/>
        <v/>
      </c>
      <c r="Y277" s="1024" t="str">
        <f t="shared" si="87"/>
        <v/>
      </c>
      <c r="AA277" s="1024" t="str">
        <f t="shared" si="96"/>
        <v/>
      </c>
      <c r="AC277" s="1024" t="str">
        <f t="shared" si="88"/>
        <v/>
      </c>
      <c r="AE277" s="1024" t="str">
        <f t="shared" si="89"/>
        <v/>
      </c>
      <c r="AG277" s="1024" t="str">
        <f t="shared" si="90"/>
        <v/>
      </c>
      <c r="AI277" s="1024" t="str">
        <f t="shared" si="91"/>
        <v/>
      </c>
      <c r="AK277" s="1024" t="str">
        <f t="shared" si="92"/>
        <v/>
      </c>
      <c r="AM277" s="1024" t="str">
        <f t="shared" si="93"/>
        <v/>
      </c>
      <c r="AO277" s="1024" t="str">
        <f t="shared" si="94"/>
        <v/>
      </c>
      <c r="AQ277" s="1024" t="str">
        <f t="shared" si="95"/>
        <v/>
      </c>
    </row>
    <row r="278" spans="5:43" x14ac:dyDescent="0.2">
      <c r="E278" s="1024" t="str">
        <f t="shared" si="101"/>
        <v/>
      </c>
      <c r="G278" s="1024" t="str">
        <f t="shared" si="97"/>
        <v/>
      </c>
      <c r="I278" s="1024" t="str">
        <f t="shared" si="98"/>
        <v/>
      </c>
      <c r="K278" s="1024" t="str">
        <f t="shared" si="99"/>
        <v/>
      </c>
      <c r="M278" s="1024" t="str">
        <f t="shared" si="100"/>
        <v/>
      </c>
      <c r="O278" s="1024" t="str">
        <f t="shared" si="102"/>
        <v/>
      </c>
      <c r="Q278" s="1024" t="str">
        <f t="shared" si="83"/>
        <v/>
      </c>
      <c r="S278" s="1024" t="str">
        <f t="shared" si="84"/>
        <v/>
      </c>
      <c r="U278" s="1024" t="str">
        <f t="shared" si="85"/>
        <v/>
      </c>
      <c r="W278" s="1024" t="str">
        <f t="shared" si="86"/>
        <v/>
      </c>
      <c r="Y278" s="1024" t="str">
        <f t="shared" si="87"/>
        <v/>
      </c>
      <c r="AA278" s="1024" t="str">
        <f t="shared" si="96"/>
        <v/>
      </c>
      <c r="AC278" s="1024" t="str">
        <f t="shared" si="88"/>
        <v/>
      </c>
      <c r="AE278" s="1024" t="str">
        <f t="shared" si="89"/>
        <v/>
      </c>
      <c r="AG278" s="1024" t="str">
        <f t="shared" si="90"/>
        <v/>
      </c>
      <c r="AI278" s="1024" t="str">
        <f t="shared" si="91"/>
        <v/>
      </c>
      <c r="AK278" s="1024" t="str">
        <f t="shared" si="92"/>
        <v/>
      </c>
      <c r="AM278" s="1024" t="str">
        <f t="shared" si="93"/>
        <v/>
      </c>
      <c r="AO278" s="1024" t="str">
        <f t="shared" si="94"/>
        <v/>
      </c>
      <c r="AQ278" s="1024" t="str">
        <f t="shared" si="95"/>
        <v/>
      </c>
    </row>
    <row r="279" spans="5:43" x14ac:dyDescent="0.2">
      <c r="E279" s="1024" t="str">
        <f t="shared" si="101"/>
        <v/>
      </c>
      <c r="G279" s="1024" t="str">
        <f t="shared" si="97"/>
        <v/>
      </c>
      <c r="I279" s="1024" t="str">
        <f t="shared" si="98"/>
        <v/>
      </c>
      <c r="K279" s="1024" t="str">
        <f t="shared" si="99"/>
        <v/>
      </c>
      <c r="M279" s="1024" t="str">
        <f t="shared" si="100"/>
        <v/>
      </c>
      <c r="O279" s="1024" t="str">
        <f t="shared" si="102"/>
        <v/>
      </c>
      <c r="Q279" s="1024" t="str">
        <f t="shared" si="83"/>
        <v/>
      </c>
      <c r="S279" s="1024" t="str">
        <f t="shared" si="84"/>
        <v/>
      </c>
      <c r="U279" s="1024" t="str">
        <f t="shared" si="85"/>
        <v/>
      </c>
      <c r="W279" s="1024" t="str">
        <f t="shared" si="86"/>
        <v/>
      </c>
      <c r="Y279" s="1024" t="str">
        <f t="shared" si="87"/>
        <v/>
      </c>
      <c r="AA279" s="1024" t="str">
        <f t="shared" si="96"/>
        <v/>
      </c>
      <c r="AC279" s="1024" t="str">
        <f t="shared" si="88"/>
        <v/>
      </c>
      <c r="AE279" s="1024" t="str">
        <f t="shared" si="89"/>
        <v/>
      </c>
      <c r="AG279" s="1024" t="str">
        <f t="shared" si="90"/>
        <v/>
      </c>
      <c r="AI279" s="1024" t="str">
        <f t="shared" si="91"/>
        <v/>
      </c>
      <c r="AK279" s="1024" t="str">
        <f t="shared" si="92"/>
        <v/>
      </c>
      <c r="AM279" s="1024" t="str">
        <f t="shared" si="93"/>
        <v/>
      </c>
      <c r="AO279" s="1024" t="str">
        <f t="shared" si="94"/>
        <v/>
      </c>
      <c r="AQ279" s="1024" t="str">
        <f t="shared" si="95"/>
        <v/>
      </c>
    </row>
    <row r="280" spans="5:43" x14ac:dyDescent="0.2">
      <c r="E280" s="1024" t="str">
        <f t="shared" si="101"/>
        <v/>
      </c>
      <c r="G280" s="1024" t="str">
        <f t="shared" si="97"/>
        <v/>
      </c>
      <c r="I280" s="1024" t="str">
        <f t="shared" si="98"/>
        <v/>
      </c>
      <c r="K280" s="1024" t="str">
        <f t="shared" si="99"/>
        <v/>
      </c>
      <c r="M280" s="1024" t="str">
        <f t="shared" si="100"/>
        <v/>
      </c>
      <c r="O280" s="1024" t="str">
        <f t="shared" si="102"/>
        <v/>
      </c>
      <c r="Q280" s="1024" t="str">
        <f t="shared" si="83"/>
        <v/>
      </c>
      <c r="S280" s="1024" t="str">
        <f t="shared" si="84"/>
        <v/>
      </c>
      <c r="U280" s="1024" t="str">
        <f t="shared" si="85"/>
        <v/>
      </c>
      <c r="W280" s="1024" t="str">
        <f t="shared" si="86"/>
        <v/>
      </c>
      <c r="Y280" s="1024" t="str">
        <f t="shared" si="87"/>
        <v/>
      </c>
      <c r="AA280" s="1024" t="str">
        <f t="shared" si="96"/>
        <v/>
      </c>
      <c r="AC280" s="1024" t="str">
        <f t="shared" si="88"/>
        <v/>
      </c>
      <c r="AE280" s="1024" t="str">
        <f t="shared" si="89"/>
        <v/>
      </c>
      <c r="AG280" s="1024" t="str">
        <f t="shared" si="90"/>
        <v/>
      </c>
      <c r="AI280" s="1024" t="str">
        <f t="shared" si="91"/>
        <v/>
      </c>
      <c r="AK280" s="1024" t="str">
        <f t="shared" si="92"/>
        <v/>
      </c>
      <c r="AM280" s="1024" t="str">
        <f t="shared" si="93"/>
        <v/>
      </c>
      <c r="AO280" s="1024" t="str">
        <f t="shared" si="94"/>
        <v/>
      </c>
      <c r="AQ280" s="1024" t="str">
        <f t="shared" si="95"/>
        <v/>
      </c>
    </row>
    <row r="281" spans="5:43" x14ac:dyDescent="0.2">
      <c r="E281" s="1024" t="str">
        <f t="shared" si="101"/>
        <v/>
      </c>
      <c r="G281" s="1024" t="str">
        <f t="shared" si="97"/>
        <v/>
      </c>
      <c r="I281" s="1024" t="str">
        <f t="shared" si="98"/>
        <v/>
      </c>
      <c r="K281" s="1024" t="str">
        <f t="shared" si="99"/>
        <v/>
      </c>
      <c r="M281" s="1024" t="str">
        <f t="shared" si="100"/>
        <v/>
      </c>
      <c r="O281" s="1024" t="str">
        <f t="shared" si="102"/>
        <v/>
      </c>
      <c r="Q281" s="1024" t="str">
        <f t="shared" si="83"/>
        <v/>
      </c>
      <c r="S281" s="1024" t="str">
        <f t="shared" si="84"/>
        <v/>
      </c>
      <c r="U281" s="1024" t="str">
        <f t="shared" si="85"/>
        <v/>
      </c>
      <c r="W281" s="1024" t="str">
        <f t="shared" si="86"/>
        <v/>
      </c>
      <c r="Y281" s="1024" t="str">
        <f t="shared" si="87"/>
        <v/>
      </c>
      <c r="AA281" s="1024" t="str">
        <f t="shared" si="96"/>
        <v/>
      </c>
      <c r="AC281" s="1024" t="str">
        <f t="shared" si="88"/>
        <v/>
      </c>
      <c r="AE281" s="1024" t="str">
        <f t="shared" si="89"/>
        <v/>
      </c>
      <c r="AG281" s="1024" t="str">
        <f t="shared" si="90"/>
        <v/>
      </c>
      <c r="AI281" s="1024" t="str">
        <f t="shared" si="91"/>
        <v/>
      </c>
      <c r="AK281" s="1024" t="str">
        <f t="shared" si="92"/>
        <v/>
      </c>
      <c r="AM281" s="1024" t="str">
        <f t="shared" si="93"/>
        <v/>
      </c>
      <c r="AO281" s="1024" t="str">
        <f t="shared" si="94"/>
        <v/>
      </c>
      <c r="AQ281" s="1024" t="str">
        <f t="shared" si="95"/>
        <v/>
      </c>
    </row>
    <row r="282" spans="5:43" x14ac:dyDescent="0.2">
      <c r="E282" s="1024" t="str">
        <f t="shared" si="101"/>
        <v/>
      </c>
      <c r="G282" s="1024" t="str">
        <f t="shared" si="97"/>
        <v/>
      </c>
      <c r="I282" s="1024" t="str">
        <f t="shared" si="98"/>
        <v/>
      </c>
      <c r="K282" s="1024" t="str">
        <f t="shared" si="99"/>
        <v/>
      </c>
      <c r="M282" s="1024" t="str">
        <f t="shared" si="100"/>
        <v/>
      </c>
      <c r="O282" s="1024" t="str">
        <f t="shared" si="102"/>
        <v/>
      </c>
      <c r="Q282" s="1024" t="str">
        <f t="shared" si="83"/>
        <v/>
      </c>
      <c r="S282" s="1024" t="str">
        <f t="shared" si="84"/>
        <v/>
      </c>
      <c r="U282" s="1024" t="str">
        <f t="shared" si="85"/>
        <v/>
      </c>
      <c r="W282" s="1024" t="str">
        <f t="shared" si="86"/>
        <v/>
      </c>
      <c r="Y282" s="1024" t="str">
        <f t="shared" si="87"/>
        <v/>
      </c>
      <c r="AA282" s="1024" t="str">
        <f t="shared" si="96"/>
        <v/>
      </c>
      <c r="AC282" s="1024" t="str">
        <f t="shared" si="88"/>
        <v/>
      </c>
      <c r="AE282" s="1024" t="str">
        <f t="shared" si="89"/>
        <v/>
      </c>
      <c r="AG282" s="1024" t="str">
        <f t="shared" si="90"/>
        <v/>
      </c>
      <c r="AI282" s="1024" t="str">
        <f t="shared" si="91"/>
        <v/>
      </c>
      <c r="AK282" s="1024" t="str">
        <f t="shared" si="92"/>
        <v/>
      </c>
      <c r="AM282" s="1024" t="str">
        <f t="shared" si="93"/>
        <v/>
      </c>
      <c r="AO282" s="1024" t="str">
        <f t="shared" si="94"/>
        <v/>
      </c>
      <c r="AQ282" s="1024" t="str">
        <f t="shared" si="95"/>
        <v/>
      </c>
    </row>
    <row r="283" spans="5:43" x14ac:dyDescent="0.2">
      <c r="E283" s="1024" t="str">
        <f t="shared" si="101"/>
        <v/>
      </c>
      <c r="G283" s="1024" t="str">
        <f t="shared" si="97"/>
        <v/>
      </c>
      <c r="I283" s="1024" t="str">
        <f t="shared" si="98"/>
        <v/>
      </c>
      <c r="K283" s="1024" t="str">
        <f t="shared" si="99"/>
        <v/>
      </c>
      <c r="M283" s="1024" t="str">
        <f t="shared" si="100"/>
        <v/>
      </c>
      <c r="O283" s="1024" t="str">
        <f t="shared" si="102"/>
        <v/>
      </c>
      <c r="Q283" s="1024" t="str">
        <f t="shared" si="83"/>
        <v/>
      </c>
      <c r="S283" s="1024" t="str">
        <f t="shared" si="84"/>
        <v/>
      </c>
      <c r="U283" s="1024" t="str">
        <f t="shared" si="85"/>
        <v/>
      </c>
      <c r="W283" s="1024" t="str">
        <f t="shared" si="86"/>
        <v/>
      </c>
      <c r="Y283" s="1024" t="str">
        <f t="shared" si="87"/>
        <v/>
      </c>
      <c r="AA283" s="1024" t="str">
        <f t="shared" si="96"/>
        <v/>
      </c>
      <c r="AC283" s="1024" t="str">
        <f t="shared" si="88"/>
        <v/>
      </c>
      <c r="AE283" s="1024" t="str">
        <f t="shared" si="89"/>
        <v/>
      </c>
      <c r="AG283" s="1024" t="str">
        <f t="shared" si="90"/>
        <v/>
      </c>
      <c r="AI283" s="1024" t="str">
        <f t="shared" si="91"/>
        <v/>
      </c>
      <c r="AK283" s="1024" t="str">
        <f t="shared" si="92"/>
        <v/>
      </c>
      <c r="AM283" s="1024" t="str">
        <f t="shared" si="93"/>
        <v/>
      </c>
      <c r="AO283" s="1024" t="str">
        <f t="shared" si="94"/>
        <v/>
      </c>
      <c r="AQ283" s="1024" t="str">
        <f t="shared" si="95"/>
        <v/>
      </c>
    </row>
    <row r="284" spans="5:43" x14ac:dyDescent="0.2">
      <c r="E284" s="1024" t="str">
        <f t="shared" si="101"/>
        <v/>
      </c>
      <c r="G284" s="1024" t="str">
        <f t="shared" si="97"/>
        <v/>
      </c>
      <c r="I284" s="1024" t="str">
        <f t="shared" si="98"/>
        <v/>
      </c>
      <c r="K284" s="1024" t="str">
        <f t="shared" si="99"/>
        <v/>
      </c>
      <c r="M284" s="1024" t="str">
        <f t="shared" si="100"/>
        <v/>
      </c>
      <c r="O284" s="1024" t="str">
        <f t="shared" si="102"/>
        <v/>
      </c>
      <c r="Q284" s="1024" t="str">
        <f t="shared" si="83"/>
        <v/>
      </c>
      <c r="S284" s="1024" t="str">
        <f t="shared" si="84"/>
        <v/>
      </c>
      <c r="U284" s="1024" t="str">
        <f t="shared" si="85"/>
        <v/>
      </c>
      <c r="W284" s="1024" t="str">
        <f t="shared" si="86"/>
        <v/>
      </c>
      <c r="Y284" s="1024" t="str">
        <f t="shared" si="87"/>
        <v/>
      </c>
      <c r="AA284" s="1024" t="str">
        <f t="shared" si="96"/>
        <v/>
      </c>
      <c r="AC284" s="1024" t="str">
        <f t="shared" si="88"/>
        <v/>
      </c>
      <c r="AE284" s="1024" t="str">
        <f t="shared" si="89"/>
        <v/>
      </c>
      <c r="AG284" s="1024" t="str">
        <f t="shared" si="90"/>
        <v/>
      </c>
      <c r="AI284" s="1024" t="str">
        <f t="shared" si="91"/>
        <v/>
      </c>
      <c r="AK284" s="1024" t="str">
        <f t="shared" si="92"/>
        <v/>
      </c>
      <c r="AM284" s="1024" t="str">
        <f t="shared" si="93"/>
        <v/>
      </c>
      <c r="AO284" s="1024" t="str">
        <f t="shared" si="94"/>
        <v/>
      </c>
      <c r="AQ284" s="1024" t="str">
        <f t="shared" si="95"/>
        <v/>
      </c>
    </row>
    <row r="285" spans="5:43" x14ac:dyDescent="0.2">
      <c r="E285" s="1024" t="str">
        <f t="shared" si="101"/>
        <v/>
      </c>
      <c r="G285" s="1024" t="str">
        <f t="shared" si="97"/>
        <v/>
      </c>
      <c r="I285" s="1024" t="str">
        <f t="shared" si="98"/>
        <v/>
      </c>
      <c r="K285" s="1024" t="str">
        <f t="shared" si="99"/>
        <v/>
      </c>
      <c r="M285" s="1024" t="str">
        <f t="shared" si="100"/>
        <v/>
      </c>
      <c r="O285" s="1024" t="str">
        <f t="shared" si="102"/>
        <v/>
      </c>
      <c r="Q285" s="1024" t="str">
        <f t="shared" si="83"/>
        <v/>
      </c>
      <c r="S285" s="1024" t="str">
        <f t="shared" si="84"/>
        <v/>
      </c>
      <c r="U285" s="1024" t="str">
        <f t="shared" si="85"/>
        <v/>
      </c>
      <c r="W285" s="1024" t="str">
        <f t="shared" si="86"/>
        <v/>
      </c>
      <c r="Y285" s="1024" t="str">
        <f t="shared" si="87"/>
        <v/>
      </c>
      <c r="AA285" s="1024" t="str">
        <f t="shared" si="96"/>
        <v/>
      </c>
      <c r="AC285" s="1024" t="str">
        <f t="shared" si="88"/>
        <v/>
      </c>
      <c r="AE285" s="1024" t="str">
        <f t="shared" si="89"/>
        <v/>
      </c>
      <c r="AG285" s="1024" t="str">
        <f t="shared" si="90"/>
        <v/>
      </c>
      <c r="AI285" s="1024" t="str">
        <f t="shared" si="91"/>
        <v/>
      </c>
      <c r="AK285" s="1024" t="str">
        <f t="shared" si="92"/>
        <v/>
      </c>
      <c r="AM285" s="1024" t="str">
        <f t="shared" si="93"/>
        <v/>
      </c>
      <c r="AO285" s="1024" t="str">
        <f t="shared" si="94"/>
        <v/>
      </c>
      <c r="AQ285" s="1024" t="str">
        <f t="shared" si="95"/>
        <v/>
      </c>
    </row>
    <row r="286" spans="5:43" x14ac:dyDescent="0.2">
      <c r="E286" s="1024" t="str">
        <f t="shared" si="101"/>
        <v/>
      </c>
      <c r="G286" s="1024" t="str">
        <f t="shared" si="97"/>
        <v/>
      </c>
      <c r="I286" s="1024" t="str">
        <f t="shared" si="98"/>
        <v/>
      </c>
      <c r="K286" s="1024" t="str">
        <f t="shared" si="99"/>
        <v/>
      </c>
      <c r="M286" s="1024" t="str">
        <f t="shared" si="100"/>
        <v/>
      </c>
      <c r="O286" s="1024" t="str">
        <f t="shared" si="102"/>
        <v/>
      </c>
      <c r="Q286" s="1024" t="str">
        <f t="shared" si="83"/>
        <v/>
      </c>
      <c r="S286" s="1024" t="str">
        <f t="shared" si="84"/>
        <v/>
      </c>
      <c r="U286" s="1024" t="str">
        <f t="shared" si="85"/>
        <v/>
      </c>
      <c r="W286" s="1024" t="str">
        <f t="shared" si="86"/>
        <v/>
      </c>
      <c r="Y286" s="1024" t="str">
        <f t="shared" si="87"/>
        <v/>
      </c>
      <c r="AA286" s="1024" t="str">
        <f t="shared" si="96"/>
        <v/>
      </c>
      <c r="AC286" s="1024" t="str">
        <f t="shared" si="88"/>
        <v/>
      </c>
      <c r="AE286" s="1024" t="str">
        <f t="shared" si="89"/>
        <v/>
      </c>
      <c r="AG286" s="1024" t="str">
        <f t="shared" si="90"/>
        <v/>
      </c>
      <c r="AI286" s="1024" t="str">
        <f t="shared" si="91"/>
        <v/>
      </c>
      <c r="AK286" s="1024" t="str">
        <f t="shared" si="92"/>
        <v/>
      </c>
      <c r="AM286" s="1024" t="str">
        <f t="shared" si="93"/>
        <v/>
      </c>
      <c r="AO286" s="1024" t="str">
        <f t="shared" si="94"/>
        <v/>
      </c>
      <c r="AQ286" s="1024" t="str">
        <f t="shared" si="95"/>
        <v/>
      </c>
    </row>
    <row r="287" spans="5:43" x14ac:dyDescent="0.2">
      <c r="E287" s="1024" t="str">
        <f t="shared" si="101"/>
        <v/>
      </c>
      <c r="G287" s="1024" t="str">
        <f t="shared" si="97"/>
        <v/>
      </c>
      <c r="I287" s="1024" t="str">
        <f t="shared" si="98"/>
        <v/>
      </c>
      <c r="K287" s="1024" t="str">
        <f t="shared" si="99"/>
        <v/>
      </c>
      <c r="M287" s="1024" t="str">
        <f t="shared" si="100"/>
        <v/>
      </c>
      <c r="O287" s="1024" t="str">
        <f t="shared" si="102"/>
        <v/>
      </c>
      <c r="Q287" s="1024" t="str">
        <f t="shared" ref="Q287:Q301" si="103">IF(OR($B286=0,P287=0),"",P287/$B286)</f>
        <v/>
      </c>
      <c r="S287" s="1024" t="str">
        <f t="shared" ref="S287:S301" si="104">IF(OR($B286=0,R287=0),"",R287/$B286)</f>
        <v/>
      </c>
      <c r="U287" s="1024" t="str">
        <f t="shared" ref="U287:U301" si="105">IF(OR($B286=0,T287=0),"",T287/$B286)</f>
        <v/>
      </c>
      <c r="W287" s="1024" t="str">
        <f t="shared" ref="W287:W301" si="106">IF(OR($B286=0,V287=0),"",V287/$B286)</f>
        <v/>
      </c>
      <c r="Y287" s="1024" t="str">
        <f t="shared" ref="Y287:Y301" si="107">IF(OR($B286=0,X287=0),"",X287/$B286)</f>
        <v/>
      </c>
      <c r="AA287" s="1024" t="str">
        <f t="shared" si="96"/>
        <v/>
      </c>
      <c r="AC287" s="1024" t="str">
        <f t="shared" ref="AC287:AC301" si="108">IF(OR($B286=0,AB287=0),"",AB287/$B286)</f>
        <v/>
      </c>
      <c r="AE287" s="1024" t="str">
        <f t="shared" ref="AE287:AE301" si="109">IF(OR($B286=0,AD287=0),"",AD287/$B286)</f>
        <v/>
      </c>
      <c r="AG287" s="1024" t="str">
        <f t="shared" ref="AG287:AG301" si="110">IF(OR($B286=0,AF287=0),"",AF287/$B286)</f>
        <v/>
      </c>
      <c r="AI287" s="1024" t="str">
        <f t="shared" ref="AI287:AI301" si="111">IF(OR($B286=0,AH287=0),"",AH287/$B286)</f>
        <v/>
      </c>
      <c r="AK287" s="1024" t="str">
        <f t="shared" ref="AK287:AK301" si="112">IF(OR($B286=0,AJ287=0),"",AJ287/$B286)</f>
        <v/>
      </c>
      <c r="AM287" s="1024" t="str">
        <f t="shared" ref="AM287:AM301" si="113">IF(OR($B286=0,AL287=0),"",AL287/$B286)</f>
        <v/>
      </c>
      <c r="AO287" s="1024" t="str">
        <f t="shared" ref="AO287:AO301" si="114">IF(OR($B286=0,AN287=0),"",AN287/$B286)</f>
        <v/>
      </c>
      <c r="AQ287" s="1024" t="str">
        <f t="shared" ref="AQ287:AQ301" si="115">IF(OR($B286=0,AP287=0),"",AP287/$B286)</f>
        <v/>
      </c>
    </row>
    <row r="288" spans="5:43" x14ac:dyDescent="0.2">
      <c r="E288" s="1024" t="str">
        <f t="shared" si="101"/>
        <v/>
      </c>
      <c r="G288" s="1024" t="str">
        <f t="shared" si="97"/>
        <v/>
      </c>
      <c r="I288" s="1024" t="str">
        <f t="shared" si="98"/>
        <v/>
      </c>
      <c r="K288" s="1024" t="str">
        <f t="shared" si="99"/>
        <v/>
      </c>
      <c r="M288" s="1024" t="str">
        <f t="shared" si="100"/>
        <v/>
      </c>
      <c r="O288" s="1024" t="str">
        <f t="shared" si="102"/>
        <v/>
      </c>
      <c r="Q288" s="1024" t="str">
        <f t="shared" si="103"/>
        <v/>
      </c>
      <c r="S288" s="1024" t="str">
        <f t="shared" si="104"/>
        <v/>
      </c>
      <c r="U288" s="1024" t="str">
        <f t="shared" si="105"/>
        <v/>
      </c>
      <c r="W288" s="1024" t="str">
        <f t="shared" si="106"/>
        <v/>
      </c>
      <c r="Y288" s="1024" t="str">
        <f t="shared" si="107"/>
        <v/>
      </c>
      <c r="AA288" s="1024" t="str">
        <f t="shared" ref="AA288:AA301" si="116">IF(OR($B287=0,Z288=0),"",Z288/$B287)</f>
        <v/>
      </c>
      <c r="AC288" s="1024" t="str">
        <f t="shared" si="108"/>
        <v/>
      </c>
      <c r="AE288" s="1024" t="str">
        <f t="shared" si="109"/>
        <v/>
      </c>
      <c r="AG288" s="1024" t="str">
        <f t="shared" si="110"/>
        <v/>
      </c>
      <c r="AI288" s="1024" t="str">
        <f t="shared" si="111"/>
        <v/>
      </c>
      <c r="AK288" s="1024" t="str">
        <f t="shared" si="112"/>
        <v/>
      </c>
      <c r="AM288" s="1024" t="str">
        <f t="shared" si="113"/>
        <v/>
      </c>
      <c r="AO288" s="1024" t="str">
        <f t="shared" si="114"/>
        <v/>
      </c>
      <c r="AQ288" s="1024" t="str">
        <f t="shared" si="115"/>
        <v/>
      </c>
    </row>
    <row r="289" spans="5:43" x14ac:dyDescent="0.2">
      <c r="E289" s="1024" t="str">
        <f t="shared" si="101"/>
        <v/>
      </c>
      <c r="G289" s="1024" t="str">
        <f t="shared" si="97"/>
        <v/>
      </c>
      <c r="I289" s="1024" t="str">
        <f t="shared" si="98"/>
        <v/>
      </c>
      <c r="K289" s="1024" t="str">
        <f t="shared" si="99"/>
        <v/>
      </c>
      <c r="M289" s="1024" t="str">
        <f t="shared" si="100"/>
        <v/>
      </c>
      <c r="O289" s="1024" t="str">
        <f t="shared" si="102"/>
        <v/>
      </c>
      <c r="Q289" s="1024" t="str">
        <f t="shared" si="103"/>
        <v/>
      </c>
      <c r="S289" s="1024" t="str">
        <f t="shared" si="104"/>
        <v/>
      </c>
      <c r="U289" s="1024" t="str">
        <f t="shared" si="105"/>
        <v/>
      </c>
      <c r="W289" s="1024" t="str">
        <f t="shared" si="106"/>
        <v/>
      </c>
      <c r="Y289" s="1024" t="str">
        <f t="shared" si="107"/>
        <v/>
      </c>
      <c r="AA289" s="1024" t="str">
        <f t="shared" si="116"/>
        <v/>
      </c>
      <c r="AC289" s="1024" t="str">
        <f t="shared" si="108"/>
        <v/>
      </c>
      <c r="AE289" s="1024" t="str">
        <f t="shared" si="109"/>
        <v/>
      </c>
      <c r="AG289" s="1024" t="str">
        <f t="shared" si="110"/>
        <v/>
      </c>
      <c r="AI289" s="1024" t="str">
        <f t="shared" si="111"/>
        <v/>
      </c>
      <c r="AK289" s="1024" t="str">
        <f t="shared" si="112"/>
        <v/>
      </c>
      <c r="AM289" s="1024" t="str">
        <f t="shared" si="113"/>
        <v/>
      </c>
      <c r="AO289" s="1024" t="str">
        <f t="shared" si="114"/>
        <v/>
      </c>
      <c r="AQ289" s="1024" t="str">
        <f t="shared" si="115"/>
        <v/>
      </c>
    </row>
    <row r="290" spans="5:43" x14ac:dyDescent="0.2">
      <c r="E290" s="1024" t="str">
        <f t="shared" si="101"/>
        <v/>
      </c>
      <c r="G290" s="1024" t="str">
        <f t="shared" ref="G290:G301" si="117">IF(OR($B289=0,F290=0),"",F290/$B289)</f>
        <v/>
      </c>
      <c r="I290" s="1024" t="str">
        <f t="shared" ref="I290:I301" si="118">IF(OR($B289=0,H290=0),"",H290/$B289)</f>
        <v/>
      </c>
      <c r="K290" s="1024" t="str">
        <f t="shared" ref="K290:K301" si="119">IF(OR($B289=0,J290=0),"",J290/$B289)</f>
        <v/>
      </c>
      <c r="M290" s="1024" t="str">
        <f t="shared" ref="M290:M301" si="120">IF(OR($B289=0,L290=0),"",L290/$B289)</f>
        <v/>
      </c>
      <c r="O290" s="1024" t="str">
        <f t="shared" si="102"/>
        <v/>
      </c>
      <c r="Q290" s="1024" t="str">
        <f t="shared" si="103"/>
        <v/>
      </c>
      <c r="S290" s="1024" t="str">
        <f t="shared" si="104"/>
        <v/>
      </c>
      <c r="U290" s="1024" t="str">
        <f t="shared" si="105"/>
        <v/>
      </c>
      <c r="W290" s="1024" t="str">
        <f t="shared" si="106"/>
        <v/>
      </c>
      <c r="Y290" s="1024" t="str">
        <f t="shared" si="107"/>
        <v/>
      </c>
      <c r="AA290" s="1024" t="str">
        <f t="shared" si="116"/>
        <v/>
      </c>
      <c r="AC290" s="1024" t="str">
        <f t="shared" si="108"/>
        <v/>
      </c>
      <c r="AE290" s="1024" t="str">
        <f t="shared" si="109"/>
        <v/>
      </c>
      <c r="AG290" s="1024" t="str">
        <f t="shared" si="110"/>
        <v/>
      </c>
      <c r="AI290" s="1024" t="str">
        <f t="shared" si="111"/>
        <v/>
      </c>
      <c r="AK290" s="1024" t="str">
        <f t="shared" si="112"/>
        <v/>
      </c>
      <c r="AM290" s="1024" t="str">
        <f t="shared" si="113"/>
        <v/>
      </c>
      <c r="AO290" s="1024" t="str">
        <f t="shared" si="114"/>
        <v/>
      </c>
      <c r="AQ290" s="1024" t="str">
        <f t="shared" si="115"/>
        <v/>
      </c>
    </row>
    <row r="291" spans="5:43" x14ac:dyDescent="0.2">
      <c r="E291" s="1024" t="str">
        <f t="shared" ref="E291:E301" si="121">IF(OR($B290=0,D291=0),"",D291/$B290)</f>
        <v/>
      </c>
      <c r="G291" s="1024" t="str">
        <f t="shared" si="117"/>
        <v/>
      </c>
      <c r="I291" s="1024" t="str">
        <f t="shared" si="118"/>
        <v/>
      </c>
      <c r="K291" s="1024" t="str">
        <f t="shared" si="119"/>
        <v/>
      </c>
      <c r="M291" s="1024" t="str">
        <f t="shared" si="120"/>
        <v/>
      </c>
      <c r="O291" s="1024" t="str">
        <f t="shared" ref="O291:O301" si="122">IF(OR($B290=0,N291=0),"",N291/$B290)</f>
        <v/>
      </c>
      <c r="Q291" s="1024" t="str">
        <f t="shared" si="103"/>
        <v/>
      </c>
      <c r="S291" s="1024" t="str">
        <f t="shared" si="104"/>
        <v/>
      </c>
      <c r="U291" s="1024" t="str">
        <f t="shared" si="105"/>
        <v/>
      </c>
      <c r="W291" s="1024" t="str">
        <f t="shared" si="106"/>
        <v/>
      </c>
      <c r="Y291" s="1024" t="str">
        <f t="shared" si="107"/>
        <v/>
      </c>
      <c r="AA291" s="1024" t="str">
        <f t="shared" si="116"/>
        <v/>
      </c>
      <c r="AC291" s="1024" t="str">
        <f t="shared" si="108"/>
        <v/>
      </c>
      <c r="AE291" s="1024" t="str">
        <f t="shared" si="109"/>
        <v/>
      </c>
      <c r="AG291" s="1024" t="str">
        <f t="shared" si="110"/>
        <v/>
      </c>
      <c r="AI291" s="1024" t="str">
        <f t="shared" si="111"/>
        <v/>
      </c>
      <c r="AK291" s="1024" t="str">
        <f t="shared" si="112"/>
        <v/>
      </c>
      <c r="AM291" s="1024" t="str">
        <f t="shared" si="113"/>
        <v/>
      </c>
      <c r="AO291" s="1024" t="str">
        <f t="shared" si="114"/>
        <v/>
      </c>
      <c r="AQ291" s="1024" t="str">
        <f t="shared" si="115"/>
        <v/>
      </c>
    </row>
    <row r="292" spans="5:43" x14ac:dyDescent="0.2">
      <c r="E292" s="1024" t="str">
        <f t="shared" si="121"/>
        <v/>
      </c>
      <c r="G292" s="1024" t="str">
        <f t="shared" si="117"/>
        <v/>
      </c>
      <c r="I292" s="1024" t="str">
        <f t="shared" si="118"/>
        <v/>
      </c>
      <c r="K292" s="1024" t="str">
        <f t="shared" si="119"/>
        <v/>
      </c>
      <c r="M292" s="1024" t="str">
        <f t="shared" si="120"/>
        <v/>
      </c>
      <c r="O292" s="1024" t="str">
        <f t="shared" si="122"/>
        <v/>
      </c>
      <c r="Q292" s="1024" t="str">
        <f t="shared" si="103"/>
        <v/>
      </c>
      <c r="S292" s="1024" t="str">
        <f t="shared" si="104"/>
        <v/>
      </c>
      <c r="U292" s="1024" t="str">
        <f t="shared" si="105"/>
        <v/>
      </c>
      <c r="W292" s="1024" t="str">
        <f t="shared" si="106"/>
        <v/>
      </c>
      <c r="Y292" s="1024" t="str">
        <f t="shared" si="107"/>
        <v/>
      </c>
      <c r="AA292" s="1024" t="str">
        <f t="shared" si="116"/>
        <v/>
      </c>
      <c r="AC292" s="1024" t="str">
        <f t="shared" si="108"/>
        <v/>
      </c>
      <c r="AE292" s="1024" t="str">
        <f t="shared" si="109"/>
        <v/>
      </c>
      <c r="AG292" s="1024" t="str">
        <f t="shared" si="110"/>
        <v/>
      </c>
      <c r="AI292" s="1024" t="str">
        <f t="shared" si="111"/>
        <v/>
      </c>
      <c r="AK292" s="1024" t="str">
        <f t="shared" si="112"/>
        <v/>
      </c>
      <c r="AM292" s="1024" t="str">
        <f t="shared" si="113"/>
        <v/>
      </c>
      <c r="AO292" s="1024" t="str">
        <f t="shared" si="114"/>
        <v/>
      </c>
      <c r="AQ292" s="1024" t="str">
        <f t="shared" si="115"/>
        <v/>
      </c>
    </row>
    <row r="293" spans="5:43" x14ac:dyDescent="0.2">
      <c r="E293" s="1024" t="str">
        <f t="shared" si="121"/>
        <v/>
      </c>
      <c r="G293" s="1024" t="str">
        <f t="shared" si="117"/>
        <v/>
      </c>
      <c r="I293" s="1024" t="str">
        <f t="shared" si="118"/>
        <v/>
      </c>
      <c r="K293" s="1024" t="str">
        <f t="shared" si="119"/>
        <v/>
      </c>
      <c r="M293" s="1024" t="str">
        <f t="shared" si="120"/>
        <v/>
      </c>
      <c r="O293" s="1024" t="str">
        <f t="shared" si="122"/>
        <v/>
      </c>
      <c r="Q293" s="1024" t="str">
        <f t="shared" si="103"/>
        <v/>
      </c>
      <c r="S293" s="1024" t="str">
        <f t="shared" si="104"/>
        <v/>
      </c>
      <c r="U293" s="1024" t="str">
        <f t="shared" si="105"/>
        <v/>
      </c>
      <c r="W293" s="1024" t="str">
        <f t="shared" si="106"/>
        <v/>
      </c>
      <c r="Y293" s="1024" t="str">
        <f t="shared" si="107"/>
        <v/>
      </c>
      <c r="AA293" s="1024" t="str">
        <f t="shared" si="116"/>
        <v/>
      </c>
      <c r="AC293" s="1024" t="str">
        <f t="shared" si="108"/>
        <v/>
      </c>
      <c r="AE293" s="1024" t="str">
        <f t="shared" si="109"/>
        <v/>
      </c>
      <c r="AG293" s="1024" t="str">
        <f t="shared" si="110"/>
        <v/>
      </c>
      <c r="AI293" s="1024" t="str">
        <f t="shared" si="111"/>
        <v/>
      </c>
      <c r="AK293" s="1024" t="str">
        <f t="shared" si="112"/>
        <v/>
      </c>
      <c r="AM293" s="1024" t="str">
        <f t="shared" si="113"/>
        <v/>
      </c>
      <c r="AO293" s="1024" t="str">
        <f t="shared" si="114"/>
        <v/>
      </c>
      <c r="AQ293" s="1024" t="str">
        <f t="shared" si="115"/>
        <v/>
      </c>
    </row>
    <row r="294" spans="5:43" x14ac:dyDescent="0.2">
      <c r="E294" s="1024" t="str">
        <f t="shared" si="121"/>
        <v/>
      </c>
      <c r="G294" s="1024" t="str">
        <f t="shared" si="117"/>
        <v/>
      </c>
      <c r="I294" s="1024" t="str">
        <f t="shared" si="118"/>
        <v/>
      </c>
      <c r="K294" s="1024" t="str">
        <f t="shared" si="119"/>
        <v/>
      </c>
      <c r="M294" s="1024" t="str">
        <f t="shared" si="120"/>
        <v/>
      </c>
      <c r="O294" s="1024" t="str">
        <f t="shared" si="122"/>
        <v/>
      </c>
      <c r="Q294" s="1024" t="str">
        <f t="shared" si="103"/>
        <v/>
      </c>
      <c r="S294" s="1024" t="str">
        <f t="shared" si="104"/>
        <v/>
      </c>
      <c r="U294" s="1024" t="str">
        <f t="shared" si="105"/>
        <v/>
      </c>
      <c r="W294" s="1024" t="str">
        <f t="shared" si="106"/>
        <v/>
      </c>
      <c r="Y294" s="1024" t="str">
        <f t="shared" si="107"/>
        <v/>
      </c>
      <c r="AA294" s="1024" t="str">
        <f t="shared" si="116"/>
        <v/>
      </c>
      <c r="AC294" s="1024" t="str">
        <f t="shared" si="108"/>
        <v/>
      </c>
      <c r="AE294" s="1024" t="str">
        <f t="shared" si="109"/>
        <v/>
      </c>
      <c r="AG294" s="1024" t="str">
        <f t="shared" si="110"/>
        <v/>
      </c>
      <c r="AI294" s="1024" t="str">
        <f t="shared" si="111"/>
        <v/>
      </c>
      <c r="AK294" s="1024" t="str">
        <f t="shared" si="112"/>
        <v/>
      </c>
      <c r="AM294" s="1024" t="str">
        <f t="shared" si="113"/>
        <v/>
      </c>
      <c r="AO294" s="1024" t="str">
        <f t="shared" si="114"/>
        <v/>
      </c>
      <c r="AQ294" s="1024" t="str">
        <f t="shared" si="115"/>
        <v/>
      </c>
    </row>
    <row r="295" spans="5:43" x14ac:dyDescent="0.2">
      <c r="E295" s="1024" t="str">
        <f t="shared" si="121"/>
        <v/>
      </c>
      <c r="G295" s="1024" t="str">
        <f t="shared" si="117"/>
        <v/>
      </c>
      <c r="I295" s="1024" t="str">
        <f t="shared" si="118"/>
        <v/>
      </c>
      <c r="K295" s="1024" t="str">
        <f t="shared" si="119"/>
        <v/>
      </c>
      <c r="M295" s="1024" t="str">
        <f t="shared" si="120"/>
        <v/>
      </c>
      <c r="O295" s="1024" t="str">
        <f t="shared" si="122"/>
        <v/>
      </c>
      <c r="Q295" s="1024" t="str">
        <f t="shared" si="103"/>
        <v/>
      </c>
      <c r="S295" s="1024" t="str">
        <f t="shared" si="104"/>
        <v/>
      </c>
      <c r="U295" s="1024" t="str">
        <f t="shared" si="105"/>
        <v/>
      </c>
      <c r="W295" s="1024" t="str">
        <f t="shared" si="106"/>
        <v/>
      </c>
      <c r="Y295" s="1024" t="str">
        <f t="shared" si="107"/>
        <v/>
      </c>
      <c r="AA295" s="1024" t="str">
        <f t="shared" si="116"/>
        <v/>
      </c>
      <c r="AC295" s="1024" t="str">
        <f t="shared" si="108"/>
        <v/>
      </c>
      <c r="AE295" s="1024" t="str">
        <f t="shared" si="109"/>
        <v/>
      </c>
      <c r="AG295" s="1024" t="str">
        <f t="shared" si="110"/>
        <v/>
      </c>
      <c r="AI295" s="1024" t="str">
        <f t="shared" si="111"/>
        <v/>
      </c>
      <c r="AK295" s="1024" t="str">
        <f t="shared" si="112"/>
        <v/>
      </c>
      <c r="AM295" s="1024" t="str">
        <f t="shared" si="113"/>
        <v/>
      </c>
      <c r="AO295" s="1024" t="str">
        <f t="shared" si="114"/>
        <v/>
      </c>
      <c r="AQ295" s="1024" t="str">
        <f t="shared" si="115"/>
        <v/>
      </c>
    </row>
    <row r="296" spans="5:43" x14ac:dyDescent="0.2">
      <c r="E296" s="1024" t="str">
        <f t="shared" si="121"/>
        <v/>
      </c>
      <c r="G296" s="1024" t="str">
        <f t="shared" si="117"/>
        <v/>
      </c>
      <c r="I296" s="1024" t="str">
        <f t="shared" si="118"/>
        <v/>
      </c>
      <c r="K296" s="1024" t="str">
        <f t="shared" si="119"/>
        <v/>
      </c>
      <c r="M296" s="1024" t="str">
        <f t="shared" si="120"/>
        <v/>
      </c>
      <c r="O296" s="1024" t="str">
        <f t="shared" si="122"/>
        <v/>
      </c>
      <c r="Q296" s="1024" t="str">
        <f t="shared" si="103"/>
        <v/>
      </c>
      <c r="S296" s="1024" t="str">
        <f t="shared" si="104"/>
        <v/>
      </c>
      <c r="U296" s="1024" t="str">
        <f t="shared" si="105"/>
        <v/>
      </c>
      <c r="W296" s="1024" t="str">
        <f t="shared" si="106"/>
        <v/>
      </c>
      <c r="Y296" s="1024" t="str">
        <f t="shared" si="107"/>
        <v/>
      </c>
      <c r="AA296" s="1024" t="str">
        <f t="shared" si="116"/>
        <v/>
      </c>
      <c r="AC296" s="1024" t="str">
        <f t="shared" si="108"/>
        <v/>
      </c>
      <c r="AE296" s="1024" t="str">
        <f t="shared" si="109"/>
        <v/>
      </c>
      <c r="AG296" s="1024" t="str">
        <f t="shared" si="110"/>
        <v/>
      </c>
      <c r="AI296" s="1024" t="str">
        <f t="shared" si="111"/>
        <v/>
      </c>
      <c r="AK296" s="1024" t="str">
        <f t="shared" si="112"/>
        <v/>
      </c>
      <c r="AM296" s="1024" t="str">
        <f t="shared" si="113"/>
        <v/>
      </c>
      <c r="AO296" s="1024" t="str">
        <f t="shared" si="114"/>
        <v/>
      </c>
      <c r="AQ296" s="1024" t="str">
        <f t="shared" si="115"/>
        <v/>
      </c>
    </row>
    <row r="297" spans="5:43" x14ac:dyDescent="0.2">
      <c r="E297" s="1024" t="str">
        <f t="shared" si="121"/>
        <v/>
      </c>
      <c r="G297" s="1024" t="str">
        <f t="shared" si="117"/>
        <v/>
      </c>
      <c r="I297" s="1024" t="str">
        <f t="shared" si="118"/>
        <v/>
      </c>
      <c r="K297" s="1024" t="str">
        <f t="shared" si="119"/>
        <v/>
      </c>
      <c r="M297" s="1024" t="str">
        <f t="shared" si="120"/>
        <v/>
      </c>
      <c r="O297" s="1024" t="str">
        <f t="shared" si="122"/>
        <v/>
      </c>
      <c r="Q297" s="1024" t="str">
        <f t="shared" si="103"/>
        <v/>
      </c>
      <c r="S297" s="1024" t="str">
        <f t="shared" si="104"/>
        <v/>
      </c>
      <c r="U297" s="1024" t="str">
        <f t="shared" si="105"/>
        <v/>
      </c>
      <c r="W297" s="1024" t="str">
        <f t="shared" si="106"/>
        <v/>
      </c>
      <c r="Y297" s="1024" t="str">
        <f t="shared" si="107"/>
        <v/>
      </c>
      <c r="AA297" s="1024" t="str">
        <f t="shared" si="116"/>
        <v/>
      </c>
      <c r="AC297" s="1024" t="str">
        <f t="shared" si="108"/>
        <v/>
      </c>
      <c r="AE297" s="1024" t="str">
        <f t="shared" si="109"/>
        <v/>
      </c>
      <c r="AG297" s="1024" t="str">
        <f t="shared" si="110"/>
        <v/>
      </c>
      <c r="AI297" s="1024" t="str">
        <f t="shared" si="111"/>
        <v/>
      </c>
      <c r="AK297" s="1024" t="str">
        <f t="shared" si="112"/>
        <v/>
      </c>
      <c r="AM297" s="1024" t="str">
        <f t="shared" si="113"/>
        <v/>
      </c>
      <c r="AO297" s="1024" t="str">
        <f t="shared" si="114"/>
        <v/>
      </c>
      <c r="AQ297" s="1024" t="str">
        <f t="shared" si="115"/>
        <v/>
      </c>
    </row>
    <row r="298" spans="5:43" x14ac:dyDescent="0.2">
      <c r="E298" s="1024" t="str">
        <f t="shared" si="121"/>
        <v/>
      </c>
      <c r="G298" s="1024" t="str">
        <f t="shared" si="117"/>
        <v/>
      </c>
      <c r="I298" s="1024" t="str">
        <f t="shared" si="118"/>
        <v/>
      </c>
      <c r="K298" s="1024" t="str">
        <f t="shared" si="119"/>
        <v/>
      </c>
      <c r="M298" s="1024" t="str">
        <f t="shared" si="120"/>
        <v/>
      </c>
      <c r="O298" s="1024" t="str">
        <f t="shared" si="122"/>
        <v/>
      </c>
      <c r="Q298" s="1024" t="str">
        <f t="shared" si="103"/>
        <v/>
      </c>
      <c r="S298" s="1024" t="str">
        <f t="shared" si="104"/>
        <v/>
      </c>
      <c r="U298" s="1024" t="str">
        <f t="shared" si="105"/>
        <v/>
      </c>
      <c r="W298" s="1024" t="str">
        <f t="shared" si="106"/>
        <v/>
      </c>
      <c r="Y298" s="1024" t="str">
        <f t="shared" si="107"/>
        <v/>
      </c>
      <c r="AA298" s="1024" t="str">
        <f t="shared" si="116"/>
        <v/>
      </c>
      <c r="AC298" s="1024" t="str">
        <f t="shared" si="108"/>
        <v/>
      </c>
      <c r="AE298" s="1024" t="str">
        <f t="shared" si="109"/>
        <v/>
      </c>
      <c r="AG298" s="1024" t="str">
        <f t="shared" si="110"/>
        <v/>
      </c>
      <c r="AI298" s="1024" t="str">
        <f t="shared" si="111"/>
        <v/>
      </c>
      <c r="AK298" s="1024" t="str">
        <f t="shared" si="112"/>
        <v/>
      </c>
      <c r="AM298" s="1024" t="str">
        <f t="shared" si="113"/>
        <v/>
      </c>
      <c r="AO298" s="1024" t="str">
        <f t="shared" si="114"/>
        <v/>
      </c>
      <c r="AQ298" s="1024" t="str">
        <f t="shared" si="115"/>
        <v/>
      </c>
    </row>
    <row r="299" spans="5:43" x14ac:dyDescent="0.2">
      <c r="E299" s="1024" t="str">
        <f t="shared" si="121"/>
        <v/>
      </c>
      <c r="G299" s="1024" t="str">
        <f t="shared" si="117"/>
        <v/>
      </c>
      <c r="I299" s="1024" t="str">
        <f t="shared" si="118"/>
        <v/>
      </c>
      <c r="K299" s="1024" t="str">
        <f t="shared" si="119"/>
        <v/>
      </c>
      <c r="M299" s="1024" t="str">
        <f t="shared" si="120"/>
        <v/>
      </c>
      <c r="O299" s="1024" t="str">
        <f t="shared" si="122"/>
        <v/>
      </c>
      <c r="Q299" s="1024" t="str">
        <f t="shared" si="103"/>
        <v/>
      </c>
      <c r="S299" s="1024" t="str">
        <f t="shared" si="104"/>
        <v/>
      </c>
      <c r="U299" s="1024" t="str">
        <f t="shared" si="105"/>
        <v/>
      </c>
      <c r="W299" s="1024" t="str">
        <f t="shared" si="106"/>
        <v/>
      </c>
      <c r="Y299" s="1024" t="str">
        <f t="shared" si="107"/>
        <v/>
      </c>
      <c r="AA299" s="1024" t="str">
        <f t="shared" si="116"/>
        <v/>
      </c>
      <c r="AC299" s="1024" t="str">
        <f t="shared" si="108"/>
        <v/>
      </c>
      <c r="AE299" s="1024" t="str">
        <f t="shared" si="109"/>
        <v/>
      </c>
      <c r="AG299" s="1024" t="str">
        <f t="shared" si="110"/>
        <v/>
      </c>
      <c r="AI299" s="1024" t="str">
        <f t="shared" si="111"/>
        <v/>
      </c>
      <c r="AK299" s="1024" t="str">
        <f t="shared" si="112"/>
        <v/>
      </c>
      <c r="AM299" s="1024" t="str">
        <f t="shared" si="113"/>
        <v/>
      </c>
      <c r="AO299" s="1024" t="str">
        <f t="shared" si="114"/>
        <v/>
      </c>
      <c r="AQ299" s="1024" t="str">
        <f t="shared" si="115"/>
        <v/>
      </c>
    </row>
    <row r="300" spans="5:43" x14ac:dyDescent="0.2">
      <c r="E300" s="1024" t="str">
        <f t="shared" si="121"/>
        <v/>
      </c>
      <c r="G300" s="1024" t="str">
        <f t="shared" si="117"/>
        <v/>
      </c>
      <c r="I300" s="1024" t="str">
        <f t="shared" si="118"/>
        <v/>
      </c>
      <c r="K300" s="1024" t="str">
        <f t="shared" si="119"/>
        <v/>
      </c>
      <c r="M300" s="1024" t="str">
        <f t="shared" si="120"/>
        <v/>
      </c>
      <c r="O300" s="1024" t="str">
        <f t="shared" si="122"/>
        <v/>
      </c>
      <c r="Q300" s="1024" t="str">
        <f t="shared" si="103"/>
        <v/>
      </c>
      <c r="S300" s="1024" t="str">
        <f t="shared" si="104"/>
        <v/>
      </c>
      <c r="U300" s="1024" t="str">
        <f t="shared" si="105"/>
        <v/>
      </c>
      <c r="W300" s="1024" t="str">
        <f t="shared" si="106"/>
        <v/>
      </c>
      <c r="Y300" s="1024" t="str">
        <f t="shared" si="107"/>
        <v/>
      </c>
      <c r="AA300" s="1024" t="str">
        <f t="shared" si="116"/>
        <v/>
      </c>
      <c r="AC300" s="1024" t="str">
        <f t="shared" si="108"/>
        <v/>
      </c>
      <c r="AE300" s="1024" t="str">
        <f t="shared" si="109"/>
        <v/>
      </c>
      <c r="AG300" s="1024" t="str">
        <f t="shared" si="110"/>
        <v/>
      </c>
      <c r="AI300" s="1024" t="str">
        <f t="shared" si="111"/>
        <v/>
      </c>
      <c r="AK300" s="1024" t="str">
        <f t="shared" si="112"/>
        <v/>
      </c>
      <c r="AM300" s="1024" t="str">
        <f t="shared" si="113"/>
        <v/>
      </c>
      <c r="AO300" s="1024" t="str">
        <f t="shared" si="114"/>
        <v/>
      </c>
      <c r="AQ300" s="1024" t="str">
        <f t="shared" si="115"/>
        <v/>
      </c>
    </row>
    <row r="301" spans="5:43" x14ac:dyDescent="0.2">
      <c r="E301" s="1024" t="str">
        <f t="shared" si="121"/>
        <v/>
      </c>
      <c r="G301" s="1024" t="str">
        <f t="shared" si="117"/>
        <v/>
      </c>
      <c r="I301" s="1024" t="str">
        <f t="shared" si="118"/>
        <v/>
      </c>
      <c r="K301" s="1024" t="str">
        <f t="shared" si="119"/>
        <v/>
      </c>
      <c r="M301" s="1024" t="str">
        <f t="shared" si="120"/>
        <v/>
      </c>
      <c r="O301" s="1024" t="str">
        <f t="shared" si="122"/>
        <v/>
      </c>
      <c r="Q301" s="1024" t="str">
        <f t="shared" si="103"/>
        <v/>
      </c>
      <c r="S301" s="1024" t="str">
        <f t="shared" si="104"/>
        <v/>
      </c>
      <c r="U301" s="1024" t="str">
        <f t="shared" si="105"/>
        <v/>
      </c>
      <c r="W301" s="1024" t="str">
        <f t="shared" si="106"/>
        <v/>
      </c>
      <c r="Y301" s="1024" t="str">
        <f t="shared" si="107"/>
        <v/>
      </c>
      <c r="AA301" s="1024" t="str">
        <f t="shared" si="116"/>
        <v/>
      </c>
      <c r="AC301" s="1024" t="str">
        <f t="shared" si="108"/>
        <v/>
      </c>
      <c r="AE301" s="1024" t="str">
        <f t="shared" si="109"/>
        <v/>
      </c>
      <c r="AG301" s="1024" t="str">
        <f t="shared" si="110"/>
        <v/>
      </c>
      <c r="AI301" s="1024" t="str">
        <f t="shared" si="111"/>
        <v/>
      </c>
      <c r="AK301" s="1024" t="str">
        <f t="shared" si="112"/>
        <v/>
      </c>
      <c r="AM301" s="1024" t="str">
        <f t="shared" si="113"/>
        <v/>
      </c>
      <c r="AO301" s="1024" t="str">
        <f t="shared" si="114"/>
        <v/>
      </c>
      <c r="AQ301" s="1024" t="str">
        <f t="shared" si="115"/>
        <v/>
      </c>
    </row>
  </sheetData>
  <mergeCells count="1">
    <mergeCell ref="A3:A6"/>
  </mergeCells>
  <conditionalFormatting sqref="E12:E29">
    <cfRule type="expression" dxfId="3" priority="2">
      <formula>AND(LEN(E12)&gt;0,OR(E12&lt;E$2,E12&gt;E$3))</formula>
    </cfRule>
  </conditionalFormatting>
  <conditionalFormatting sqref="E35:E301">
    <cfRule type="expression" dxfId="2" priority="4">
      <formula>AND(LEN(E35)&gt;0,OR(E35&lt;E$2,E35&gt;E$3))</formula>
    </cfRule>
  </conditionalFormatting>
  <conditionalFormatting sqref="G12:G301 I12:I301 K12:K301 M12:M301">
    <cfRule type="expression" dxfId="1" priority="1">
      <formula>AND(LEN(G12)&gt;0,OR(G12&lt;G$2,G12&gt;G$3))</formula>
    </cfRule>
  </conditionalFormatting>
  <conditionalFormatting sqref="O12:O301 Q12:Q301 S12:S301 U12:U301 W12:W301 Y12:Y301 AA12:AA301 AC12:AC301 AE12:AE301 AG12:AG301 AI12:AI301 AK12:AK301 AM12:AM301 AO12:AO301 AQ12:AQ301">
    <cfRule type="expression" dxfId="0" priority="3">
      <formula>AND(LEN(O12)&gt;0,OR(O12&lt;O$2,O12&gt;O$3))</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B5-4A18-4B9C-9E88-7B6FFD7FDBE9}">
  <sheetPr filterMode="1"/>
  <dimension ref="A1:Z750"/>
  <sheetViews>
    <sheetView topLeftCell="B1" workbookViewId="0">
      <pane ySplit="1" topLeftCell="A320" activePane="bottomLeft" state="frozen"/>
      <selection pane="bottomLeft" activeCell="L320" sqref="L320"/>
    </sheetView>
  </sheetViews>
  <sheetFormatPr defaultRowHeight="15" x14ac:dyDescent="0.25"/>
  <cols>
    <col min="1" max="1" width="11.7109375" customWidth="1"/>
    <col min="2" max="2" width="28.28515625" customWidth="1"/>
    <col min="3" max="3" width="11.7109375" style="24" customWidth="1"/>
    <col min="4" max="4" width="40.7109375" customWidth="1"/>
    <col min="5" max="6" width="14.42578125" customWidth="1"/>
    <col min="7" max="7" width="14.42578125" hidden="1" customWidth="1"/>
    <col min="8" max="9" width="14.42578125" customWidth="1"/>
    <col min="10" max="10" width="16" customWidth="1"/>
    <col min="11" max="11" width="14.42578125" customWidth="1"/>
    <col min="12" max="12" width="11.7109375" customWidth="1"/>
    <col min="13" max="13" width="9.140625" customWidth="1"/>
    <col min="14" max="14" width="12.5703125" bestFit="1" customWidth="1"/>
    <col min="15" max="15" width="12.5703125" style="963" customWidth="1"/>
    <col min="21" max="21" width="11.5703125" bestFit="1" customWidth="1"/>
    <col min="23" max="23" width="11.28515625" customWidth="1"/>
    <col min="24" max="24" width="11.85546875" customWidth="1"/>
  </cols>
  <sheetData>
    <row r="1" spans="1:26" x14ac:dyDescent="0.25">
      <c r="A1" s="24" t="s">
        <v>728</v>
      </c>
      <c r="B1" s="24" t="s">
        <v>729</v>
      </c>
      <c r="C1" s="24" t="s">
        <v>730</v>
      </c>
      <c r="D1" s="24" t="s">
        <v>731</v>
      </c>
      <c r="E1" s="24" t="s">
        <v>732</v>
      </c>
      <c r="F1" s="24" t="s">
        <v>733</v>
      </c>
      <c r="G1" s="24" t="s">
        <v>734</v>
      </c>
      <c r="H1" s="24" t="s">
        <v>735</v>
      </c>
      <c r="I1" s="24" t="s">
        <v>736</v>
      </c>
      <c r="J1" s="24" t="s">
        <v>737</v>
      </c>
      <c r="K1" s="24" t="s">
        <v>738</v>
      </c>
      <c r="L1" s="24" t="s">
        <v>739</v>
      </c>
      <c r="O1" s="963" t="s">
        <v>740</v>
      </c>
      <c r="P1" t="s">
        <v>741</v>
      </c>
      <c r="R1" s="963" t="s">
        <v>742</v>
      </c>
      <c r="S1" s="963" t="s">
        <v>743</v>
      </c>
      <c r="W1" s="964">
        <v>0.53</v>
      </c>
      <c r="X1" s="964">
        <v>0.63</v>
      </c>
      <c r="Y1" s="964">
        <v>0.3</v>
      </c>
      <c r="Z1" s="964">
        <v>0.4</v>
      </c>
    </row>
    <row r="2" spans="1:26" hidden="1" x14ac:dyDescent="0.25">
      <c r="A2" t="s">
        <v>744</v>
      </c>
      <c r="B2" t="s">
        <v>745</v>
      </c>
      <c r="C2" s="24" t="s">
        <v>746</v>
      </c>
      <c r="D2" t="s">
        <v>747</v>
      </c>
      <c r="E2" s="965">
        <v>77.150000000000006</v>
      </c>
      <c r="F2" s="966">
        <v>160460</v>
      </c>
      <c r="G2" s="967">
        <v>0.6</v>
      </c>
      <c r="H2" s="965">
        <v>31.9</v>
      </c>
      <c r="I2" s="965">
        <v>46.33</v>
      </c>
      <c r="J2" s="965">
        <v>65.59</v>
      </c>
      <c r="K2" s="965">
        <v>97.1</v>
      </c>
      <c r="L2" s="965" t="s">
        <v>748</v>
      </c>
      <c r="O2" s="963">
        <f t="shared" ref="O2:O65" si="0">_xlfn.PERCENTILE.INC((H2:L2),$W$1)</f>
        <v>57.693399999999997</v>
      </c>
      <c r="P2" s="963">
        <f t="shared" ref="P2:P65" si="1">_xlfn.PERCENTILE.INC((H2:L2),$X$1)</f>
        <v>63.471400000000003</v>
      </c>
      <c r="R2" s="963">
        <f>_xlfn.PERCENTILE.INC((H2:L2),$Y$1)</f>
        <v>44.887</v>
      </c>
      <c r="S2" s="963">
        <f>_xlfn.PERCENTILE.INC((H2:L2),$Z$1)</f>
        <v>50.182000000000002</v>
      </c>
    </row>
    <row r="3" spans="1:26" hidden="1" x14ac:dyDescent="0.25">
      <c r="A3" t="s">
        <v>744</v>
      </c>
      <c r="B3" t="s">
        <v>745</v>
      </c>
      <c r="C3" s="24" t="s">
        <v>749</v>
      </c>
      <c r="D3" t="s">
        <v>750</v>
      </c>
      <c r="E3" s="965">
        <v>72.05</v>
      </c>
      <c r="F3" s="966">
        <v>149870</v>
      </c>
      <c r="G3" s="967">
        <v>1.2</v>
      </c>
      <c r="H3" s="965">
        <v>26.98</v>
      </c>
      <c r="I3" s="965">
        <v>38.11</v>
      </c>
      <c r="J3" s="965">
        <v>58.02</v>
      </c>
      <c r="K3" s="965">
        <v>86.49</v>
      </c>
      <c r="L3" s="965" t="s">
        <v>748</v>
      </c>
      <c r="O3" s="963">
        <f t="shared" si="0"/>
        <v>49.856899999999996</v>
      </c>
      <c r="P3" s="963">
        <f t="shared" si="1"/>
        <v>55.829900000000009</v>
      </c>
      <c r="R3" s="963">
        <f t="shared" ref="R3:R66" si="2">_xlfn.PERCENTILE.INC((H3:L3),$Y$1)</f>
        <v>36.997</v>
      </c>
      <c r="S3" s="963">
        <f t="shared" ref="S3:S66" si="3">_xlfn.PERCENTILE.INC((H3:L3),$Z$1)</f>
        <v>42.092000000000006</v>
      </c>
    </row>
    <row r="4" spans="1:26" hidden="1" x14ac:dyDescent="0.25">
      <c r="A4" t="s">
        <v>744</v>
      </c>
      <c r="B4" t="s">
        <v>745</v>
      </c>
      <c r="C4" s="24" t="s">
        <v>751</v>
      </c>
      <c r="D4" t="s">
        <v>752</v>
      </c>
      <c r="E4" s="965">
        <v>65.819999999999993</v>
      </c>
      <c r="F4" s="966">
        <v>136910</v>
      </c>
      <c r="G4" s="967">
        <v>10.199999999999999</v>
      </c>
      <c r="H4" s="965">
        <v>37.35</v>
      </c>
      <c r="I4" s="965">
        <v>40.58</v>
      </c>
      <c r="J4" s="965">
        <v>58.56</v>
      </c>
      <c r="K4" s="965">
        <v>85.82</v>
      </c>
      <c r="L4" s="965">
        <v>110.14</v>
      </c>
      <c r="O4" s="963">
        <f t="shared" si="0"/>
        <v>61.831200000000003</v>
      </c>
      <c r="P4" s="963">
        <f t="shared" si="1"/>
        <v>72.735199999999992</v>
      </c>
      <c r="R4" s="963">
        <f t="shared" si="2"/>
        <v>44.176000000000002</v>
      </c>
      <c r="S4" s="963">
        <f t="shared" si="3"/>
        <v>51.368000000000002</v>
      </c>
    </row>
    <row r="5" spans="1:26" hidden="1" x14ac:dyDescent="0.25">
      <c r="A5" t="s">
        <v>744</v>
      </c>
      <c r="B5" t="s">
        <v>745</v>
      </c>
      <c r="C5" s="24" t="s">
        <v>753</v>
      </c>
      <c r="D5" t="s">
        <v>754</v>
      </c>
      <c r="E5" s="965">
        <v>86.59</v>
      </c>
      <c r="F5" s="966">
        <v>180120</v>
      </c>
      <c r="G5" s="967">
        <v>1.3</v>
      </c>
      <c r="H5" s="965">
        <v>44.07</v>
      </c>
      <c r="I5" s="965">
        <v>63.19</v>
      </c>
      <c r="J5" s="965">
        <v>81.72</v>
      </c>
      <c r="K5" s="965">
        <v>103.13</v>
      </c>
      <c r="L5" s="965" t="s">
        <v>748</v>
      </c>
      <c r="O5" s="963">
        <f t="shared" si="0"/>
        <v>74.122699999999995</v>
      </c>
      <c r="P5" s="963">
        <f t="shared" si="1"/>
        <v>79.681700000000006</v>
      </c>
      <c r="R5" s="963">
        <f t="shared" si="2"/>
        <v>61.277999999999992</v>
      </c>
      <c r="S5" s="963">
        <f t="shared" si="3"/>
        <v>66.896000000000001</v>
      </c>
    </row>
    <row r="6" spans="1:26" hidden="1" x14ac:dyDescent="0.25">
      <c r="A6" t="s">
        <v>744</v>
      </c>
      <c r="B6" t="s">
        <v>745</v>
      </c>
      <c r="C6" s="24" t="s">
        <v>755</v>
      </c>
      <c r="D6" t="s">
        <v>756</v>
      </c>
      <c r="E6" s="965">
        <v>82.88</v>
      </c>
      <c r="F6" s="966">
        <v>172390</v>
      </c>
      <c r="G6" s="967">
        <v>2.7</v>
      </c>
      <c r="H6" s="965">
        <v>37.51</v>
      </c>
      <c r="I6" s="965">
        <v>50.99</v>
      </c>
      <c r="J6" s="965">
        <v>75.17</v>
      </c>
      <c r="K6" s="965">
        <v>103.8</v>
      </c>
      <c r="L6" s="965" t="s">
        <v>748</v>
      </c>
      <c r="O6" s="963">
        <f t="shared" si="0"/>
        <v>65.256199999999993</v>
      </c>
      <c r="P6" s="963">
        <f t="shared" si="1"/>
        <v>72.510199999999998</v>
      </c>
      <c r="R6" s="963">
        <f t="shared" si="2"/>
        <v>49.642000000000003</v>
      </c>
      <c r="S6" s="963">
        <f t="shared" si="3"/>
        <v>55.826000000000008</v>
      </c>
    </row>
    <row r="7" spans="1:26" hidden="1" x14ac:dyDescent="0.25">
      <c r="A7" t="s">
        <v>744</v>
      </c>
      <c r="B7" t="s">
        <v>745</v>
      </c>
      <c r="C7" s="24" t="s">
        <v>757</v>
      </c>
      <c r="D7" t="s">
        <v>758</v>
      </c>
      <c r="E7" s="965">
        <v>82.02</v>
      </c>
      <c r="F7" s="966">
        <v>170600</v>
      </c>
      <c r="G7" s="967">
        <v>3.7</v>
      </c>
      <c r="H7" s="965">
        <v>39.08</v>
      </c>
      <c r="I7" s="965">
        <v>53.05</v>
      </c>
      <c r="J7" s="965">
        <v>73.099999999999994</v>
      </c>
      <c r="K7" s="965">
        <v>99.98</v>
      </c>
      <c r="L7" s="965" t="s">
        <v>748</v>
      </c>
      <c r="O7" s="963">
        <f t="shared" si="0"/>
        <v>64.879499999999993</v>
      </c>
      <c r="P7" s="963">
        <f t="shared" si="1"/>
        <v>70.894499999999994</v>
      </c>
      <c r="R7" s="963">
        <f t="shared" si="2"/>
        <v>51.652999999999999</v>
      </c>
      <c r="S7" s="963">
        <f t="shared" si="3"/>
        <v>57.06</v>
      </c>
    </row>
    <row r="8" spans="1:26" hidden="1" x14ac:dyDescent="0.25">
      <c r="A8" t="s">
        <v>744</v>
      </c>
      <c r="B8" t="s">
        <v>745</v>
      </c>
      <c r="C8" s="24" t="s">
        <v>759</v>
      </c>
      <c r="D8" t="s">
        <v>760</v>
      </c>
      <c r="E8" s="965">
        <v>73.08</v>
      </c>
      <c r="F8" s="966">
        <v>152010</v>
      </c>
      <c r="G8" s="967">
        <v>2.7</v>
      </c>
      <c r="H8" s="965">
        <v>39.71</v>
      </c>
      <c r="I8" s="965">
        <v>51.42</v>
      </c>
      <c r="J8" s="965">
        <v>65.680000000000007</v>
      </c>
      <c r="K8" s="965">
        <v>85.37</v>
      </c>
      <c r="L8" s="965">
        <v>112.37</v>
      </c>
      <c r="O8" s="963">
        <f t="shared" si="0"/>
        <v>68.042800000000014</v>
      </c>
      <c r="P8" s="963">
        <f t="shared" si="1"/>
        <v>75.918800000000005</v>
      </c>
      <c r="R8" s="963">
        <f t="shared" si="2"/>
        <v>54.272000000000006</v>
      </c>
      <c r="S8" s="963">
        <f t="shared" si="3"/>
        <v>59.976000000000006</v>
      </c>
    </row>
    <row r="9" spans="1:26" hidden="1" x14ac:dyDescent="0.25">
      <c r="A9" t="s">
        <v>744</v>
      </c>
      <c r="B9" t="s">
        <v>745</v>
      </c>
      <c r="C9" s="24" t="s">
        <v>761</v>
      </c>
      <c r="D9" t="s">
        <v>762</v>
      </c>
      <c r="E9" s="965">
        <v>65.989999999999995</v>
      </c>
      <c r="F9" s="966">
        <v>137250</v>
      </c>
      <c r="G9" s="967">
        <v>1.4</v>
      </c>
      <c r="H9" s="965">
        <v>37.270000000000003</v>
      </c>
      <c r="I9" s="965">
        <v>46.37</v>
      </c>
      <c r="J9" s="965">
        <v>56.66</v>
      </c>
      <c r="K9" s="965">
        <v>78.53</v>
      </c>
      <c r="L9" s="965">
        <v>104.77</v>
      </c>
      <c r="O9" s="963">
        <f t="shared" si="0"/>
        <v>59.284399999999998</v>
      </c>
      <c r="P9" s="963">
        <f t="shared" si="1"/>
        <v>68.032399999999996</v>
      </c>
      <c r="R9" s="963">
        <f t="shared" si="2"/>
        <v>48.427999999999997</v>
      </c>
      <c r="S9" s="963">
        <f t="shared" si="3"/>
        <v>52.543999999999997</v>
      </c>
    </row>
    <row r="10" spans="1:26" hidden="1" x14ac:dyDescent="0.25">
      <c r="A10" t="s">
        <v>744</v>
      </c>
      <c r="B10" t="s">
        <v>745</v>
      </c>
      <c r="C10" s="24" t="s">
        <v>763</v>
      </c>
      <c r="D10" t="s">
        <v>764</v>
      </c>
      <c r="E10" s="965">
        <v>59.65</v>
      </c>
      <c r="F10" s="966">
        <v>124070</v>
      </c>
      <c r="G10" s="967">
        <v>1</v>
      </c>
      <c r="H10" s="965">
        <v>33.270000000000003</v>
      </c>
      <c r="I10" s="965">
        <v>42.15</v>
      </c>
      <c r="J10" s="965">
        <v>55.21</v>
      </c>
      <c r="K10" s="965">
        <v>72.38</v>
      </c>
      <c r="L10" s="965">
        <v>93.63</v>
      </c>
      <c r="O10" s="963">
        <f t="shared" si="0"/>
        <v>57.270400000000002</v>
      </c>
      <c r="P10" s="963">
        <f t="shared" si="1"/>
        <v>64.138400000000004</v>
      </c>
      <c r="R10" s="963">
        <f t="shared" si="2"/>
        <v>44.762</v>
      </c>
      <c r="S10" s="963">
        <f t="shared" si="3"/>
        <v>49.986000000000004</v>
      </c>
    </row>
    <row r="11" spans="1:26" hidden="1" x14ac:dyDescent="0.25">
      <c r="A11" t="s">
        <v>744</v>
      </c>
      <c r="B11" t="s">
        <v>745</v>
      </c>
      <c r="C11" s="24" t="s">
        <v>765</v>
      </c>
      <c r="D11" t="s">
        <v>766</v>
      </c>
      <c r="E11" s="965">
        <v>92.19</v>
      </c>
      <c r="F11" s="966">
        <v>191750</v>
      </c>
      <c r="G11" s="967">
        <v>1.1000000000000001</v>
      </c>
      <c r="H11" s="965">
        <v>59.98</v>
      </c>
      <c r="I11" s="965">
        <v>73.489999999999995</v>
      </c>
      <c r="J11" s="965">
        <v>84.22</v>
      </c>
      <c r="K11" s="965">
        <v>104.12</v>
      </c>
      <c r="L11" s="965" t="s">
        <v>748</v>
      </c>
      <c r="O11" s="963">
        <f t="shared" si="0"/>
        <v>79.820700000000002</v>
      </c>
      <c r="P11" s="963">
        <f t="shared" si="1"/>
        <v>83.039699999999996</v>
      </c>
      <c r="R11" s="963">
        <f t="shared" si="2"/>
        <v>72.138999999999996</v>
      </c>
      <c r="S11" s="963">
        <f t="shared" si="3"/>
        <v>75.635999999999996</v>
      </c>
    </row>
    <row r="12" spans="1:26" hidden="1" x14ac:dyDescent="0.25">
      <c r="A12" t="s">
        <v>744</v>
      </c>
      <c r="B12" t="s">
        <v>745</v>
      </c>
      <c r="C12" s="24" t="s">
        <v>767</v>
      </c>
      <c r="D12" t="s">
        <v>768</v>
      </c>
      <c r="E12" s="965">
        <v>92.33</v>
      </c>
      <c r="F12" s="966">
        <v>192040</v>
      </c>
      <c r="G12" s="967">
        <v>2.7</v>
      </c>
      <c r="H12" s="965">
        <v>46.52</v>
      </c>
      <c r="I12" s="965">
        <v>61.8</v>
      </c>
      <c r="J12" s="965">
        <v>81.67</v>
      </c>
      <c r="K12" s="965">
        <v>106.05</v>
      </c>
      <c r="L12" s="965" t="s">
        <v>748</v>
      </c>
      <c r="O12" s="963">
        <f t="shared" si="0"/>
        <v>73.523299999999992</v>
      </c>
      <c r="P12" s="963">
        <f t="shared" si="1"/>
        <v>79.484300000000005</v>
      </c>
      <c r="R12" s="963">
        <f t="shared" si="2"/>
        <v>60.271999999999998</v>
      </c>
      <c r="S12" s="963">
        <f t="shared" si="3"/>
        <v>65.774000000000001</v>
      </c>
    </row>
    <row r="13" spans="1:26" hidden="1" x14ac:dyDescent="0.25">
      <c r="A13" t="s">
        <v>744</v>
      </c>
      <c r="B13" t="s">
        <v>745</v>
      </c>
      <c r="C13" s="24" t="s">
        <v>769</v>
      </c>
      <c r="D13" t="s">
        <v>770</v>
      </c>
      <c r="E13" s="965">
        <v>68.52</v>
      </c>
      <c r="F13" s="966">
        <v>142520</v>
      </c>
      <c r="G13" s="967">
        <v>1.3</v>
      </c>
      <c r="H13" s="965">
        <v>39.44</v>
      </c>
      <c r="I13" s="965">
        <v>51.39</v>
      </c>
      <c r="J13" s="965">
        <v>64.22</v>
      </c>
      <c r="K13" s="965">
        <v>82.02</v>
      </c>
      <c r="L13" s="965">
        <v>104.5</v>
      </c>
      <c r="O13" s="963">
        <f t="shared" si="0"/>
        <v>66.355999999999995</v>
      </c>
      <c r="P13" s="963">
        <f t="shared" si="1"/>
        <v>73.475999999999999</v>
      </c>
      <c r="R13" s="963">
        <f t="shared" si="2"/>
        <v>53.956000000000003</v>
      </c>
      <c r="S13" s="963">
        <f t="shared" si="3"/>
        <v>59.088000000000001</v>
      </c>
    </row>
    <row r="14" spans="1:26" hidden="1" x14ac:dyDescent="0.25">
      <c r="A14" t="s">
        <v>744</v>
      </c>
      <c r="B14" t="s">
        <v>745</v>
      </c>
      <c r="C14" s="24" t="s">
        <v>771</v>
      </c>
      <c r="D14" t="s">
        <v>772</v>
      </c>
      <c r="E14" s="965">
        <v>78.63</v>
      </c>
      <c r="F14" s="966">
        <v>163560</v>
      </c>
      <c r="G14" s="967">
        <v>2.2999999999999998</v>
      </c>
      <c r="H14" s="965">
        <v>46.56</v>
      </c>
      <c r="I14" s="965">
        <v>59.21</v>
      </c>
      <c r="J14" s="965">
        <v>74.400000000000006</v>
      </c>
      <c r="K14" s="965">
        <v>88.22</v>
      </c>
      <c r="L14" s="965" t="s">
        <v>748</v>
      </c>
      <c r="O14" s="963">
        <f t="shared" si="0"/>
        <v>68.1721</v>
      </c>
      <c r="P14" s="963">
        <f t="shared" si="1"/>
        <v>72.729100000000003</v>
      </c>
      <c r="R14" s="963">
        <f t="shared" si="2"/>
        <v>57.945</v>
      </c>
      <c r="S14" s="963">
        <f t="shared" si="3"/>
        <v>62.248000000000005</v>
      </c>
    </row>
    <row r="15" spans="1:26" hidden="1" x14ac:dyDescent="0.25">
      <c r="A15" t="s">
        <v>744</v>
      </c>
      <c r="B15" t="s">
        <v>745</v>
      </c>
      <c r="C15" s="24" t="s">
        <v>773</v>
      </c>
      <c r="D15" t="s">
        <v>774</v>
      </c>
      <c r="E15" s="965">
        <v>55.85</v>
      </c>
      <c r="F15" s="966">
        <v>116160</v>
      </c>
      <c r="G15" s="967">
        <v>1.9</v>
      </c>
      <c r="H15" s="965">
        <v>29.36</v>
      </c>
      <c r="I15" s="965">
        <v>36.33</v>
      </c>
      <c r="J15" s="965">
        <v>48.56</v>
      </c>
      <c r="K15" s="965">
        <v>67.64</v>
      </c>
      <c r="L15" s="965">
        <v>94.7</v>
      </c>
      <c r="O15" s="963">
        <f t="shared" si="0"/>
        <v>50.849600000000002</v>
      </c>
      <c r="P15" s="963">
        <f t="shared" si="1"/>
        <v>58.4816</v>
      </c>
      <c r="R15" s="963">
        <f t="shared" si="2"/>
        <v>38.776000000000003</v>
      </c>
      <c r="S15" s="963">
        <f t="shared" si="3"/>
        <v>43.667999999999999</v>
      </c>
    </row>
    <row r="16" spans="1:26" hidden="1" x14ac:dyDescent="0.25">
      <c r="A16" t="s">
        <v>744</v>
      </c>
      <c r="B16" t="s">
        <v>745</v>
      </c>
      <c r="C16" s="24" t="s">
        <v>775</v>
      </c>
      <c r="D16" t="s">
        <v>776</v>
      </c>
      <c r="E16" s="965">
        <v>84.27</v>
      </c>
      <c r="F16" s="966">
        <v>175290</v>
      </c>
      <c r="G16" s="967">
        <v>1.3</v>
      </c>
      <c r="H16" s="965">
        <v>50.49</v>
      </c>
      <c r="I16" s="965">
        <v>65.94</v>
      </c>
      <c r="J16" s="965">
        <v>81.58</v>
      </c>
      <c r="K16" s="965">
        <v>98.34</v>
      </c>
      <c r="L16" s="965" t="s">
        <v>748</v>
      </c>
      <c r="O16" s="963">
        <f t="shared" si="0"/>
        <v>75.167599999999993</v>
      </c>
      <c r="P16" s="963">
        <f t="shared" si="1"/>
        <v>79.8596</v>
      </c>
      <c r="R16" s="963">
        <f t="shared" si="2"/>
        <v>64.394999999999996</v>
      </c>
      <c r="S16" s="963">
        <f t="shared" si="3"/>
        <v>69.067999999999998</v>
      </c>
    </row>
    <row r="17" spans="1:19" hidden="1" x14ac:dyDescent="0.25">
      <c r="A17" t="s">
        <v>744</v>
      </c>
      <c r="B17" t="s">
        <v>745</v>
      </c>
      <c r="C17" s="24" t="s">
        <v>777</v>
      </c>
      <c r="D17" t="s">
        <v>778</v>
      </c>
      <c r="E17" s="965">
        <v>89.26</v>
      </c>
      <c r="F17" s="966">
        <v>185650</v>
      </c>
      <c r="G17" s="967">
        <v>1.2</v>
      </c>
      <c r="H17" s="965">
        <v>46.75</v>
      </c>
      <c r="I17" s="965">
        <v>62.15</v>
      </c>
      <c r="J17" s="965">
        <v>82.14</v>
      </c>
      <c r="K17" s="965">
        <v>104.91</v>
      </c>
      <c r="L17" s="965" t="s">
        <v>748</v>
      </c>
      <c r="O17" s="963">
        <f t="shared" si="0"/>
        <v>73.944099999999992</v>
      </c>
      <c r="P17" s="963">
        <f t="shared" si="1"/>
        <v>79.941100000000006</v>
      </c>
      <c r="R17" s="963">
        <f t="shared" si="2"/>
        <v>60.61</v>
      </c>
      <c r="S17" s="963">
        <f t="shared" si="3"/>
        <v>66.147999999999996</v>
      </c>
    </row>
    <row r="18" spans="1:19" hidden="1" x14ac:dyDescent="0.25">
      <c r="A18" t="s">
        <v>744</v>
      </c>
      <c r="B18" t="s">
        <v>745</v>
      </c>
      <c r="C18" s="24" t="s">
        <v>779</v>
      </c>
      <c r="D18" t="s">
        <v>780</v>
      </c>
      <c r="E18" s="965">
        <v>76.3</v>
      </c>
      <c r="F18" s="966">
        <v>158710</v>
      </c>
      <c r="G18" s="967">
        <v>2</v>
      </c>
      <c r="H18" s="965">
        <v>40.35</v>
      </c>
      <c r="I18" s="965">
        <v>53.44</v>
      </c>
      <c r="J18" s="965">
        <v>74.06</v>
      </c>
      <c r="K18" s="965">
        <v>87.07</v>
      </c>
      <c r="L18" s="965">
        <v>113.93</v>
      </c>
      <c r="O18" s="963">
        <f t="shared" si="0"/>
        <v>75.621200000000002</v>
      </c>
      <c r="P18" s="963">
        <f t="shared" si="1"/>
        <v>80.825199999999995</v>
      </c>
      <c r="R18" s="963">
        <f t="shared" si="2"/>
        <v>57.564</v>
      </c>
      <c r="S18" s="963">
        <f t="shared" si="3"/>
        <v>65.811999999999998</v>
      </c>
    </row>
    <row r="19" spans="1:19" hidden="1" x14ac:dyDescent="0.25">
      <c r="A19" t="s">
        <v>744</v>
      </c>
      <c r="B19" t="s">
        <v>745</v>
      </c>
      <c r="C19" s="24" t="s">
        <v>781</v>
      </c>
      <c r="D19" t="s">
        <v>782</v>
      </c>
      <c r="E19" s="965">
        <v>39.5</v>
      </c>
      <c r="F19" s="966">
        <v>82150</v>
      </c>
      <c r="G19" s="967">
        <v>5.6</v>
      </c>
      <c r="H19" s="965">
        <v>26.45</v>
      </c>
      <c r="I19" s="965">
        <v>32.56</v>
      </c>
      <c r="J19" s="965">
        <v>35.82</v>
      </c>
      <c r="K19" s="965">
        <v>41.61</v>
      </c>
      <c r="L19" s="965">
        <v>55.22</v>
      </c>
      <c r="O19" s="963">
        <f t="shared" si="0"/>
        <v>36.514800000000001</v>
      </c>
      <c r="P19" s="963">
        <f t="shared" si="1"/>
        <v>38.830799999999996</v>
      </c>
      <c r="R19" s="963">
        <f t="shared" si="2"/>
        <v>33.212000000000003</v>
      </c>
      <c r="S19" s="963">
        <f t="shared" si="3"/>
        <v>34.515999999999998</v>
      </c>
    </row>
    <row r="20" spans="1:19" hidden="1" x14ac:dyDescent="0.25">
      <c r="A20" t="s">
        <v>744</v>
      </c>
      <c r="B20" t="s">
        <v>745</v>
      </c>
      <c r="C20" s="24" t="s">
        <v>783</v>
      </c>
      <c r="D20" t="s">
        <v>784</v>
      </c>
      <c r="E20" s="965">
        <v>69.63</v>
      </c>
      <c r="F20" s="966">
        <v>144830</v>
      </c>
      <c r="G20" s="967">
        <v>2.1</v>
      </c>
      <c r="H20" s="965">
        <v>43.22</v>
      </c>
      <c r="I20" s="965">
        <v>52.85</v>
      </c>
      <c r="J20" s="965">
        <v>64.64</v>
      </c>
      <c r="K20" s="965">
        <v>80.87</v>
      </c>
      <c r="L20" s="965">
        <v>98.66</v>
      </c>
      <c r="O20" s="963">
        <f t="shared" si="0"/>
        <v>66.587600000000009</v>
      </c>
      <c r="P20" s="963">
        <f t="shared" si="1"/>
        <v>73.079599999999999</v>
      </c>
      <c r="R20" s="963">
        <f t="shared" si="2"/>
        <v>55.208000000000006</v>
      </c>
      <c r="S20" s="963">
        <f t="shared" si="3"/>
        <v>59.923999999999999</v>
      </c>
    </row>
    <row r="21" spans="1:19" hidden="1" x14ac:dyDescent="0.25">
      <c r="A21" t="s">
        <v>744</v>
      </c>
      <c r="B21" t="s">
        <v>745</v>
      </c>
      <c r="C21" s="24" t="s">
        <v>785</v>
      </c>
      <c r="D21" t="s">
        <v>786</v>
      </c>
      <c r="E21" s="965">
        <v>33.31</v>
      </c>
      <c r="F21" s="966">
        <v>69280</v>
      </c>
      <c r="G21" s="967">
        <v>2.7</v>
      </c>
      <c r="H21" s="965">
        <v>23.68</v>
      </c>
      <c r="I21" s="965">
        <v>28.6</v>
      </c>
      <c r="J21" s="965">
        <v>29.37</v>
      </c>
      <c r="K21" s="965">
        <v>36.159999999999997</v>
      </c>
      <c r="L21" s="965">
        <v>46.33</v>
      </c>
      <c r="O21" s="963">
        <f t="shared" si="0"/>
        <v>30.184800000000003</v>
      </c>
      <c r="P21" s="963">
        <f t="shared" si="1"/>
        <v>32.900799999999997</v>
      </c>
      <c r="R21" s="963">
        <f t="shared" si="2"/>
        <v>28.754000000000001</v>
      </c>
      <c r="S21" s="963">
        <f t="shared" si="3"/>
        <v>29.062000000000001</v>
      </c>
    </row>
    <row r="22" spans="1:19" hidden="1" x14ac:dyDescent="0.25">
      <c r="A22" t="s">
        <v>744</v>
      </c>
      <c r="B22" t="s">
        <v>745</v>
      </c>
      <c r="C22" s="24" t="s">
        <v>787</v>
      </c>
      <c r="D22" t="s">
        <v>788</v>
      </c>
      <c r="E22" s="965" t="s">
        <v>719</v>
      </c>
      <c r="F22" s="966">
        <v>122500</v>
      </c>
      <c r="G22" s="967">
        <v>0.8</v>
      </c>
      <c r="H22" s="965" t="s">
        <v>719</v>
      </c>
      <c r="I22" s="965" t="s">
        <v>719</v>
      </c>
      <c r="J22" s="965" t="s">
        <v>719</v>
      </c>
      <c r="K22" s="965" t="s">
        <v>719</v>
      </c>
      <c r="L22" s="965" t="s">
        <v>719</v>
      </c>
      <c r="O22" s="963" t="e">
        <f t="shared" si="0"/>
        <v>#NUM!</v>
      </c>
      <c r="P22" s="963" t="e">
        <f t="shared" si="1"/>
        <v>#NUM!</v>
      </c>
      <c r="R22" s="963" t="e">
        <f t="shared" si="2"/>
        <v>#NUM!</v>
      </c>
      <c r="S22" s="963" t="e">
        <f t="shared" si="3"/>
        <v>#NUM!</v>
      </c>
    </row>
    <row r="23" spans="1:19" hidden="1" x14ac:dyDescent="0.25">
      <c r="A23" t="s">
        <v>744</v>
      </c>
      <c r="B23" t="s">
        <v>745</v>
      </c>
      <c r="C23" s="24" t="s">
        <v>789</v>
      </c>
      <c r="D23" t="s">
        <v>790</v>
      </c>
      <c r="E23" s="965">
        <v>61.03</v>
      </c>
      <c r="F23" s="966">
        <v>126940</v>
      </c>
      <c r="G23" s="967">
        <v>0.2</v>
      </c>
      <c r="H23" s="965">
        <v>31.27</v>
      </c>
      <c r="I23" s="965">
        <v>39.049999999999997</v>
      </c>
      <c r="J23" s="965">
        <v>50.13</v>
      </c>
      <c r="K23" s="965">
        <v>68.400000000000006</v>
      </c>
      <c r="L23" s="965">
        <v>102.55</v>
      </c>
      <c r="O23" s="963">
        <f t="shared" si="0"/>
        <v>52.322400000000002</v>
      </c>
      <c r="P23" s="963">
        <f t="shared" si="1"/>
        <v>59.630400000000009</v>
      </c>
      <c r="R23" s="963">
        <f t="shared" si="2"/>
        <v>41.265999999999998</v>
      </c>
      <c r="S23" s="963">
        <f t="shared" si="3"/>
        <v>45.698</v>
      </c>
    </row>
    <row r="24" spans="1:19" hidden="1" x14ac:dyDescent="0.25">
      <c r="A24" t="s">
        <v>744</v>
      </c>
      <c r="B24" t="s">
        <v>745</v>
      </c>
      <c r="C24" s="24" t="s">
        <v>791</v>
      </c>
      <c r="D24" t="s">
        <v>792</v>
      </c>
      <c r="E24" s="965">
        <v>52.01</v>
      </c>
      <c r="F24" s="966">
        <v>108180</v>
      </c>
      <c r="G24" s="967">
        <v>6.1</v>
      </c>
      <c r="H24" s="965">
        <v>25.71</v>
      </c>
      <c r="I24" s="965">
        <v>30.8</v>
      </c>
      <c r="J24" s="965">
        <v>44.23</v>
      </c>
      <c r="K24" s="965">
        <v>53.02</v>
      </c>
      <c r="L24" s="965">
        <v>87.69</v>
      </c>
      <c r="O24" s="963">
        <f t="shared" si="0"/>
        <v>45.284799999999997</v>
      </c>
      <c r="P24" s="963">
        <f t="shared" si="1"/>
        <v>48.800800000000002</v>
      </c>
      <c r="R24" s="963">
        <f t="shared" si="2"/>
        <v>33.486000000000004</v>
      </c>
      <c r="S24" s="963">
        <f t="shared" si="3"/>
        <v>38.857999999999997</v>
      </c>
    </row>
    <row r="25" spans="1:19" hidden="1" x14ac:dyDescent="0.25">
      <c r="A25" t="s">
        <v>744</v>
      </c>
      <c r="B25" t="s">
        <v>745</v>
      </c>
      <c r="C25" s="24" t="s">
        <v>793</v>
      </c>
      <c r="D25" t="s">
        <v>794</v>
      </c>
      <c r="E25" s="965">
        <v>88.7</v>
      </c>
      <c r="F25" s="966">
        <v>184500</v>
      </c>
      <c r="G25" s="967">
        <v>0.8</v>
      </c>
      <c r="H25" s="965">
        <v>62.72</v>
      </c>
      <c r="I25" s="965">
        <v>71.97</v>
      </c>
      <c r="J25" s="965">
        <v>83.77</v>
      </c>
      <c r="K25" s="965">
        <v>102.64</v>
      </c>
      <c r="L25" s="965" t="s">
        <v>748</v>
      </c>
      <c r="O25" s="963">
        <f t="shared" si="0"/>
        <v>78.932000000000002</v>
      </c>
      <c r="P25" s="963">
        <f t="shared" si="1"/>
        <v>82.471999999999994</v>
      </c>
      <c r="R25" s="963">
        <f t="shared" si="2"/>
        <v>71.045000000000002</v>
      </c>
      <c r="S25" s="963">
        <f t="shared" si="3"/>
        <v>74.33</v>
      </c>
    </row>
    <row r="26" spans="1:19" hidden="1" x14ac:dyDescent="0.25">
      <c r="A26" t="s">
        <v>744</v>
      </c>
      <c r="B26" t="s">
        <v>745</v>
      </c>
      <c r="C26" s="24" t="s">
        <v>795</v>
      </c>
      <c r="D26" t="s">
        <v>796</v>
      </c>
      <c r="E26" s="965">
        <v>39.35</v>
      </c>
      <c r="F26" s="966">
        <v>81860</v>
      </c>
      <c r="G26" s="967">
        <v>3.1</v>
      </c>
      <c r="H26" s="965">
        <v>26.69</v>
      </c>
      <c r="I26" s="965">
        <v>30.95</v>
      </c>
      <c r="J26" s="965">
        <v>37.04</v>
      </c>
      <c r="K26" s="965">
        <v>46.27</v>
      </c>
      <c r="L26" s="965">
        <v>55.26</v>
      </c>
      <c r="O26" s="963">
        <f t="shared" si="0"/>
        <v>38.147599999999997</v>
      </c>
      <c r="P26" s="963">
        <f t="shared" si="1"/>
        <v>41.839600000000004</v>
      </c>
      <c r="R26" s="963">
        <f t="shared" si="2"/>
        <v>32.167999999999999</v>
      </c>
      <c r="S26" s="963">
        <f t="shared" si="3"/>
        <v>34.603999999999999</v>
      </c>
    </row>
    <row r="27" spans="1:19" hidden="1" x14ac:dyDescent="0.25">
      <c r="A27" t="s">
        <v>744</v>
      </c>
      <c r="B27" t="s">
        <v>745</v>
      </c>
      <c r="C27" s="24" t="s">
        <v>797</v>
      </c>
      <c r="D27" t="s">
        <v>798</v>
      </c>
      <c r="E27" s="965">
        <v>45.97</v>
      </c>
      <c r="F27" s="966">
        <v>95620</v>
      </c>
      <c r="G27" s="967">
        <v>7.7</v>
      </c>
      <c r="H27" s="965">
        <v>28.46</v>
      </c>
      <c r="I27" s="965">
        <v>32.04</v>
      </c>
      <c r="J27" s="965">
        <v>43.37</v>
      </c>
      <c r="K27" s="965">
        <v>52.06</v>
      </c>
      <c r="L27" s="965">
        <v>68.59</v>
      </c>
      <c r="O27" s="963">
        <f t="shared" si="0"/>
        <v>44.412799999999997</v>
      </c>
      <c r="P27" s="963">
        <f t="shared" si="1"/>
        <v>47.888800000000003</v>
      </c>
      <c r="R27" s="963">
        <f t="shared" si="2"/>
        <v>34.305999999999997</v>
      </c>
      <c r="S27" s="963">
        <f t="shared" si="3"/>
        <v>38.838000000000001</v>
      </c>
    </row>
    <row r="28" spans="1:19" hidden="1" x14ac:dyDescent="0.25">
      <c r="A28" t="s">
        <v>744</v>
      </c>
      <c r="B28" t="s">
        <v>745</v>
      </c>
      <c r="C28" s="24" t="s">
        <v>799</v>
      </c>
      <c r="D28" t="s">
        <v>800</v>
      </c>
      <c r="E28" s="965">
        <v>47.41</v>
      </c>
      <c r="F28" s="966">
        <v>98610</v>
      </c>
      <c r="G28" s="967">
        <v>6.6</v>
      </c>
      <c r="H28" s="965">
        <v>24.98</v>
      </c>
      <c r="I28" s="965">
        <v>29.45</v>
      </c>
      <c r="J28" s="965">
        <v>37.9</v>
      </c>
      <c r="K28" s="965">
        <v>61.14</v>
      </c>
      <c r="L28" s="965">
        <v>77.77</v>
      </c>
      <c r="O28" s="963">
        <f t="shared" si="0"/>
        <v>40.688800000000001</v>
      </c>
      <c r="P28" s="963">
        <f t="shared" si="1"/>
        <v>49.9848</v>
      </c>
      <c r="R28" s="963">
        <f t="shared" si="2"/>
        <v>31.14</v>
      </c>
      <c r="S28" s="963">
        <f t="shared" si="3"/>
        <v>34.519999999999996</v>
      </c>
    </row>
    <row r="29" spans="1:19" hidden="1" x14ac:dyDescent="0.25">
      <c r="A29" t="s">
        <v>744</v>
      </c>
      <c r="B29" t="s">
        <v>745</v>
      </c>
      <c r="C29" s="24" t="s">
        <v>801</v>
      </c>
      <c r="D29" t="s">
        <v>802</v>
      </c>
      <c r="E29" s="965">
        <v>76.22</v>
      </c>
      <c r="F29" s="966">
        <v>158540</v>
      </c>
      <c r="G29" s="967">
        <v>1.2</v>
      </c>
      <c r="H29" s="965">
        <v>38.18</v>
      </c>
      <c r="I29" s="965">
        <v>48.27</v>
      </c>
      <c r="J29" s="965">
        <v>63.14</v>
      </c>
      <c r="K29" s="965">
        <v>84.67</v>
      </c>
      <c r="L29" s="965" t="s">
        <v>748</v>
      </c>
      <c r="O29" s="963">
        <f t="shared" si="0"/>
        <v>57.043300000000002</v>
      </c>
      <c r="P29" s="963">
        <f t="shared" si="1"/>
        <v>61.504300000000001</v>
      </c>
      <c r="R29" s="963">
        <f t="shared" si="2"/>
        <v>47.261000000000003</v>
      </c>
      <c r="S29" s="963">
        <f t="shared" si="3"/>
        <v>51.244000000000007</v>
      </c>
    </row>
    <row r="30" spans="1:19" hidden="1" x14ac:dyDescent="0.25">
      <c r="A30" t="s">
        <v>744</v>
      </c>
      <c r="B30" t="s">
        <v>745</v>
      </c>
      <c r="C30" s="24" t="s">
        <v>803</v>
      </c>
      <c r="D30" t="s">
        <v>804</v>
      </c>
      <c r="E30" s="965">
        <v>105.64</v>
      </c>
      <c r="F30" s="966">
        <v>219740</v>
      </c>
      <c r="G30" s="967">
        <v>2.2999999999999998</v>
      </c>
      <c r="H30" s="965">
        <v>60.66</v>
      </c>
      <c r="I30" s="965">
        <v>82.15</v>
      </c>
      <c r="J30" s="965">
        <v>103.1</v>
      </c>
      <c r="K30" s="965" t="s">
        <v>748</v>
      </c>
      <c r="L30" s="965" t="s">
        <v>748</v>
      </c>
      <c r="O30" s="963">
        <f t="shared" si="0"/>
        <v>83.407000000000011</v>
      </c>
      <c r="P30" s="963">
        <f t="shared" si="1"/>
        <v>87.596999999999994</v>
      </c>
      <c r="R30" s="963">
        <f t="shared" si="2"/>
        <v>73.554000000000002</v>
      </c>
      <c r="S30" s="963">
        <f t="shared" si="3"/>
        <v>77.852000000000004</v>
      </c>
    </row>
    <row r="31" spans="1:19" hidden="1" x14ac:dyDescent="0.25">
      <c r="A31" t="s">
        <v>744</v>
      </c>
      <c r="B31" t="s">
        <v>745</v>
      </c>
      <c r="C31" s="24" t="s">
        <v>805</v>
      </c>
      <c r="D31" t="s">
        <v>806</v>
      </c>
      <c r="E31" s="965">
        <v>44.36</v>
      </c>
      <c r="F31" s="966">
        <v>92260</v>
      </c>
      <c r="G31" s="967">
        <v>0</v>
      </c>
      <c r="H31" s="965">
        <v>39.28</v>
      </c>
      <c r="I31" s="965">
        <v>40.159999999999997</v>
      </c>
      <c r="J31" s="965">
        <v>43.06</v>
      </c>
      <c r="K31" s="965">
        <v>46.62</v>
      </c>
      <c r="L31" s="965">
        <v>51.28</v>
      </c>
      <c r="O31" s="963">
        <f t="shared" si="0"/>
        <v>43.487200000000001</v>
      </c>
      <c r="P31" s="963">
        <f t="shared" si="1"/>
        <v>44.911200000000001</v>
      </c>
      <c r="R31" s="963">
        <f t="shared" si="2"/>
        <v>40.739999999999995</v>
      </c>
      <c r="S31" s="963">
        <f t="shared" si="3"/>
        <v>41.9</v>
      </c>
    </row>
    <row r="32" spans="1:19" hidden="1" x14ac:dyDescent="0.25">
      <c r="A32" t="s">
        <v>744</v>
      </c>
      <c r="B32" t="s">
        <v>745</v>
      </c>
      <c r="C32" s="24" t="s">
        <v>807</v>
      </c>
      <c r="D32" t="s">
        <v>808</v>
      </c>
      <c r="E32" s="965">
        <v>46.23</v>
      </c>
      <c r="F32" s="966">
        <v>96160</v>
      </c>
      <c r="G32" s="967">
        <v>2.8</v>
      </c>
      <c r="H32" s="965">
        <v>26.28</v>
      </c>
      <c r="I32" s="965">
        <v>32.08</v>
      </c>
      <c r="J32" s="965">
        <v>39.659999999999997</v>
      </c>
      <c r="K32" s="965">
        <v>54.06</v>
      </c>
      <c r="L32" s="965">
        <v>68.97</v>
      </c>
      <c r="O32" s="963">
        <f t="shared" si="0"/>
        <v>41.387999999999998</v>
      </c>
      <c r="P32" s="963">
        <f t="shared" si="1"/>
        <v>47.147999999999996</v>
      </c>
      <c r="R32" s="963">
        <f t="shared" si="2"/>
        <v>33.595999999999997</v>
      </c>
      <c r="S32" s="963">
        <f t="shared" si="3"/>
        <v>36.628</v>
      </c>
    </row>
    <row r="33" spans="1:19" s="968" customFormat="1" hidden="1" x14ac:dyDescent="0.25">
      <c r="A33" s="968" t="s">
        <v>744</v>
      </c>
      <c r="B33" s="968" t="s">
        <v>745</v>
      </c>
      <c r="C33" s="969" t="s">
        <v>464</v>
      </c>
      <c r="D33" s="968" t="s">
        <v>809</v>
      </c>
      <c r="E33" s="970">
        <v>40.450000000000003</v>
      </c>
      <c r="F33" s="971">
        <v>84140</v>
      </c>
      <c r="G33" s="972">
        <v>1.7</v>
      </c>
      <c r="H33" s="970">
        <v>25.01</v>
      </c>
      <c r="I33" s="970">
        <v>30.2</v>
      </c>
      <c r="J33" s="970">
        <v>37.729999999999997</v>
      </c>
      <c r="K33" s="970">
        <v>47.15</v>
      </c>
      <c r="L33" s="970">
        <v>58.59</v>
      </c>
      <c r="O33" s="973">
        <f t="shared" si="0"/>
        <v>38.860399999999998</v>
      </c>
      <c r="P33" s="973">
        <f t="shared" si="1"/>
        <v>42.628399999999999</v>
      </c>
      <c r="R33" s="963">
        <f t="shared" si="2"/>
        <v>31.706</v>
      </c>
      <c r="S33" s="963">
        <f t="shared" si="3"/>
        <v>34.717999999999996</v>
      </c>
    </row>
    <row r="34" spans="1:19" hidden="1" x14ac:dyDescent="0.25">
      <c r="A34" t="s">
        <v>744</v>
      </c>
      <c r="B34" t="s">
        <v>745</v>
      </c>
      <c r="C34" s="24" t="s">
        <v>810</v>
      </c>
      <c r="D34" t="s">
        <v>811</v>
      </c>
      <c r="E34" s="965">
        <v>53.61</v>
      </c>
      <c r="F34" s="966">
        <v>111500</v>
      </c>
      <c r="G34" s="967">
        <v>1.4</v>
      </c>
      <c r="H34" s="965">
        <v>33.54</v>
      </c>
      <c r="I34" s="965">
        <v>41.61</v>
      </c>
      <c r="J34" s="965">
        <v>48.98</v>
      </c>
      <c r="K34" s="965">
        <v>63.22</v>
      </c>
      <c r="L34" s="965">
        <v>83.74</v>
      </c>
      <c r="O34" s="963">
        <f t="shared" si="0"/>
        <v>50.688800000000001</v>
      </c>
      <c r="P34" s="963">
        <f t="shared" si="1"/>
        <v>56.384799999999998</v>
      </c>
      <c r="R34" s="963">
        <f t="shared" si="2"/>
        <v>43.084000000000003</v>
      </c>
      <c r="S34" s="963">
        <f t="shared" si="3"/>
        <v>46.031999999999996</v>
      </c>
    </row>
    <row r="35" spans="1:19" hidden="1" x14ac:dyDescent="0.25">
      <c r="A35" t="s">
        <v>744</v>
      </c>
      <c r="B35" t="s">
        <v>745</v>
      </c>
      <c r="C35" s="24" t="s">
        <v>812</v>
      </c>
      <c r="D35" t="s">
        <v>813</v>
      </c>
      <c r="E35" s="965">
        <v>42.39</v>
      </c>
      <c r="F35" s="966">
        <v>88160</v>
      </c>
      <c r="G35" s="967">
        <v>7.5</v>
      </c>
      <c r="H35" s="965">
        <v>28.04</v>
      </c>
      <c r="I35" s="965">
        <v>29.61</v>
      </c>
      <c r="J35" s="965">
        <v>38.24</v>
      </c>
      <c r="K35" s="965">
        <v>54.06</v>
      </c>
      <c r="L35" s="965">
        <v>63.21</v>
      </c>
      <c r="O35" s="963">
        <f t="shared" si="0"/>
        <v>40.138400000000004</v>
      </c>
      <c r="P35" s="963">
        <f t="shared" si="1"/>
        <v>46.4664</v>
      </c>
      <c r="R35" s="963">
        <f t="shared" si="2"/>
        <v>31.336000000000002</v>
      </c>
      <c r="S35" s="963">
        <f t="shared" si="3"/>
        <v>34.788000000000004</v>
      </c>
    </row>
    <row r="36" spans="1:19" hidden="1" x14ac:dyDescent="0.25">
      <c r="A36" t="s">
        <v>744</v>
      </c>
      <c r="B36" t="s">
        <v>745</v>
      </c>
      <c r="C36" s="24" t="s">
        <v>814</v>
      </c>
      <c r="D36" t="s">
        <v>815</v>
      </c>
      <c r="E36" s="965">
        <v>38.299999999999997</v>
      </c>
      <c r="F36" s="966">
        <v>79660</v>
      </c>
      <c r="G36" s="967">
        <v>10.9</v>
      </c>
      <c r="H36" s="965">
        <v>30.02</v>
      </c>
      <c r="I36" s="965">
        <v>31.25</v>
      </c>
      <c r="J36" s="965">
        <v>31.25</v>
      </c>
      <c r="K36" s="965">
        <v>48.59</v>
      </c>
      <c r="L36" s="965">
        <v>55.19</v>
      </c>
      <c r="O36" s="963">
        <f t="shared" si="0"/>
        <v>33.330800000000004</v>
      </c>
      <c r="P36" s="963">
        <f t="shared" si="1"/>
        <v>40.266800000000003</v>
      </c>
      <c r="R36" s="963">
        <f t="shared" si="2"/>
        <v>31.25</v>
      </c>
      <c r="S36" s="963">
        <f t="shared" si="3"/>
        <v>31.25</v>
      </c>
    </row>
    <row r="37" spans="1:19" hidden="1" x14ac:dyDescent="0.25">
      <c r="A37" t="s">
        <v>744</v>
      </c>
      <c r="B37" t="s">
        <v>745</v>
      </c>
      <c r="C37" s="24" t="s">
        <v>816</v>
      </c>
      <c r="D37" t="s">
        <v>817</v>
      </c>
      <c r="E37" s="965">
        <v>83.4</v>
      </c>
      <c r="F37" s="966">
        <v>173480</v>
      </c>
      <c r="G37" s="967">
        <v>1.3</v>
      </c>
      <c r="H37" s="965">
        <v>45.47</v>
      </c>
      <c r="I37" s="965">
        <v>62.14</v>
      </c>
      <c r="J37" s="965">
        <v>79.66</v>
      </c>
      <c r="K37" s="965">
        <v>101.87</v>
      </c>
      <c r="L37" s="965" t="s">
        <v>748</v>
      </c>
      <c r="O37" s="963">
        <f t="shared" si="0"/>
        <v>72.476799999999997</v>
      </c>
      <c r="P37" s="963">
        <f t="shared" si="1"/>
        <v>77.732799999999997</v>
      </c>
      <c r="R37" s="963">
        <f t="shared" si="2"/>
        <v>60.472999999999999</v>
      </c>
      <c r="S37" s="963">
        <f t="shared" si="3"/>
        <v>65.644000000000005</v>
      </c>
    </row>
    <row r="38" spans="1:19" hidden="1" x14ac:dyDescent="0.25">
      <c r="A38" t="s">
        <v>744</v>
      </c>
      <c r="B38" t="s">
        <v>745</v>
      </c>
      <c r="C38" s="24" t="s">
        <v>818</v>
      </c>
      <c r="D38" t="s">
        <v>819</v>
      </c>
      <c r="E38" s="965">
        <v>48.93</v>
      </c>
      <c r="F38" s="966">
        <v>101770</v>
      </c>
      <c r="G38" s="967">
        <v>0.9</v>
      </c>
      <c r="H38" s="965">
        <v>25.33</v>
      </c>
      <c r="I38" s="965">
        <v>32.659999999999997</v>
      </c>
      <c r="J38" s="965">
        <v>43.18</v>
      </c>
      <c r="K38" s="965">
        <v>58.6</v>
      </c>
      <c r="L38" s="965">
        <v>77.599999999999994</v>
      </c>
      <c r="O38" s="963">
        <f t="shared" si="0"/>
        <v>45.0304</v>
      </c>
      <c r="P38" s="963">
        <f t="shared" si="1"/>
        <v>51.198399999999999</v>
      </c>
      <c r="R38" s="963">
        <f t="shared" si="2"/>
        <v>34.763999999999996</v>
      </c>
      <c r="S38" s="963">
        <f t="shared" si="3"/>
        <v>38.972000000000001</v>
      </c>
    </row>
    <row r="39" spans="1:19" hidden="1" x14ac:dyDescent="0.25">
      <c r="A39" t="s">
        <v>744</v>
      </c>
      <c r="B39" t="s">
        <v>745</v>
      </c>
      <c r="C39" s="24" t="s">
        <v>820</v>
      </c>
      <c r="D39" t="s">
        <v>821</v>
      </c>
      <c r="E39" s="965">
        <v>39.46</v>
      </c>
      <c r="F39" s="966">
        <v>82070</v>
      </c>
      <c r="G39" s="967">
        <v>2.1</v>
      </c>
      <c r="H39" s="965">
        <v>20.43</v>
      </c>
      <c r="I39" s="965">
        <v>28.07</v>
      </c>
      <c r="J39" s="965">
        <v>36.93</v>
      </c>
      <c r="K39" s="965">
        <v>48.29</v>
      </c>
      <c r="L39" s="965">
        <v>59.9</v>
      </c>
      <c r="O39" s="963">
        <f t="shared" si="0"/>
        <v>38.293199999999999</v>
      </c>
      <c r="P39" s="963">
        <f t="shared" si="1"/>
        <v>42.837199999999996</v>
      </c>
      <c r="R39" s="963">
        <f t="shared" si="2"/>
        <v>29.842000000000002</v>
      </c>
      <c r="S39" s="963">
        <f t="shared" si="3"/>
        <v>33.386000000000003</v>
      </c>
    </row>
    <row r="40" spans="1:19" hidden="1" x14ac:dyDescent="0.25">
      <c r="A40" t="s">
        <v>744</v>
      </c>
      <c r="B40" t="s">
        <v>745</v>
      </c>
      <c r="C40" s="24" t="s">
        <v>822</v>
      </c>
      <c r="D40" t="s">
        <v>823</v>
      </c>
      <c r="E40" s="965">
        <v>39.49</v>
      </c>
      <c r="F40" s="966">
        <v>82130</v>
      </c>
      <c r="G40" s="967">
        <v>1.7</v>
      </c>
      <c r="H40" s="965">
        <v>24.36</v>
      </c>
      <c r="I40" s="965">
        <v>30.41</v>
      </c>
      <c r="J40" s="965">
        <v>38.03</v>
      </c>
      <c r="K40" s="965">
        <v>47.43</v>
      </c>
      <c r="L40" s="965">
        <v>52.72</v>
      </c>
      <c r="O40" s="963">
        <f t="shared" si="0"/>
        <v>39.158000000000001</v>
      </c>
      <c r="P40" s="963">
        <f t="shared" si="1"/>
        <v>42.917999999999999</v>
      </c>
      <c r="R40" s="963">
        <f t="shared" si="2"/>
        <v>31.934000000000001</v>
      </c>
      <c r="S40" s="963">
        <f t="shared" si="3"/>
        <v>34.981999999999999</v>
      </c>
    </row>
    <row r="41" spans="1:19" hidden="1" x14ac:dyDescent="0.25">
      <c r="A41" t="s">
        <v>744</v>
      </c>
      <c r="B41" t="s">
        <v>745</v>
      </c>
      <c r="C41" s="24" t="s">
        <v>824</v>
      </c>
      <c r="D41" t="s">
        <v>825</v>
      </c>
      <c r="E41" s="965">
        <v>44.4</v>
      </c>
      <c r="F41" s="966">
        <v>92340</v>
      </c>
      <c r="G41" s="967">
        <v>8.6</v>
      </c>
      <c r="H41" s="965">
        <v>32.979999999999997</v>
      </c>
      <c r="I41" s="965">
        <v>38.86</v>
      </c>
      <c r="J41" s="965">
        <v>40.049999999999997</v>
      </c>
      <c r="K41" s="965">
        <v>54.54</v>
      </c>
      <c r="L41" s="965">
        <v>58.86</v>
      </c>
      <c r="O41" s="963">
        <f t="shared" si="0"/>
        <v>41.788800000000002</v>
      </c>
      <c r="P41" s="963">
        <f t="shared" si="1"/>
        <v>47.584800000000001</v>
      </c>
      <c r="R41" s="963">
        <f t="shared" si="2"/>
        <v>39.097999999999999</v>
      </c>
      <c r="S41" s="963">
        <f t="shared" si="3"/>
        <v>39.573999999999998</v>
      </c>
    </row>
    <row r="42" spans="1:19" hidden="1" x14ac:dyDescent="0.25">
      <c r="A42" t="s">
        <v>744</v>
      </c>
      <c r="B42" t="s">
        <v>745</v>
      </c>
      <c r="C42" s="24" t="s">
        <v>826</v>
      </c>
      <c r="D42" t="s">
        <v>827</v>
      </c>
      <c r="E42" s="965">
        <v>43.15</v>
      </c>
      <c r="F42" s="966">
        <v>89750</v>
      </c>
      <c r="G42" s="967">
        <v>1</v>
      </c>
      <c r="H42" s="965">
        <v>26.36</v>
      </c>
      <c r="I42" s="965">
        <v>31.76</v>
      </c>
      <c r="J42" s="965">
        <v>41.11</v>
      </c>
      <c r="K42" s="965">
        <v>51.09</v>
      </c>
      <c r="L42" s="965">
        <v>62.14</v>
      </c>
      <c r="O42" s="963">
        <f t="shared" si="0"/>
        <v>42.307600000000001</v>
      </c>
      <c r="P42" s="963">
        <f t="shared" si="1"/>
        <v>46.299599999999998</v>
      </c>
      <c r="R42" s="963">
        <f t="shared" si="2"/>
        <v>33.630000000000003</v>
      </c>
      <c r="S42" s="963">
        <f t="shared" si="3"/>
        <v>37.370000000000005</v>
      </c>
    </row>
    <row r="43" spans="1:19" hidden="1" x14ac:dyDescent="0.25">
      <c r="A43" t="s">
        <v>744</v>
      </c>
      <c r="B43" t="s">
        <v>745</v>
      </c>
      <c r="C43" s="24" t="s">
        <v>828</v>
      </c>
      <c r="D43" t="s">
        <v>829</v>
      </c>
      <c r="E43" s="965">
        <v>47.64</v>
      </c>
      <c r="F43" s="966">
        <v>99090</v>
      </c>
      <c r="G43" s="967">
        <v>2.4</v>
      </c>
      <c r="H43" s="965">
        <v>27</v>
      </c>
      <c r="I43" s="965">
        <v>34.869999999999997</v>
      </c>
      <c r="J43" s="965">
        <v>45.67</v>
      </c>
      <c r="K43" s="965">
        <v>57.78</v>
      </c>
      <c r="L43" s="965">
        <v>65.52</v>
      </c>
      <c r="O43" s="963">
        <f t="shared" si="0"/>
        <v>47.123200000000004</v>
      </c>
      <c r="P43" s="963">
        <f t="shared" si="1"/>
        <v>51.967200000000005</v>
      </c>
      <c r="R43" s="963">
        <f t="shared" si="2"/>
        <v>37.03</v>
      </c>
      <c r="S43" s="963">
        <f t="shared" si="3"/>
        <v>41.35</v>
      </c>
    </row>
    <row r="44" spans="1:19" hidden="1" x14ac:dyDescent="0.25">
      <c r="A44" t="s">
        <v>744</v>
      </c>
      <c r="B44" t="s">
        <v>745</v>
      </c>
      <c r="C44" s="24" t="s">
        <v>830</v>
      </c>
      <c r="D44" t="s">
        <v>831</v>
      </c>
      <c r="E44" s="965">
        <v>40.35</v>
      </c>
      <c r="F44" s="966">
        <v>83920</v>
      </c>
      <c r="G44" s="967">
        <v>1.3</v>
      </c>
      <c r="H44" s="965">
        <v>22.7</v>
      </c>
      <c r="I44" s="965">
        <v>28.35</v>
      </c>
      <c r="J44" s="965">
        <v>37.22</v>
      </c>
      <c r="K44" s="965">
        <v>49.03</v>
      </c>
      <c r="L44" s="965">
        <v>63.19</v>
      </c>
      <c r="O44" s="963">
        <f t="shared" si="0"/>
        <v>38.6372</v>
      </c>
      <c r="P44" s="963">
        <f t="shared" si="1"/>
        <v>43.361199999999997</v>
      </c>
      <c r="R44" s="963">
        <f t="shared" si="2"/>
        <v>30.124000000000002</v>
      </c>
      <c r="S44" s="963">
        <f t="shared" si="3"/>
        <v>33.671999999999997</v>
      </c>
    </row>
    <row r="45" spans="1:19" hidden="1" x14ac:dyDescent="0.25">
      <c r="A45" t="s">
        <v>744</v>
      </c>
      <c r="B45" t="s">
        <v>745</v>
      </c>
      <c r="C45" s="24" t="s">
        <v>832</v>
      </c>
      <c r="D45" t="s">
        <v>833</v>
      </c>
      <c r="E45" s="965">
        <v>43.15</v>
      </c>
      <c r="F45" s="966">
        <v>89760</v>
      </c>
      <c r="G45" s="967">
        <v>5.4</v>
      </c>
      <c r="H45" s="965">
        <v>16.75</v>
      </c>
      <c r="I45" s="965">
        <v>26.96</v>
      </c>
      <c r="J45" s="965">
        <v>36.92</v>
      </c>
      <c r="K45" s="965">
        <v>60.14</v>
      </c>
      <c r="L45" s="965">
        <v>65.150000000000006</v>
      </c>
      <c r="O45" s="963">
        <f t="shared" si="0"/>
        <v>39.706400000000002</v>
      </c>
      <c r="P45" s="963">
        <f t="shared" si="1"/>
        <v>48.994399999999999</v>
      </c>
      <c r="R45" s="963">
        <f t="shared" si="2"/>
        <v>28.952000000000002</v>
      </c>
      <c r="S45" s="963">
        <f t="shared" si="3"/>
        <v>32.936</v>
      </c>
    </row>
    <row r="46" spans="1:19" hidden="1" x14ac:dyDescent="0.25">
      <c r="A46" t="s">
        <v>744</v>
      </c>
      <c r="B46" t="s">
        <v>745</v>
      </c>
      <c r="C46" s="24" t="s">
        <v>834</v>
      </c>
      <c r="D46" t="s">
        <v>835</v>
      </c>
      <c r="E46" s="965">
        <v>46</v>
      </c>
      <c r="F46" s="966">
        <v>95670</v>
      </c>
      <c r="G46" s="967">
        <v>1.4</v>
      </c>
      <c r="H46" s="965">
        <v>29.41</v>
      </c>
      <c r="I46" s="965">
        <v>32.64</v>
      </c>
      <c r="J46" s="965">
        <v>45.19</v>
      </c>
      <c r="K46" s="965">
        <v>56.74</v>
      </c>
      <c r="L46" s="965">
        <v>67.22</v>
      </c>
      <c r="O46" s="963">
        <f t="shared" si="0"/>
        <v>46.576000000000001</v>
      </c>
      <c r="P46" s="963">
        <f t="shared" si="1"/>
        <v>51.195999999999998</v>
      </c>
      <c r="R46" s="963">
        <f t="shared" si="2"/>
        <v>35.150000000000006</v>
      </c>
      <c r="S46" s="963">
        <f t="shared" si="3"/>
        <v>40.17</v>
      </c>
    </row>
    <row r="47" spans="1:19" hidden="1" x14ac:dyDescent="0.25">
      <c r="A47" t="s">
        <v>744</v>
      </c>
      <c r="B47" t="s">
        <v>745</v>
      </c>
      <c r="C47" s="24" t="s">
        <v>836</v>
      </c>
      <c r="D47" t="s">
        <v>837</v>
      </c>
      <c r="E47" s="965">
        <v>53.22</v>
      </c>
      <c r="F47" s="966">
        <v>110690</v>
      </c>
      <c r="G47" s="967">
        <v>1.4</v>
      </c>
      <c r="H47" s="965">
        <v>29.48</v>
      </c>
      <c r="I47" s="965">
        <v>37.74</v>
      </c>
      <c r="J47" s="965">
        <v>48.69</v>
      </c>
      <c r="K47" s="965">
        <v>63.66</v>
      </c>
      <c r="L47" s="965">
        <v>80.59</v>
      </c>
      <c r="O47" s="963">
        <f t="shared" si="0"/>
        <v>50.486399999999996</v>
      </c>
      <c r="P47" s="963">
        <f t="shared" si="1"/>
        <v>56.474399999999996</v>
      </c>
      <c r="R47" s="963">
        <f t="shared" si="2"/>
        <v>39.930000000000007</v>
      </c>
      <c r="S47" s="963">
        <f t="shared" si="3"/>
        <v>44.31</v>
      </c>
    </row>
    <row r="48" spans="1:19" hidden="1" x14ac:dyDescent="0.25">
      <c r="A48" t="s">
        <v>744</v>
      </c>
      <c r="B48" t="s">
        <v>745</v>
      </c>
      <c r="C48" s="24" t="s">
        <v>838</v>
      </c>
      <c r="D48" t="s">
        <v>839</v>
      </c>
      <c r="E48" s="965">
        <v>64.59</v>
      </c>
      <c r="F48" s="966">
        <v>134350</v>
      </c>
      <c r="G48" s="967">
        <v>2.5</v>
      </c>
      <c r="H48" s="965">
        <v>36.56</v>
      </c>
      <c r="I48" s="965">
        <v>41.92</v>
      </c>
      <c r="J48" s="965">
        <v>53.63</v>
      </c>
      <c r="K48" s="965">
        <v>76.27</v>
      </c>
      <c r="L48" s="965">
        <v>101.97</v>
      </c>
      <c r="O48" s="963">
        <f t="shared" si="0"/>
        <v>56.346800000000002</v>
      </c>
      <c r="P48" s="963">
        <f t="shared" si="1"/>
        <v>65.402799999999999</v>
      </c>
      <c r="R48" s="963">
        <f t="shared" si="2"/>
        <v>44.262</v>
      </c>
      <c r="S48" s="963">
        <f t="shared" si="3"/>
        <v>48.946000000000005</v>
      </c>
    </row>
    <row r="49" spans="1:19" hidden="1" x14ac:dyDescent="0.25">
      <c r="A49" t="s">
        <v>744</v>
      </c>
      <c r="B49" t="s">
        <v>745</v>
      </c>
      <c r="C49" s="24" t="s">
        <v>840</v>
      </c>
      <c r="D49" t="s">
        <v>841</v>
      </c>
      <c r="E49" s="965">
        <v>37.36</v>
      </c>
      <c r="F49" s="966">
        <v>77720</v>
      </c>
      <c r="G49" s="967">
        <v>4.9000000000000004</v>
      </c>
      <c r="H49" s="965">
        <v>22.8</v>
      </c>
      <c r="I49" s="965">
        <v>27.27</v>
      </c>
      <c r="J49" s="965">
        <v>35.15</v>
      </c>
      <c r="K49" s="965">
        <v>47.74</v>
      </c>
      <c r="L49" s="965">
        <v>51.39</v>
      </c>
      <c r="O49" s="963">
        <f t="shared" si="0"/>
        <v>36.660800000000002</v>
      </c>
      <c r="P49" s="963">
        <f t="shared" si="1"/>
        <v>41.696800000000003</v>
      </c>
      <c r="R49" s="963">
        <f t="shared" si="2"/>
        <v>28.846</v>
      </c>
      <c r="S49" s="963">
        <f t="shared" si="3"/>
        <v>31.997999999999998</v>
      </c>
    </row>
    <row r="50" spans="1:19" hidden="1" x14ac:dyDescent="0.25">
      <c r="A50" t="s">
        <v>744</v>
      </c>
      <c r="B50" t="s">
        <v>745</v>
      </c>
      <c r="C50" s="24" t="s">
        <v>842</v>
      </c>
      <c r="D50" t="s">
        <v>843</v>
      </c>
      <c r="E50" s="965">
        <v>37.299999999999997</v>
      </c>
      <c r="F50" s="966">
        <v>77570</v>
      </c>
      <c r="G50" s="967">
        <v>1.5</v>
      </c>
      <c r="H50" s="965">
        <v>22.35</v>
      </c>
      <c r="I50" s="965">
        <v>27.36</v>
      </c>
      <c r="J50" s="965">
        <v>35.479999999999997</v>
      </c>
      <c r="K50" s="965">
        <v>45.79</v>
      </c>
      <c r="L50" s="965">
        <v>56.15</v>
      </c>
      <c r="O50" s="963">
        <f t="shared" si="0"/>
        <v>36.717199999999998</v>
      </c>
      <c r="P50" s="963">
        <f t="shared" si="1"/>
        <v>40.841200000000001</v>
      </c>
      <c r="R50" s="963">
        <f t="shared" si="2"/>
        <v>28.984000000000002</v>
      </c>
      <c r="S50" s="963">
        <f t="shared" si="3"/>
        <v>32.231999999999999</v>
      </c>
    </row>
    <row r="51" spans="1:19" hidden="1" x14ac:dyDescent="0.25">
      <c r="A51" t="s">
        <v>744</v>
      </c>
      <c r="B51" t="s">
        <v>745</v>
      </c>
      <c r="C51" s="24" t="s">
        <v>844</v>
      </c>
      <c r="D51" t="s">
        <v>845</v>
      </c>
      <c r="E51" s="965">
        <v>42.76</v>
      </c>
      <c r="F51" s="966">
        <v>88930</v>
      </c>
      <c r="G51" s="967">
        <v>1.5</v>
      </c>
      <c r="H51" s="965">
        <v>25.84</v>
      </c>
      <c r="I51" s="965">
        <v>32.04</v>
      </c>
      <c r="J51" s="965">
        <v>39.369999999999997</v>
      </c>
      <c r="K51" s="965">
        <v>50.55</v>
      </c>
      <c r="L51" s="965">
        <v>63.42</v>
      </c>
      <c r="O51" s="963">
        <f t="shared" si="0"/>
        <v>40.711599999999997</v>
      </c>
      <c r="P51" s="963">
        <f t="shared" si="1"/>
        <v>45.183599999999998</v>
      </c>
      <c r="R51" s="963">
        <f t="shared" si="2"/>
        <v>33.506</v>
      </c>
      <c r="S51" s="963">
        <f t="shared" si="3"/>
        <v>36.438000000000002</v>
      </c>
    </row>
    <row r="52" spans="1:19" hidden="1" x14ac:dyDescent="0.25">
      <c r="A52" t="s">
        <v>744</v>
      </c>
      <c r="B52" t="s">
        <v>745</v>
      </c>
      <c r="C52" s="24" t="s">
        <v>846</v>
      </c>
      <c r="D52" t="s">
        <v>847</v>
      </c>
      <c r="E52" s="965">
        <v>37.549999999999997</v>
      </c>
      <c r="F52" s="966">
        <v>78110</v>
      </c>
      <c r="G52" s="967">
        <v>3.2</v>
      </c>
      <c r="H52" s="965">
        <v>15.92</v>
      </c>
      <c r="I52" s="965">
        <v>22.87</v>
      </c>
      <c r="J52" s="965">
        <v>35.15</v>
      </c>
      <c r="K52" s="965">
        <v>48.41</v>
      </c>
      <c r="L52" s="965">
        <v>62.48</v>
      </c>
      <c r="O52" s="963">
        <f t="shared" si="0"/>
        <v>36.741199999999999</v>
      </c>
      <c r="P52" s="963">
        <f t="shared" si="1"/>
        <v>42.045199999999994</v>
      </c>
      <c r="R52" s="963">
        <f t="shared" si="2"/>
        <v>25.326000000000004</v>
      </c>
      <c r="S52" s="963">
        <f t="shared" si="3"/>
        <v>30.238</v>
      </c>
    </row>
    <row r="53" spans="1:19" hidden="1" x14ac:dyDescent="0.25">
      <c r="A53" t="s">
        <v>744</v>
      </c>
      <c r="B53" t="s">
        <v>745</v>
      </c>
      <c r="C53" s="24" t="s">
        <v>848</v>
      </c>
      <c r="D53" t="s">
        <v>849</v>
      </c>
      <c r="E53" s="965">
        <v>44.36</v>
      </c>
      <c r="F53" s="966">
        <v>92260</v>
      </c>
      <c r="G53" s="967">
        <v>1.5</v>
      </c>
      <c r="H53" s="965">
        <v>22.97</v>
      </c>
      <c r="I53" s="965">
        <v>30.18</v>
      </c>
      <c r="J53" s="965">
        <v>39.44</v>
      </c>
      <c r="K53" s="965">
        <v>55.52</v>
      </c>
      <c r="L53" s="965">
        <v>70.41</v>
      </c>
      <c r="O53" s="963">
        <f t="shared" si="0"/>
        <v>41.369599999999998</v>
      </c>
      <c r="P53" s="963">
        <f t="shared" si="1"/>
        <v>47.801600000000001</v>
      </c>
      <c r="R53" s="963">
        <f t="shared" si="2"/>
        <v>32.032000000000004</v>
      </c>
      <c r="S53" s="963">
        <f t="shared" si="3"/>
        <v>35.735999999999997</v>
      </c>
    </row>
    <row r="54" spans="1:19" hidden="1" x14ac:dyDescent="0.25">
      <c r="A54" t="s">
        <v>744</v>
      </c>
      <c r="B54" t="s">
        <v>745</v>
      </c>
      <c r="C54" s="24" t="s">
        <v>850</v>
      </c>
      <c r="D54" t="s">
        <v>851</v>
      </c>
      <c r="E54" s="965">
        <v>45.18</v>
      </c>
      <c r="F54" s="966">
        <v>93970</v>
      </c>
      <c r="G54" s="967">
        <v>1.2</v>
      </c>
      <c r="H54" s="965">
        <v>23.41</v>
      </c>
      <c r="I54" s="965">
        <v>30.85</v>
      </c>
      <c r="J54" s="965">
        <v>41.06</v>
      </c>
      <c r="K54" s="965">
        <v>52.2</v>
      </c>
      <c r="L54" s="965">
        <v>69.239999999999995</v>
      </c>
      <c r="O54" s="963">
        <f t="shared" si="0"/>
        <v>42.396800000000006</v>
      </c>
      <c r="P54" s="963">
        <f t="shared" si="1"/>
        <v>46.852800000000002</v>
      </c>
      <c r="R54" s="963">
        <f t="shared" si="2"/>
        <v>32.892000000000003</v>
      </c>
      <c r="S54" s="963">
        <f t="shared" si="3"/>
        <v>36.975999999999999</v>
      </c>
    </row>
    <row r="55" spans="1:19" hidden="1" x14ac:dyDescent="0.25">
      <c r="A55" t="s">
        <v>744</v>
      </c>
      <c r="B55" t="s">
        <v>745</v>
      </c>
      <c r="C55" s="24" t="s">
        <v>852</v>
      </c>
      <c r="D55" t="s">
        <v>853</v>
      </c>
      <c r="E55" s="965">
        <v>47.77</v>
      </c>
      <c r="F55" s="966">
        <v>99360</v>
      </c>
      <c r="G55" s="967">
        <v>1</v>
      </c>
      <c r="H55" s="965">
        <v>30.04</v>
      </c>
      <c r="I55" s="965">
        <v>36.07</v>
      </c>
      <c r="J55" s="965">
        <v>42.26</v>
      </c>
      <c r="K55" s="965">
        <v>52.93</v>
      </c>
      <c r="L55" s="965">
        <v>68.959999999999994</v>
      </c>
      <c r="O55" s="963">
        <f t="shared" si="0"/>
        <v>43.540399999999998</v>
      </c>
      <c r="P55" s="963">
        <f t="shared" si="1"/>
        <v>47.808399999999999</v>
      </c>
      <c r="R55" s="963">
        <f t="shared" si="2"/>
        <v>37.308</v>
      </c>
      <c r="S55" s="963">
        <f t="shared" si="3"/>
        <v>39.783999999999999</v>
      </c>
    </row>
    <row r="56" spans="1:19" hidden="1" x14ac:dyDescent="0.25">
      <c r="A56" t="s">
        <v>744</v>
      </c>
      <c r="B56" t="s">
        <v>745</v>
      </c>
      <c r="C56" s="24" t="s">
        <v>854</v>
      </c>
      <c r="D56" t="s">
        <v>855</v>
      </c>
      <c r="E56" s="965">
        <v>41.87</v>
      </c>
      <c r="F56" s="966">
        <v>87080</v>
      </c>
      <c r="G56" s="967">
        <v>4.7</v>
      </c>
      <c r="H56" s="965">
        <v>18.46</v>
      </c>
      <c r="I56" s="965">
        <v>28.17</v>
      </c>
      <c r="J56" s="965">
        <v>40.19</v>
      </c>
      <c r="K56" s="965">
        <v>52.22</v>
      </c>
      <c r="L56" s="965">
        <v>59.22</v>
      </c>
      <c r="O56" s="963">
        <f t="shared" si="0"/>
        <v>41.633600000000001</v>
      </c>
      <c r="P56" s="963">
        <f t="shared" si="1"/>
        <v>46.445599999999999</v>
      </c>
      <c r="R56" s="963">
        <f t="shared" si="2"/>
        <v>30.574000000000002</v>
      </c>
      <c r="S56" s="963">
        <f t="shared" si="3"/>
        <v>35.381999999999998</v>
      </c>
    </row>
    <row r="57" spans="1:19" hidden="1" x14ac:dyDescent="0.25">
      <c r="A57" t="s">
        <v>744</v>
      </c>
      <c r="B57" t="s">
        <v>745</v>
      </c>
      <c r="C57" s="24" t="s">
        <v>856</v>
      </c>
      <c r="D57" t="s">
        <v>857</v>
      </c>
      <c r="E57" s="965">
        <v>44.69</v>
      </c>
      <c r="F57" s="966">
        <v>92950</v>
      </c>
      <c r="G57" s="967">
        <v>1.4</v>
      </c>
      <c r="H57" s="965">
        <v>30.68</v>
      </c>
      <c r="I57" s="965">
        <v>37.01</v>
      </c>
      <c r="J57" s="965">
        <v>41.94</v>
      </c>
      <c r="K57" s="965">
        <v>52.51</v>
      </c>
      <c r="L57" s="965">
        <v>59.54</v>
      </c>
      <c r="O57" s="963">
        <f t="shared" si="0"/>
        <v>43.208399999999997</v>
      </c>
      <c r="P57" s="963">
        <f t="shared" si="1"/>
        <v>47.436399999999999</v>
      </c>
      <c r="R57" s="963">
        <f t="shared" si="2"/>
        <v>37.996000000000002</v>
      </c>
      <c r="S57" s="963">
        <f t="shared" si="3"/>
        <v>39.967999999999996</v>
      </c>
    </row>
    <row r="58" spans="1:19" hidden="1" x14ac:dyDescent="0.25">
      <c r="A58" t="s">
        <v>744</v>
      </c>
      <c r="B58" t="s">
        <v>745</v>
      </c>
      <c r="C58" s="24" t="s">
        <v>858</v>
      </c>
      <c r="D58" t="s">
        <v>859</v>
      </c>
      <c r="E58" s="965">
        <v>48.47</v>
      </c>
      <c r="F58" s="966">
        <v>100820</v>
      </c>
      <c r="G58" s="967">
        <v>2.9</v>
      </c>
      <c r="H58" s="965">
        <v>28.88</v>
      </c>
      <c r="I58" s="965">
        <v>30.99</v>
      </c>
      <c r="J58" s="965">
        <v>41.32</v>
      </c>
      <c r="K58" s="965">
        <v>61.19</v>
      </c>
      <c r="L58" s="965">
        <v>78.83</v>
      </c>
      <c r="O58" s="963">
        <f t="shared" si="0"/>
        <v>43.7044</v>
      </c>
      <c r="P58" s="963">
        <f t="shared" si="1"/>
        <v>51.6524</v>
      </c>
      <c r="R58" s="963">
        <f t="shared" si="2"/>
        <v>33.055999999999997</v>
      </c>
      <c r="S58" s="963">
        <f t="shared" si="3"/>
        <v>37.188000000000002</v>
      </c>
    </row>
    <row r="59" spans="1:19" hidden="1" x14ac:dyDescent="0.25">
      <c r="A59" t="s">
        <v>744</v>
      </c>
      <c r="B59" t="s">
        <v>745</v>
      </c>
      <c r="C59" s="24" t="s">
        <v>860</v>
      </c>
      <c r="D59" t="s">
        <v>861</v>
      </c>
      <c r="E59" s="965">
        <v>61.42</v>
      </c>
      <c r="F59" s="966">
        <v>127760</v>
      </c>
      <c r="G59" s="967">
        <v>3.5</v>
      </c>
      <c r="H59" s="965">
        <v>31.86</v>
      </c>
      <c r="I59" s="965">
        <v>38.340000000000003</v>
      </c>
      <c r="J59" s="965">
        <v>49.64</v>
      </c>
      <c r="K59" s="965">
        <v>74.86</v>
      </c>
      <c r="L59" s="965">
        <v>100.72</v>
      </c>
      <c r="O59" s="963">
        <f t="shared" si="0"/>
        <v>52.666400000000003</v>
      </c>
      <c r="P59" s="963">
        <f t="shared" si="1"/>
        <v>62.754400000000004</v>
      </c>
      <c r="R59" s="963">
        <f t="shared" si="2"/>
        <v>40.600000000000009</v>
      </c>
      <c r="S59" s="963">
        <f t="shared" si="3"/>
        <v>45.120000000000005</v>
      </c>
    </row>
    <row r="60" spans="1:19" hidden="1" x14ac:dyDescent="0.25">
      <c r="A60" t="s">
        <v>744</v>
      </c>
      <c r="B60" t="s">
        <v>745</v>
      </c>
      <c r="C60" s="24" t="s">
        <v>862</v>
      </c>
      <c r="D60" t="s">
        <v>863</v>
      </c>
      <c r="E60" s="965">
        <v>75.349999999999994</v>
      </c>
      <c r="F60" s="966">
        <v>156730</v>
      </c>
      <c r="G60" s="967">
        <v>7.5</v>
      </c>
      <c r="H60" s="965">
        <v>30.31</v>
      </c>
      <c r="I60" s="965">
        <v>37.42</v>
      </c>
      <c r="J60" s="965">
        <v>48.04</v>
      </c>
      <c r="K60" s="965">
        <v>81.37</v>
      </c>
      <c r="L60" s="965" t="s">
        <v>748</v>
      </c>
      <c r="O60" s="963">
        <f t="shared" si="0"/>
        <v>43.6858</v>
      </c>
      <c r="P60" s="963">
        <f t="shared" si="1"/>
        <v>46.8718</v>
      </c>
      <c r="R60" s="963">
        <f t="shared" si="2"/>
        <v>36.709000000000003</v>
      </c>
      <c r="S60" s="963">
        <f t="shared" si="3"/>
        <v>39.544000000000004</v>
      </c>
    </row>
    <row r="61" spans="1:19" hidden="1" x14ac:dyDescent="0.25">
      <c r="A61" t="s">
        <v>744</v>
      </c>
      <c r="B61" t="s">
        <v>745</v>
      </c>
      <c r="C61" s="24" t="s">
        <v>864</v>
      </c>
      <c r="D61" t="s">
        <v>865</v>
      </c>
      <c r="E61" s="965">
        <v>48.39</v>
      </c>
      <c r="F61" s="966">
        <v>100650</v>
      </c>
      <c r="G61" s="967">
        <v>2.5</v>
      </c>
      <c r="H61" s="965">
        <v>29.94</v>
      </c>
      <c r="I61" s="965">
        <v>36.380000000000003</v>
      </c>
      <c r="J61" s="965">
        <v>47.13</v>
      </c>
      <c r="K61" s="965">
        <v>59.29</v>
      </c>
      <c r="L61" s="965">
        <v>72.3</v>
      </c>
      <c r="O61" s="963">
        <f t="shared" si="0"/>
        <v>48.589200000000005</v>
      </c>
      <c r="P61" s="963">
        <f t="shared" si="1"/>
        <v>53.453200000000002</v>
      </c>
      <c r="R61" s="963">
        <f t="shared" si="2"/>
        <v>38.53</v>
      </c>
      <c r="S61" s="963">
        <f t="shared" si="3"/>
        <v>42.830000000000005</v>
      </c>
    </row>
    <row r="62" spans="1:19" hidden="1" x14ac:dyDescent="0.25">
      <c r="A62" t="s">
        <v>744</v>
      </c>
      <c r="B62" t="s">
        <v>745</v>
      </c>
      <c r="C62" s="24" t="s">
        <v>866</v>
      </c>
      <c r="D62" t="s">
        <v>867</v>
      </c>
      <c r="E62" s="965">
        <v>57.95</v>
      </c>
      <c r="F62" s="966">
        <v>120540</v>
      </c>
      <c r="G62" s="967">
        <v>2.7</v>
      </c>
      <c r="H62" s="965">
        <v>30.78</v>
      </c>
      <c r="I62" s="965">
        <v>38.94</v>
      </c>
      <c r="J62" s="965">
        <v>52.26</v>
      </c>
      <c r="K62" s="965">
        <v>70.8</v>
      </c>
      <c r="L62" s="965">
        <v>85.22</v>
      </c>
      <c r="O62" s="963">
        <f t="shared" si="0"/>
        <v>54.4848</v>
      </c>
      <c r="P62" s="963">
        <f t="shared" si="1"/>
        <v>61.900799999999997</v>
      </c>
      <c r="R62" s="963">
        <f t="shared" si="2"/>
        <v>41.603999999999999</v>
      </c>
      <c r="S62" s="963">
        <f t="shared" si="3"/>
        <v>46.932000000000002</v>
      </c>
    </row>
    <row r="63" spans="1:19" hidden="1" x14ac:dyDescent="0.25">
      <c r="A63" t="s">
        <v>744</v>
      </c>
      <c r="B63" t="s">
        <v>745</v>
      </c>
      <c r="C63" s="24" t="s">
        <v>868</v>
      </c>
      <c r="D63" t="s">
        <v>869</v>
      </c>
      <c r="E63" s="965">
        <v>47.31</v>
      </c>
      <c r="F63" s="966">
        <v>98390</v>
      </c>
      <c r="G63" s="967">
        <v>2.5</v>
      </c>
      <c r="H63" s="965">
        <v>25.13</v>
      </c>
      <c r="I63" s="965">
        <v>30.59</v>
      </c>
      <c r="J63" s="965">
        <v>42.3</v>
      </c>
      <c r="K63" s="965">
        <v>53.07</v>
      </c>
      <c r="L63" s="965">
        <v>76.150000000000006</v>
      </c>
      <c r="O63" s="963">
        <f t="shared" si="0"/>
        <v>43.592399999999998</v>
      </c>
      <c r="P63" s="963">
        <f t="shared" si="1"/>
        <v>47.900399999999998</v>
      </c>
      <c r="R63" s="963">
        <f t="shared" si="2"/>
        <v>32.932000000000002</v>
      </c>
      <c r="S63" s="963">
        <f t="shared" si="3"/>
        <v>37.616</v>
      </c>
    </row>
    <row r="64" spans="1:19" hidden="1" x14ac:dyDescent="0.25">
      <c r="A64" t="s">
        <v>744</v>
      </c>
      <c r="B64" t="s">
        <v>745</v>
      </c>
      <c r="C64" s="24" t="s">
        <v>870</v>
      </c>
      <c r="D64" t="s">
        <v>871</v>
      </c>
      <c r="E64" s="965">
        <v>31.55</v>
      </c>
      <c r="F64" s="966">
        <v>65620</v>
      </c>
      <c r="G64" s="967">
        <v>3.9</v>
      </c>
      <c r="H64" s="965">
        <v>21</v>
      </c>
      <c r="I64" s="965">
        <v>23.85</v>
      </c>
      <c r="J64" s="965">
        <v>29.33</v>
      </c>
      <c r="K64" s="965">
        <v>36.58</v>
      </c>
      <c r="L64" s="965">
        <v>45.56</v>
      </c>
      <c r="O64" s="963">
        <f t="shared" si="0"/>
        <v>30.2</v>
      </c>
      <c r="P64" s="963">
        <f t="shared" si="1"/>
        <v>33.1</v>
      </c>
      <c r="R64" s="963">
        <f t="shared" si="2"/>
        <v>24.946000000000002</v>
      </c>
      <c r="S64" s="963">
        <f t="shared" si="3"/>
        <v>27.137999999999998</v>
      </c>
    </row>
    <row r="65" spans="1:19" hidden="1" x14ac:dyDescent="0.25">
      <c r="A65" t="s">
        <v>744</v>
      </c>
      <c r="B65" t="s">
        <v>745</v>
      </c>
      <c r="C65" s="24" t="s">
        <v>872</v>
      </c>
      <c r="D65" t="s">
        <v>873</v>
      </c>
      <c r="E65" s="965">
        <v>52.91</v>
      </c>
      <c r="F65" s="966">
        <v>110060</v>
      </c>
      <c r="G65" s="967">
        <v>3.7</v>
      </c>
      <c r="H65" s="965">
        <v>28.1</v>
      </c>
      <c r="I65" s="965">
        <v>35.74</v>
      </c>
      <c r="J65" s="965">
        <v>46.61</v>
      </c>
      <c r="K65" s="965">
        <v>66.099999999999994</v>
      </c>
      <c r="L65" s="965">
        <v>85.32</v>
      </c>
      <c r="O65" s="963">
        <f t="shared" si="0"/>
        <v>48.948799999999999</v>
      </c>
      <c r="P65" s="963">
        <f t="shared" si="1"/>
        <v>56.744799999999998</v>
      </c>
      <c r="R65" s="963">
        <f t="shared" si="2"/>
        <v>37.914000000000001</v>
      </c>
      <c r="S65" s="963">
        <f t="shared" si="3"/>
        <v>42.262</v>
      </c>
    </row>
    <row r="66" spans="1:19" hidden="1" x14ac:dyDescent="0.25">
      <c r="A66" t="s">
        <v>744</v>
      </c>
      <c r="B66" t="s">
        <v>745</v>
      </c>
      <c r="C66" s="24" t="s">
        <v>874</v>
      </c>
      <c r="D66" t="s">
        <v>875</v>
      </c>
      <c r="E66" s="965">
        <v>36.71</v>
      </c>
      <c r="F66" s="966">
        <v>76360</v>
      </c>
      <c r="G66" s="967">
        <v>1</v>
      </c>
      <c r="H66" s="965">
        <v>23.68</v>
      </c>
      <c r="I66" s="965">
        <v>27.77</v>
      </c>
      <c r="J66" s="965">
        <v>32.82</v>
      </c>
      <c r="K66" s="965">
        <v>44.79</v>
      </c>
      <c r="L66" s="965">
        <v>55.04</v>
      </c>
      <c r="O66" s="963">
        <f t="shared" ref="O66:O129" si="4">_xlfn.PERCENTILE.INC((H66:L66),$W$1)</f>
        <v>34.256399999999999</v>
      </c>
      <c r="P66" s="963">
        <f t="shared" ref="P66:P129" si="5">_xlfn.PERCENTILE.INC((H66:L66),$X$1)</f>
        <v>39.044399999999996</v>
      </c>
      <c r="R66" s="963">
        <f t="shared" si="2"/>
        <v>28.78</v>
      </c>
      <c r="S66" s="963">
        <f t="shared" si="3"/>
        <v>30.8</v>
      </c>
    </row>
    <row r="67" spans="1:19" hidden="1" x14ac:dyDescent="0.25">
      <c r="A67" t="s">
        <v>744</v>
      </c>
      <c r="B67" t="s">
        <v>745</v>
      </c>
      <c r="C67" s="24" t="s">
        <v>876</v>
      </c>
      <c r="D67" t="s">
        <v>877</v>
      </c>
      <c r="E67" s="965">
        <v>29.15</v>
      </c>
      <c r="F67" s="966">
        <v>60620</v>
      </c>
      <c r="G67" s="967">
        <v>3.6</v>
      </c>
      <c r="H67" s="965">
        <v>16.12</v>
      </c>
      <c r="I67" s="965">
        <v>21.4</v>
      </c>
      <c r="J67" s="965">
        <v>29.44</v>
      </c>
      <c r="K67" s="965">
        <v>30.93</v>
      </c>
      <c r="L67" s="965">
        <v>42.56</v>
      </c>
      <c r="O67" s="963">
        <f t="shared" si="4"/>
        <v>29.6188</v>
      </c>
      <c r="P67" s="963">
        <f t="shared" si="5"/>
        <v>30.2148</v>
      </c>
      <c r="R67" s="963">
        <f t="shared" ref="R67:R130" si="6">_xlfn.PERCENTILE.INC((H67:L67),$Y$1)</f>
        <v>23.007999999999999</v>
      </c>
      <c r="S67" s="963">
        <f t="shared" ref="S67:S130" si="7">_xlfn.PERCENTILE.INC((H67:L67),$Z$1)</f>
        <v>26.224</v>
      </c>
    </row>
    <row r="68" spans="1:19" hidden="1" x14ac:dyDescent="0.25">
      <c r="A68" t="s">
        <v>744</v>
      </c>
      <c r="B68" t="s">
        <v>745</v>
      </c>
      <c r="C68" s="24" t="s">
        <v>878</v>
      </c>
      <c r="D68" t="s">
        <v>879</v>
      </c>
      <c r="E68" s="965">
        <v>49</v>
      </c>
      <c r="F68" s="966">
        <v>101930</v>
      </c>
      <c r="G68" s="967">
        <v>2.1</v>
      </c>
      <c r="H68" s="965">
        <v>27.85</v>
      </c>
      <c r="I68" s="965">
        <v>32.11</v>
      </c>
      <c r="J68" s="965">
        <v>39.82</v>
      </c>
      <c r="K68" s="965">
        <v>51.2</v>
      </c>
      <c r="L68" s="965">
        <v>64.569999999999993</v>
      </c>
      <c r="O68" s="963">
        <f t="shared" si="4"/>
        <v>41.185600000000001</v>
      </c>
      <c r="P68" s="963">
        <f t="shared" si="5"/>
        <v>45.7376</v>
      </c>
      <c r="R68" s="963">
        <f t="shared" si="6"/>
        <v>33.652000000000001</v>
      </c>
      <c r="S68" s="963">
        <f t="shared" si="7"/>
        <v>36.736000000000004</v>
      </c>
    </row>
    <row r="69" spans="1:19" hidden="1" x14ac:dyDescent="0.25">
      <c r="A69" t="s">
        <v>744</v>
      </c>
      <c r="B69" t="s">
        <v>745</v>
      </c>
      <c r="C69" s="24" t="s">
        <v>880</v>
      </c>
      <c r="D69" t="s">
        <v>881</v>
      </c>
      <c r="E69" s="965">
        <v>60.65</v>
      </c>
      <c r="F69" s="966">
        <v>126150</v>
      </c>
      <c r="G69" s="967">
        <v>1.2</v>
      </c>
      <c r="H69" s="965">
        <v>31.22</v>
      </c>
      <c r="I69" s="965">
        <v>41.81</v>
      </c>
      <c r="J69" s="965">
        <v>58.49</v>
      </c>
      <c r="K69" s="965">
        <v>76.28</v>
      </c>
      <c r="L69" s="965">
        <v>89.39</v>
      </c>
      <c r="O69" s="963">
        <f t="shared" si="4"/>
        <v>60.6248</v>
      </c>
      <c r="P69" s="963">
        <f t="shared" si="5"/>
        <v>67.740800000000007</v>
      </c>
      <c r="R69" s="963">
        <f t="shared" si="6"/>
        <v>45.146000000000008</v>
      </c>
      <c r="S69" s="963">
        <f t="shared" si="7"/>
        <v>51.818000000000005</v>
      </c>
    </row>
    <row r="70" spans="1:19" hidden="1" x14ac:dyDescent="0.25">
      <c r="A70" t="s">
        <v>744</v>
      </c>
      <c r="B70" t="s">
        <v>745</v>
      </c>
      <c r="C70" s="24" t="s">
        <v>882</v>
      </c>
      <c r="D70" t="s">
        <v>883</v>
      </c>
      <c r="E70" s="965">
        <v>60.04</v>
      </c>
      <c r="F70" s="966">
        <v>124870</v>
      </c>
      <c r="G70" s="967">
        <v>5</v>
      </c>
      <c r="H70" s="965">
        <v>37.18</v>
      </c>
      <c r="I70" s="965">
        <v>44.35</v>
      </c>
      <c r="J70" s="965">
        <v>53.79</v>
      </c>
      <c r="K70" s="965">
        <v>70.44</v>
      </c>
      <c r="L70" s="965">
        <v>84.45</v>
      </c>
      <c r="O70" s="963">
        <f t="shared" si="4"/>
        <v>55.788000000000004</v>
      </c>
      <c r="P70" s="963">
        <f t="shared" si="5"/>
        <v>62.448</v>
      </c>
      <c r="R70" s="963">
        <f t="shared" si="6"/>
        <v>46.238</v>
      </c>
      <c r="S70" s="963">
        <f t="shared" si="7"/>
        <v>50.014000000000003</v>
      </c>
    </row>
    <row r="71" spans="1:19" hidden="1" x14ac:dyDescent="0.25">
      <c r="A71" t="s">
        <v>744</v>
      </c>
      <c r="B71" t="s">
        <v>745</v>
      </c>
      <c r="C71" s="24" t="s">
        <v>884</v>
      </c>
      <c r="D71" t="s">
        <v>885</v>
      </c>
      <c r="E71" s="965">
        <v>62.26</v>
      </c>
      <c r="F71" s="966">
        <v>129500</v>
      </c>
      <c r="G71" s="967">
        <v>1.8</v>
      </c>
      <c r="H71" s="965">
        <v>37.61</v>
      </c>
      <c r="I71" s="965">
        <v>47.88</v>
      </c>
      <c r="J71" s="965">
        <v>60.06</v>
      </c>
      <c r="K71" s="965">
        <v>76.98</v>
      </c>
      <c r="L71" s="965">
        <v>85.67</v>
      </c>
      <c r="O71" s="963">
        <f t="shared" si="4"/>
        <v>62.090400000000002</v>
      </c>
      <c r="P71" s="963">
        <f t="shared" si="5"/>
        <v>68.858400000000003</v>
      </c>
      <c r="R71" s="963">
        <f t="shared" si="6"/>
        <v>50.316000000000003</v>
      </c>
      <c r="S71" s="963">
        <f t="shared" si="7"/>
        <v>55.188000000000002</v>
      </c>
    </row>
    <row r="72" spans="1:19" hidden="1" x14ac:dyDescent="0.25">
      <c r="A72" t="s">
        <v>744</v>
      </c>
      <c r="B72" t="s">
        <v>745</v>
      </c>
      <c r="C72" s="24" t="s">
        <v>886</v>
      </c>
      <c r="D72" t="s">
        <v>887</v>
      </c>
      <c r="E72" s="965">
        <v>85.97</v>
      </c>
      <c r="F72" s="966">
        <v>178820</v>
      </c>
      <c r="G72" s="967">
        <v>5</v>
      </c>
      <c r="H72" s="965">
        <v>63.67</v>
      </c>
      <c r="I72" s="965">
        <v>67.66</v>
      </c>
      <c r="J72" s="965">
        <v>81.739999999999995</v>
      </c>
      <c r="K72" s="965">
        <v>91.57</v>
      </c>
      <c r="L72" s="965">
        <v>106.98</v>
      </c>
      <c r="O72" s="963">
        <f t="shared" si="4"/>
        <v>82.919600000000003</v>
      </c>
      <c r="P72" s="963">
        <f t="shared" si="5"/>
        <v>86.851599999999991</v>
      </c>
      <c r="R72" s="963">
        <f t="shared" si="6"/>
        <v>70.475999999999999</v>
      </c>
      <c r="S72" s="963">
        <f t="shared" si="7"/>
        <v>76.108000000000004</v>
      </c>
    </row>
    <row r="73" spans="1:19" hidden="1" x14ac:dyDescent="0.25">
      <c r="A73" t="s">
        <v>744</v>
      </c>
      <c r="B73" t="s">
        <v>745</v>
      </c>
      <c r="C73" s="24" t="s">
        <v>888</v>
      </c>
      <c r="D73" t="s">
        <v>889</v>
      </c>
      <c r="E73" s="965">
        <v>43.58</v>
      </c>
      <c r="F73" s="966">
        <v>90640</v>
      </c>
      <c r="G73" s="967">
        <v>4.8</v>
      </c>
      <c r="H73" s="965">
        <v>23.07</v>
      </c>
      <c r="I73" s="965">
        <v>29.12</v>
      </c>
      <c r="J73" s="965">
        <v>39.06</v>
      </c>
      <c r="K73" s="965">
        <v>58.39</v>
      </c>
      <c r="L73" s="965">
        <v>68.67</v>
      </c>
      <c r="O73" s="963">
        <f t="shared" si="4"/>
        <v>41.379600000000003</v>
      </c>
      <c r="P73" s="963">
        <f t="shared" si="5"/>
        <v>49.111600000000003</v>
      </c>
      <c r="R73" s="963">
        <f t="shared" si="6"/>
        <v>31.108000000000004</v>
      </c>
      <c r="S73" s="963">
        <f t="shared" si="7"/>
        <v>35.084000000000003</v>
      </c>
    </row>
    <row r="74" spans="1:19" hidden="1" x14ac:dyDescent="0.25">
      <c r="A74" t="s">
        <v>744</v>
      </c>
      <c r="B74" t="s">
        <v>745</v>
      </c>
      <c r="C74" s="24" t="s">
        <v>890</v>
      </c>
      <c r="D74" t="s">
        <v>891</v>
      </c>
      <c r="E74" s="965">
        <v>36.54</v>
      </c>
      <c r="F74" s="966">
        <v>76010</v>
      </c>
      <c r="G74" s="967">
        <v>1.5</v>
      </c>
      <c r="H74" s="965">
        <v>22.98</v>
      </c>
      <c r="I74" s="965">
        <v>27.68</v>
      </c>
      <c r="J74" s="965">
        <v>35.49</v>
      </c>
      <c r="K74" s="965">
        <v>42.11</v>
      </c>
      <c r="L74" s="965">
        <v>53.56</v>
      </c>
      <c r="O74" s="963">
        <f t="shared" si="4"/>
        <v>36.284400000000005</v>
      </c>
      <c r="P74" s="963">
        <f t="shared" si="5"/>
        <v>38.932400000000001</v>
      </c>
      <c r="R74" s="963">
        <f t="shared" si="6"/>
        <v>29.242000000000001</v>
      </c>
      <c r="S74" s="963">
        <f t="shared" si="7"/>
        <v>32.366</v>
      </c>
    </row>
    <row r="75" spans="1:19" hidden="1" x14ac:dyDescent="0.25">
      <c r="A75" t="s">
        <v>744</v>
      </c>
      <c r="B75" t="s">
        <v>745</v>
      </c>
      <c r="C75" s="24" t="s">
        <v>892</v>
      </c>
      <c r="D75" t="s">
        <v>893</v>
      </c>
      <c r="E75" s="965">
        <v>72.12</v>
      </c>
      <c r="F75" s="966">
        <v>150010</v>
      </c>
      <c r="G75" s="967">
        <v>2.6</v>
      </c>
      <c r="H75" s="965">
        <v>40.58</v>
      </c>
      <c r="I75" s="965">
        <v>55.96</v>
      </c>
      <c r="J75" s="965">
        <v>73.66</v>
      </c>
      <c r="K75" s="965">
        <v>85.46</v>
      </c>
      <c r="L75" s="965">
        <v>98.61</v>
      </c>
      <c r="O75" s="963">
        <f t="shared" si="4"/>
        <v>75.075999999999993</v>
      </c>
      <c r="P75" s="963">
        <f t="shared" si="5"/>
        <v>79.795999999999992</v>
      </c>
      <c r="R75" s="963">
        <f t="shared" si="6"/>
        <v>59.5</v>
      </c>
      <c r="S75" s="963">
        <f t="shared" si="7"/>
        <v>66.58</v>
      </c>
    </row>
    <row r="76" spans="1:19" hidden="1" x14ac:dyDescent="0.25">
      <c r="A76" t="s">
        <v>744</v>
      </c>
      <c r="B76" t="s">
        <v>745</v>
      </c>
      <c r="C76" s="24" t="s">
        <v>894</v>
      </c>
      <c r="D76" t="s">
        <v>895</v>
      </c>
      <c r="E76" s="965">
        <v>56.67</v>
      </c>
      <c r="F76" s="966">
        <v>117870</v>
      </c>
      <c r="G76" s="967">
        <v>1.7</v>
      </c>
      <c r="H76" s="965">
        <v>30.08</v>
      </c>
      <c r="I76" s="965">
        <v>42.91</v>
      </c>
      <c r="J76" s="965">
        <v>58.43</v>
      </c>
      <c r="K76" s="965">
        <v>69.02</v>
      </c>
      <c r="L76" s="965">
        <v>79.42</v>
      </c>
      <c r="O76" s="963">
        <f t="shared" si="4"/>
        <v>59.700800000000001</v>
      </c>
      <c r="P76" s="963">
        <f t="shared" si="5"/>
        <v>63.936799999999998</v>
      </c>
      <c r="R76" s="963">
        <f t="shared" si="6"/>
        <v>46.014000000000003</v>
      </c>
      <c r="S76" s="963">
        <f t="shared" si="7"/>
        <v>52.222000000000001</v>
      </c>
    </row>
    <row r="77" spans="1:19" hidden="1" x14ac:dyDescent="0.25">
      <c r="A77" t="s">
        <v>744</v>
      </c>
      <c r="B77" t="s">
        <v>745</v>
      </c>
      <c r="C77" s="24" t="s">
        <v>896</v>
      </c>
      <c r="D77" t="s">
        <v>897</v>
      </c>
      <c r="E77" s="965">
        <v>73.48</v>
      </c>
      <c r="F77" s="966">
        <v>152850</v>
      </c>
      <c r="G77" s="967">
        <v>2.2999999999999998</v>
      </c>
      <c r="H77" s="965">
        <v>45.87</v>
      </c>
      <c r="I77" s="965">
        <v>61.17</v>
      </c>
      <c r="J77" s="965">
        <v>73.09</v>
      </c>
      <c r="K77" s="965">
        <v>86.34</v>
      </c>
      <c r="L77" s="965">
        <v>100</v>
      </c>
      <c r="O77" s="963">
        <f t="shared" si="4"/>
        <v>74.680000000000007</v>
      </c>
      <c r="P77" s="963">
        <f t="shared" si="5"/>
        <v>79.98</v>
      </c>
      <c r="R77" s="963">
        <f t="shared" si="6"/>
        <v>63.554000000000002</v>
      </c>
      <c r="S77" s="963">
        <f t="shared" si="7"/>
        <v>68.322000000000003</v>
      </c>
    </row>
    <row r="78" spans="1:19" hidden="1" x14ac:dyDescent="0.25">
      <c r="A78" t="s">
        <v>744</v>
      </c>
      <c r="B78" t="s">
        <v>745</v>
      </c>
      <c r="C78" s="24" t="s">
        <v>898</v>
      </c>
      <c r="D78" t="s">
        <v>899</v>
      </c>
      <c r="E78" s="965">
        <v>51.07</v>
      </c>
      <c r="F78" s="966">
        <v>106220</v>
      </c>
      <c r="G78" s="967">
        <v>1.1000000000000001</v>
      </c>
      <c r="H78" s="965">
        <v>32.03</v>
      </c>
      <c r="I78" s="965">
        <v>38.979999999999997</v>
      </c>
      <c r="J78" s="965">
        <v>49.16</v>
      </c>
      <c r="K78" s="965">
        <v>61.39</v>
      </c>
      <c r="L78" s="965">
        <v>71.48</v>
      </c>
      <c r="O78" s="963">
        <f t="shared" si="4"/>
        <v>50.627600000000001</v>
      </c>
      <c r="P78" s="963">
        <f t="shared" si="5"/>
        <v>55.519599999999997</v>
      </c>
      <c r="R78" s="963">
        <f t="shared" si="6"/>
        <v>41.015999999999998</v>
      </c>
      <c r="S78" s="963">
        <f t="shared" si="7"/>
        <v>45.087999999999994</v>
      </c>
    </row>
    <row r="79" spans="1:19" hidden="1" x14ac:dyDescent="0.25">
      <c r="A79" t="s">
        <v>744</v>
      </c>
      <c r="B79" t="s">
        <v>745</v>
      </c>
      <c r="C79" s="24" t="s">
        <v>900</v>
      </c>
      <c r="D79" t="s">
        <v>901</v>
      </c>
      <c r="E79" s="965">
        <v>55.02</v>
      </c>
      <c r="F79" s="966">
        <v>114450</v>
      </c>
      <c r="G79" s="967">
        <v>2.6</v>
      </c>
      <c r="H79" s="965">
        <v>38.01</v>
      </c>
      <c r="I79" s="965">
        <v>47.55</v>
      </c>
      <c r="J79" s="965">
        <v>54.24</v>
      </c>
      <c r="K79" s="965">
        <v>62.56</v>
      </c>
      <c r="L79" s="965">
        <v>72.78</v>
      </c>
      <c r="O79" s="963">
        <f t="shared" si="4"/>
        <v>55.238400000000006</v>
      </c>
      <c r="P79" s="963">
        <f t="shared" si="5"/>
        <v>58.566400000000002</v>
      </c>
      <c r="R79" s="963">
        <f t="shared" si="6"/>
        <v>48.887999999999998</v>
      </c>
      <c r="S79" s="963">
        <f t="shared" si="7"/>
        <v>51.564</v>
      </c>
    </row>
    <row r="80" spans="1:19" hidden="1" x14ac:dyDescent="0.25">
      <c r="A80" t="s">
        <v>744</v>
      </c>
      <c r="B80" t="s">
        <v>745</v>
      </c>
      <c r="C80" s="24" t="s">
        <v>902</v>
      </c>
      <c r="D80" t="s">
        <v>903</v>
      </c>
      <c r="E80" s="965">
        <v>70.47</v>
      </c>
      <c r="F80" s="966">
        <v>146580</v>
      </c>
      <c r="G80" s="967">
        <v>1.3</v>
      </c>
      <c r="H80" s="965">
        <v>42.53</v>
      </c>
      <c r="I80" s="965">
        <v>52.96</v>
      </c>
      <c r="J80" s="965">
        <v>65.930000000000007</v>
      </c>
      <c r="K80" s="965">
        <v>81.709999999999994</v>
      </c>
      <c r="L80" s="965">
        <v>98.43</v>
      </c>
      <c r="O80" s="963">
        <f t="shared" si="4"/>
        <v>67.823600000000013</v>
      </c>
      <c r="P80" s="963">
        <f t="shared" si="5"/>
        <v>74.135599999999997</v>
      </c>
      <c r="R80" s="963">
        <f t="shared" si="6"/>
        <v>55.554000000000002</v>
      </c>
      <c r="S80" s="963">
        <f t="shared" si="7"/>
        <v>60.742000000000004</v>
      </c>
    </row>
    <row r="81" spans="1:19" hidden="1" x14ac:dyDescent="0.25">
      <c r="A81" t="s">
        <v>744</v>
      </c>
      <c r="B81" t="s">
        <v>745</v>
      </c>
      <c r="C81" s="24" t="s">
        <v>904</v>
      </c>
      <c r="D81" t="s">
        <v>905</v>
      </c>
      <c r="E81" s="965">
        <v>57.08</v>
      </c>
      <c r="F81" s="966">
        <v>118720</v>
      </c>
      <c r="G81" s="967">
        <v>2.6</v>
      </c>
      <c r="H81" s="965">
        <v>36.729999999999997</v>
      </c>
      <c r="I81" s="965">
        <v>45.87</v>
      </c>
      <c r="J81" s="965">
        <v>58.33</v>
      </c>
      <c r="K81" s="965">
        <v>65.349999999999994</v>
      </c>
      <c r="L81" s="965">
        <v>78.52</v>
      </c>
      <c r="O81" s="963">
        <f t="shared" si="4"/>
        <v>59.172399999999996</v>
      </c>
      <c r="P81" s="963">
        <f t="shared" si="5"/>
        <v>61.980399999999996</v>
      </c>
      <c r="R81" s="963">
        <f t="shared" si="6"/>
        <v>48.362000000000002</v>
      </c>
      <c r="S81" s="963">
        <f t="shared" si="7"/>
        <v>53.345999999999997</v>
      </c>
    </row>
    <row r="82" spans="1:19" hidden="1" x14ac:dyDescent="0.25">
      <c r="A82" t="s">
        <v>744</v>
      </c>
      <c r="B82" t="s">
        <v>745</v>
      </c>
      <c r="C82" s="24" t="s">
        <v>906</v>
      </c>
      <c r="D82" t="s">
        <v>907</v>
      </c>
      <c r="E82" s="965">
        <v>46.16</v>
      </c>
      <c r="F82" s="966">
        <v>96010</v>
      </c>
      <c r="G82" s="967">
        <v>11.3</v>
      </c>
      <c r="H82" s="965">
        <v>29.35</v>
      </c>
      <c r="I82" s="965">
        <v>29.35</v>
      </c>
      <c r="J82" s="965">
        <v>48</v>
      </c>
      <c r="K82" s="965">
        <v>53.36</v>
      </c>
      <c r="L82" s="965">
        <v>69.86</v>
      </c>
      <c r="O82" s="963">
        <f t="shared" si="4"/>
        <v>48.6432</v>
      </c>
      <c r="P82" s="963">
        <f t="shared" si="5"/>
        <v>50.787199999999999</v>
      </c>
      <c r="R82" s="963">
        <f t="shared" si="6"/>
        <v>33.080000000000005</v>
      </c>
      <c r="S82" s="963">
        <f t="shared" si="7"/>
        <v>40.540000000000006</v>
      </c>
    </row>
    <row r="83" spans="1:19" hidden="1" x14ac:dyDescent="0.25">
      <c r="A83" t="s">
        <v>744</v>
      </c>
      <c r="B83" t="s">
        <v>745</v>
      </c>
      <c r="C83" s="24" t="s">
        <v>908</v>
      </c>
      <c r="D83" t="s">
        <v>909</v>
      </c>
      <c r="E83" s="965">
        <v>54.64</v>
      </c>
      <c r="F83" s="966">
        <v>113650</v>
      </c>
      <c r="G83" s="967">
        <v>2.9</v>
      </c>
      <c r="H83" s="965">
        <v>31.92</v>
      </c>
      <c r="I83" s="965">
        <v>39.049999999999997</v>
      </c>
      <c r="J83" s="965">
        <v>51.45</v>
      </c>
      <c r="K83" s="965">
        <v>65.53</v>
      </c>
      <c r="L83" s="965">
        <v>80.930000000000007</v>
      </c>
      <c r="O83" s="963">
        <f t="shared" si="4"/>
        <v>53.139600000000002</v>
      </c>
      <c r="P83" s="963">
        <f t="shared" si="5"/>
        <v>58.771599999999999</v>
      </c>
      <c r="R83" s="963">
        <f t="shared" si="6"/>
        <v>41.53</v>
      </c>
      <c r="S83" s="963">
        <f t="shared" si="7"/>
        <v>46.49</v>
      </c>
    </row>
    <row r="84" spans="1:19" hidden="1" x14ac:dyDescent="0.25">
      <c r="A84" t="s">
        <v>744</v>
      </c>
      <c r="B84" t="s">
        <v>745</v>
      </c>
      <c r="C84" s="24" t="s">
        <v>910</v>
      </c>
      <c r="D84" t="s">
        <v>911</v>
      </c>
      <c r="E84" s="965">
        <v>58.85</v>
      </c>
      <c r="F84" s="966">
        <v>122410</v>
      </c>
      <c r="G84" s="967">
        <v>3.2</v>
      </c>
      <c r="H84" s="965">
        <v>27.58</v>
      </c>
      <c r="I84" s="965">
        <v>38.19</v>
      </c>
      <c r="J84" s="965">
        <v>53.67</v>
      </c>
      <c r="K84" s="965">
        <v>74.41</v>
      </c>
      <c r="L84" s="965">
        <v>101.32</v>
      </c>
      <c r="O84" s="963">
        <f t="shared" si="4"/>
        <v>56.158800000000006</v>
      </c>
      <c r="P84" s="963">
        <f t="shared" si="5"/>
        <v>64.454800000000006</v>
      </c>
      <c r="R84" s="963">
        <f t="shared" si="6"/>
        <v>41.286000000000001</v>
      </c>
      <c r="S84" s="963">
        <f t="shared" si="7"/>
        <v>47.478000000000002</v>
      </c>
    </row>
    <row r="85" spans="1:19" hidden="1" x14ac:dyDescent="0.25">
      <c r="A85" t="s">
        <v>744</v>
      </c>
      <c r="B85" t="s">
        <v>745</v>
      </c>
      <c r="C85" s="24" t="s">
        <v>912</v>
      </c>
      <c r="D85" t="s">
        <v>913</v>
      </c>
      <c r="E85" s="965">
        <v>67.67</v>
      </c>
      <c r="F85" s="966">
        <v>140750</v>
      </c>
      <c r="G85" s="967">
        <v>3.8</v>
      </c>
      <c r="H85" s="965">
        <v>39.15</v>
      </c>
      <c r="I85" s="965">
        <v>46.97</v>
      </c>
      <c r="J85" s="965">
        <v>64.91</v>
      </c>
      <c r="K85" s="965">
        <v>82.58</v>
      </c>
      <c r="L85" s="965">
        <v>94.14</v>
      </c>
      <c r="O85" s="963">
        <f t="shared" si="4"/>
        <v>67.0304</v>
      </c>
      <c r="P85" s="963">
        <f t="shared" si="5"/>
        <v>74.098399999999998</v>
      </c>
      <c r="R85" s="963">
        <f t="shared" si="6"/>
        <v>50.558</v>
      </c>
      <c r="S85" s="963">
        <f t="shared" si="7"/>
        <v>57.733999999999995</v>
      </c>
    </row>
    <row r="86" spans="1:19" hidden="1" x14ac:dyDescent="0.25">
      <c r="A86" t="s">
        <v>744</v>
      </c>
      <c r="B86" t="s">
        <v>745</v>
      </c>
      <c r="C86" s="24" t="s">
        <v>914</v>
      </c>
      <c r="D86" t="s">
        <v>915</v>
      </c>
      <c r="E86" s="965">
        <v>46.6</v>
      </c>
      <c r="F86" s="966">
        <v>96930</v>
      </c>
      <c r="G86" s="967">
        <v>1.8</v>
      </c>
      <c r="H86" s="965">
        <v>28.86</v>
      </c>
      <c r="I86" s="965">
        <v>35.43</v>
      </c>
      <c r="J86" s="965">
        <v>43.34</v>
      </c>
      <c r="K86" s="965">
        <v>53.26</v>
      </c>
      <c r="L86" s="965">
        <v>70.3</v>
      </c>
      <c r="O86" s="963">
        <f t="shared" si="4"/>
        <v>44.5304</v>
      </c>
      <c r="P86" s="963">
        <f t="shared" si="5"/>
        <v>48.498400000000004</v>
      </c>
      <c r="R86" s="963">
        <f t="shared" si="6"/>
        <v>37.012</v>
      </c>
      <c r="S86" s="963">
        <f t="shared" si="7"/>
        <v>40.176000000000002</v>
      </c>
    </row>
    <row r="87" spans="1:19" hidden="1" x14ac:dyDescent="0.25">
      <c r="A87" t="s">
        <v>744</v>
      </c>
      <c r="B87" t="s">
        <v>745</v>
      </c>
      <c r="C87" s="24" t="s">
        <v>916</v>
      </c>
      <c r="D87" t="s">
        <v>917</v>
      </c>
      <c r="E87" s="965">
        <v>50.65</v>
      </c>
      <c r="F87" s="966">
        <v>105360</v>
      </c>
      <c r="G87" s="967">
        <v>4.4000000000000004</v>
      </c>
      <c r="H87" s="965">
        <v>30.59</v>
      </c>
      <c r="I87" s="965">
        <v>39.409999999999997</v>
      </c>
      <c r="J87" s="965">
        <v>40.78</v>
      </c>
      <c r="K87" s="965">
        <v>64.88</v>
      </c>
      <c r="L87" s="965">
        <v>78</v>
      </c>
      <c r="O87" s="963">
        <f t="shared" si="4"/>
        <v>43.672000000000004</v>
      </c>
      <c r="P87" s="963">
        <f t="shared" si="5"/>
        <v>53.311999999999998</v>
      </c>
      <c r="R87" s="963">
        <f t="shared" si="6"/>
        <v>39.683999999999997</v>
      </c>
      <c r="S87" s="963">
        <f t="shared" si="7"/>
        <v>40.231999999999999</v>
      </c>
    </row>
    <row r="88" spans="1:19" hidden="1" x14ac:dyDescent="0.25">
      <c r="A88" t="s">
        <v>744</v>
      </c>
      <c r="B88" t="s">
        <v>745</v>
      </c>
      <c r="C88" s="24" t="s">
        <v>918</v>
      </c>
      <c r="D88" t="s">
        <v>919</v>
      </c>
      <c r="E88" s="965">
        <v>60.15</v>
      </c>
      <c r="F88" s="966">
        <v>125100</v>
      </c>
      <c r="G88" s="967">
        <v>3</v>
      </c>
      <c r="H88" s="965">
        <v>36.32</v>
      </c>
      <c r="I88" s="965">
        <v>43.09</v>
      </c>
      <c r="J88" s="965">
        <v>58.44</v>
      </c>
      <c r="K88" s="965">
        <v>70.67</v>
      </c>
      <c r="L88" s="965">
        <v>89.08</v>
      </c>
      <c r="O88" s="963">
        <f t="shared" si="4"/>
        <v>59.907600000000002</v>
      </c>
      <c r="P88" s="963">
        <f t="shared" si="5"/>
        <v>64.799599999999998</v>
      </c>
      <c r="R88" s="963">
        <f t="shared" si="6"/>
        <v>46.160000000000004</v>
      </c>
      <c r="S88" s="963">
        <f t="shared" si="7"/>
        <v>52.3</v>
      </c>
    </row>
    <row r="89" spans="1:19" hidden="1" x14ac:dyDescent="0.25">
      <c r="A89" t="s">
        <v>744</v>
      </c>
      <c r="B89" t="s">
        <v>745</v>
      </c>
      <c r="C89" s="24" t="s">
        <v>920</v>
      </c>
      <c r="D89" t="s">
        <v>921</v>
      </c>
      <c r="E89" s="965">
        <v>35.380000000000003</v>
      </c>
      <c r="F89" s="966">
        <v>73590</v>
      </c>
      <c r="G89" s="967">
        <v>6.4</v>
      </c>
      <c r="H89" s="965">
        <v>18.22</v>
      </c>
      <c r="I89" s="965">
        <v>22.24</v>
      </c>
      <c r="J89" s="965">
        <v>37.369999999999997</v>
      </c>
      <c r="K89" s="965">
        <v>45.07</v>
      </c>
      <c r="L89" s="965">
        <v>48.52</v>
      </c>
      <c r="O89" s="963">
        <f t="shared" si="4"/>
        <v>38.293999999999997</v>
      </c>
      <c r="P89" s="963">
        <f t="shared" si="5"/>
        <v>41.373999999999995</v>
      </c>
      <c r="R89" s="963">
        <f t="shared" si="6"/>
        <v>25.266000000000002</v>
      </c>
      <c r="S89" s="963">
        <f t="shared" si="7"/>
        <v>31.317999999999998</v>
      </c>
    </row>
    <row r="90" spans="1:19" hidden="1" x14ac:dyDescent="0.25">
      <c r="A90" t="s">
        <v>744</v>
      </c>
      <c r="B90" t="s">
        <v>745</v>
      </c>
      <c r="C90" s="24" t="s">
        <v>922</v>
      </c>
      <c r="D90" t="s">
        <v>923</v>
      </c>
      <c r="E90" s="965">
        <v>50.93</v>
      </c>
      <c r="F90" s="966">
        <v>105940</v>
      </c>
      <c r="G90" s="967">
        <v>1.1000000000000001</v>
      </c>
      <c r="H90" s="965">
        <v>29.6</v>
      </c>
      <c r="I90" s="965">
        <v>37.68</v>
      </c>
      <c r="J90" s="965">
        <v>48.1</v>
      </c>
      <c r="K90" s="965">
        <v>62.5</v>
      </c>
      <c r="L90" s="965">
        <v>78.64</v>
      </c>
      <c r="O90" s="963">
        <f t="shared" si="4"/>
        <v>49.828000000000003</v>
      </c>
      <c r="P90" s="963">
        <f t="shared" si="5"/>
        <v>55.588000000000001</v>
      </c>
      <c r="R90" s="963">
        <f t="shared" si="6"/>
        <v>39.764000000000003</v>
      </c>
      <c r="S90" s="963">
        <f t="shared" si="7"/>
        <v>43.932000000000002</v>
      </c>
    </row>
    <row r="91" spans="1:19" hidden="1" x14ac:dyDescent="0.25">
      <c r="A91" t="s">
        <v>744</v>
      </c>
      <c r="B91" t="s">
        <v>745</v>
      </c>
      <c r="C91" s="24" t="s">
        <v>924</v>
      </c>
      <c r="D91" t="s">
        <v>925</v>
      </c>
      <c r="E91" s="965">
        <v>51.23</v>
      </c>
      <c r="F91" s="966">
        <v>106550</v>
      </c>
      <c r="G91" s="967">
        <v>3.3</v>
      </c>
      <c r="H91" s="965">
        <v>34.369999999999997</v>
      </c>
      <c r="I91" s="965">
        <v>38.01</v>
      </c>
      <c r="J91" s="965">
        <v>47.73</v>
      </c>
      <c r="K91" s="965">
        <v>59.73</v>
      </c>
      <c r="L91" s="965">
        <v>73.790000000000006</v>
      </c>
      <c r="O91" s="963">
        <f t="shared" si="4"/>
        <v>49.17</v>
      </c>
      <c r="P91" s="963">
        <f t="shared" si="5"/>
        <v>53.97</v>
      </c>
      <c r="R91" s="963">
        <f t="shared" si="6"/>
        <v>39.954000000000001</v>
      </c>
      <c r="S91" s="963">
        <f t="shared" si="7"/>
        <v>43.841999999999999</v>
      </c>
    </row>
    <row r="92" spans="1:19" hidden="1" x14ac:dyDescent="0.25">
      <c r="A92" t="s">
        <v>744</v>
      </c>
      <c r="B92" t="s">
        <v>745</v>
      </c>
      <c r="C92" s="24" t="s">
        <v>926</v>
      </c>
      <c r="D92" t="s">
        <v>927</v>
      </c>
      <c r="E92" s="965">
        <v>43.03</v>
      </c>
      <c r="F92" s="966">
        <v>89500</v>
      </c>
      <c r="G92" s="967">
        <v>2.7</v>
      </c>
      <c r="H92" s="965">
        <v>28.54</v>
      </c>
      <c r="I92" s="965">
        <v>36</v>
      </c>
      <c r="J92" s="965">
        <v>40.83</v>
      </c>
      <c r="K92" s="965">
        <v>54.87</v>
      </c>
      <c r="L92" s="965">
        <v>57.88</v>
      </c>
      <c r="O92" s="963">
        <f t="shared" si="4"/>
        <v>42.514800000000001</v>
      </c>
      <c r="P92" s="963">
        <f t="shared" si="5"/>
        <v>48.130800000000001</v>
      </c>
      <c r="R92" s="963">
        <f t="shared" si="6"/>
        <v>36.966000000000001</v>
      </c>
      <c r="S92" s="963">
        <f t="shared" si="7"/>
        <v>38.897999999999996</v>
      </c>
    </row>
    <row r="93" spans="1:19" hidden="1" x14ac:dyDescent="0.25">
      <c r="A93" t="s">
        <v>744</v>
      </c>
      <c r="B93" t="s">
        <v>745</v>
      </c>
      <c r="C93" s="24" t="s">
        <v>928</v>
      </c>
      <c r="D93" t="s">
        <v>929</v>
      </c>
      <c r="E93" s="965">
        <v>42.85</v>
      </c>
      <c r="F93" s="966">
        <v>89130</v>
      </c>
      <c r="G93" s="967">
        <v>4.3</v>
      </c>
      <c r="H93" s="965">
        <v>28.95</v>
      </c>
      <c r="I93" s="965">
        <v>36.130000000000003</v>
      </c>
      <c r="J93" s="965">
        <v>44.01</v>
      </c>
      <c r="K93" s="965">
        <v>48.94</v>
      </c>
      <c r="L93" s="965">
        <v>52.71</v>
      </c>
      <c r="O93" s="963">
        <f t="shared" si="4"/>
        <v>44.601599999999998</v>
      </c>
      <c r="P93" s="963">
        <f t="shared" si="5"/>
        <v>46.573599999999999</v>
      </c>
      <c r="R93" s="963">
        <f t="shared" si="6"/>
        <v>37.706000000000003</v>
      </c>
      <c r="S93" s="963">
        <f t="shared" si="7"/>
        <v>40.858000000000004</v>
      </c>
    </row>
    <row r="94" spans="1:19" hidden="1" x14ac:dyDescent="0.25">
      <c r="A94" t="s">
        <v>744</v>
      </c>
      <c r="B94" t="s">
        <v>745</v>
      </c>
      <c r="C94" s="24" t="s">
        <v>930</v>
      </c>
      <c r="D94" t="s">
        <v>931</v>
      </c>
      <c r="E94" s="965">
        <v>41.71</v>
      </c>
      <c r="F94" s="966">
        <v>86760</v>
      </c>
      <c r="G94" s="967">
        <v>2.4</v>
      </c>
      <c r="H94" s="965">
        <v>30.26</v>
      </c>
      <c r="I94" s="965">
        <v>38.47</v>
      </c>
      <c r="J94" s="965">
        <v>39.549999999999997</v>
      </c>
      <c r="K94" s="965">
        <v>46.64</v>
      </c>
      <c r="L94" s="965">
        <v>51.33</v>
      </c>
      <c r="O94" s="963">
        <f t="shared" si="4"/>
        <v>40.400799999999997</v>
      </c>
      <c r="P94" s="963">
        <f t="shared" si="5"/>
        <v>43.236800000000002</v>
      </c>
      <c r="R94" s="963">
        <f t="shared" si="6"/>
        <v>38.686</v>
      </c>
      <c r="S94" s="963">
        <f t="shared" si="7"/>
        <v>39.117999999999995</v>
      </c>
    </row>
    <row r="95" spans="1:19" hidden="1" x14ac:dyDescent="0.25">
      <c r="A95" t="s">
        <v>744</v>
      </c>
      <c r="B95" t="s">
        <v>745</v>
      </c>
      <c r="C95" s="24" t="s">
        <v>932</v>
      </c>
      <c r="D95" t="s">
        <v>933</v>
      </c>
      <c r="E95" s="965">
        <v>61.06</v>
      </c>
      <c r="F95" s="966">
        <v>127000</v>
      </c>
      <c r="G95" s="967">
        <v>4.8</v>
      </c>
      <c r="H95" s="965">
        <v>29.96</v>
      </c>
      <c r="I95" s="965">
        <v>40.229999999999997</v>
      </c>
      <c r="J95" s="965">
        <v>65.8</v>
      </c>
      <c r="K95" s="965">
        <v>80.28</v>
      </c>
      <c r="L95" s="965">
        <v>82.72</v>
      </c>
      <c r="O95" s="963">
        <f t="shared" si="4"/>
        <v>67.537599999999998</v>
      </c>
      <c r="P95" s="963">
        <f t="shared" si="5"/>
        <v>73.329599999999999</v>
      </c>
      <c r="R95" s="963">
        <f t="shared" si="6"/>
        <v>45.344000000000001</v>
      </c>
      <c r="S95" s="963">
        <f t="shared" si="7"/>
        <v>55.572000000000003</v>
      </c>
    </row>
    <row r="96" spans="1:19" hidden="1" x14ac:dyDescent="0.25">
      <c r="A96" t="s">
        <v>744</v>
      </c>
      <c r="B96" t="s">
        <v>745</v>
      </c>
      <c r="C96" s="24" t="s">
        <v>934</v>
      </c>
      <c r="D96" t="s">
        <v>935</v>
      </c>
      <c r="E96" s="965">
        <v>51.58</v>
      </c>
      <c r="F96" s="966">
        <v>107280</v>
      </c>
      <c r="G96" s="967">
        <v>1.3</v>
      </c>
      <c r="H96" s="965">
        <v>36.64</v>
      </c>
      <c r="I96" s="965">
        <v>40.229999999999997</v>
      </c>
      <c r="J96" s="965">
        <v>49.28</v>
      </c>
      <c r="K96" s="965">
        <v>60.85</v>
      </c>
      <c r="L96" s="965">
        <v>69.73</v>
      </c>
      <c r="O96" s="963">
        <f t="shared" si="4"/>
        <v>50.668400000000005</v>
      </c>
      <c r="P96" s="963">
        <f t="shared" si="5"/>
        <v>55.296399999999998</v>
      </c>
      <c r="R96" s="963">
        <f t="shared" si="6"/>
        <v>42.04</v>
      </c>
      <c r="S96" s="963">
        <f t="shared" si="7"/>
        <v>45.66</v>
      </c>
    </row>
    <row r="97" spans="1:19" hidden="1" x14ac:dyDescent="0.25">
      <c r="A97" t="s">
        <v>744</v>
      </c>
      <c r="B97" t="s">
        <v>745</v>
      </c>
      <c r="C97" s="24" t="s">
        <v>936</v>
      </c>
      <c r="D97" t="s">
        <v>937</v>
      </c>
      <c r="E97" s="965">
        <v>56.69</v>
      </c>
      <c r="F97" s="966">
        <v>117910</v>
      </c>
      <c r="G97" s="967">
        <v>2.2999999999999998</v>
      </c>
      <c r="H97" s="965">
        <v>38.29</v>
      </c>
      <c r="I97" s="965">
        <v>45.89</v>
      </c>
      <c r="J97" s="965">
        <v>51.35</v>
      </c>
      <c r="K97" s="965">
        <v>64.959999999999994</v>
      </c>
      <c r="L97" s="965">
        <v>79.709999999999994</v>
      </c>
      <c r="O97" s="963">
        <f t="shared" si="4"/>
        <v>52.983200000000004</v>
      </c>
      <c r="P97" s="963">
        <f t="shared" si="5"/>
        <v>58.427199999999999</v>
      </c>
      <c r="R97" s="963">
        <f t="shared" si="6"/>
        <v>46.981999999999999</v>
      </c>
      <c r="S97" s="963">
        <f t="shared" si="7"/>
        <v>49.166000000000004</v>
      </c>
    </row>
    <row r="98" spans="1:19" hidden="1" x14ac:dyDescent="0.25">
      <c r="A98" t="s">
        <v>744</v>
      </c>
      <c r="B98" t="s">
        <v>745</v>
      </c>
      <c r="C98" s="24" t="s">
        <v>938</v>
      </c>
      <c r="D98" t="s">
        <v>939</v>
      </c>
      <c r="E98" s="965">
        <v>52.08</v>
      </c>
      <c r="F98" s="966">
        <v>108320</v>
      </c>
      <c r="G98" s="967">
        <v>2.1</v>
      </c>
      <c r="H98" s="965">
        <v>36.18</v>
      </c>
      <c r="I98" s="965">
        <v>38.409999999999997</v>
      </c>
      <c r="J98" s="965">
        <v>48.67</v>
      </c>
      <c r="K98" s="965">
        <v>61.96</v>
      </c>
      <c r="L98" s="965">
        <v>78.12</v>
      </c>
      <c r="O98" s="963">
        <f t="shared" si="4"/>
        <v>50.264800000000001</v>
      </c>
      <c r="P98" s="963">
        <f t="shared" si="5"/>
        <v>55.580800000000004</v>
      </c>
      <c r="R98" s="963">
        <f t="shared" si="6"/>
        <v>40.461999999999996</v>
      </c>
      <c r="S98" s="963">
        <f t="shared" si="7"/>
        <v>44.566000000000003</v>
      </c>
    </row>
    <row r="99" spans="1:19" hidden="1" x14ac:dyDescent="0.25">
      <c r="A99" t="s">
        <v>744</v>
      </c>
      <c r="B99" t="s">
        <v>745</v>
      </c>
      <c r="C99" s="24" t="s">
        <v>940</v>
      </c>
      <c r="D99" t="s">
        <v>941</v>
      </c>
      <c r="E99" s="965">
        <v>76</v>
      </c>
      <c r="F99" s="966">
        <v>158070</v>
      </c>
      <c r="G99" s="967">
        <v>3.6</v>
      </c>
      <c r="H99" s="965">
        <v>53.1</v>
      </c>
      <c r="I99" s="965">
        <v>62.65</v>
      </c>
      <c r="J99" s="965">
        <v>78.760000000000005</v>
      </c>
      <c r="K99" s="965">
        <v>84.11</v>
      </c>
      <c r="L99" s="965">
        <v>99.35</v>
      </c>
      <c r="O99" s="963">
        <f t="shared" si="4"/>
        <v>79.402000000000001</v>
      </c>
      <c r="P99" s="963">
        <f t="shared" si="5"/>
        <v>81.542000000000002</v>
      </c>
      <c r="R99" s="963">
        <f t="shared" si="6"/>
        <v>65.872</v>
      </c>
      <c r="S99" s="963">
        <f t="shared" si="7"/>
        <v>72.316000000000003</v>
      </c>
    </row>
    <row r="100" spans="1:19" hidden="1" x14ac:dyDescent="0.25">
      <c r="A100" t="s">
        <v>744</v>
      </c>
      <c r="B100" t="s">
        <v>745</v>
      </c>
      <c r="C100" s="24" t="s">
        <v>942</v>
      </c>
      <c r="D100" t="s">
        <v>943</v>
      </c>
      <c r="E100" s="965">
        <v>61.5</v>
      </c>
      <c r="F100" s="966">
        <v>127930</v>
      </c>
      <c r="G100" s="967">
        <v>1.7</v>
      </c>
      <c r="H100" s="965">
        <v>37.47</v>
      </c>
      <c r="I100" s="965">
        <v>45.34</v>
      </c>
      <c r="J100" s="965">
        <v>60.32</v>
      </c>
      <c r="K100" s="965">
        <v>73.12</v>
      </c>
      <c r="L100" s="965">
        <v>86.2</v>
      </c>
      <c r="O100" s="963">
        <f t="shared" si="4"/>
        <v>61.856000000000002</v>
      </c>
      <c r="P100" s="963">
        <f t="shared" si="5"/>
        <v>66.975999999999999</v>
      </c>
      <c r="R100" s="963">
        <f t="shared" si="6"/>
        <v>48.336000000000006</v>
      </c>
      <c r="S100" s="963">
        <f t="shared" si="7"/>
        <v>54.328000000000003</v>
      </c>
    </row>
    <row r="101" spans="1:19" hidden="1" x14ac:dyDescent="0.25">
      <c r="A101" t="s">
        <v>744</v>
      </c>
      <c r="B101" t="s">
        <v>745</v>
      </c>
      <c r="C101" s="24" t="s">
        <v>944</v>
      </c>
      <c r="D101" t="s">
        <v>945</v>
      </c>
      <c r="E101" s="965">
        <v>55.56</v>
      </c>
      <c r="F101" s="966">
        <v>115570</v>
      </c>
      <c r="G101" s="967">
        <v>1.7</v>
      </c>
      <c r="H101" s="965">
        <v>37.36</v>
      </c>
      <c r="I101" s="965">
        <v>40.42</v>
      </c>
      <c r="J101" s="965">
        <v>51.17</v>
      </c>
      <c r="K101" s="965">
        <v>64.42</v>
      </c>
      <c r="L101" s="965">
        <v>80.69</v>
      </c>
      <c r="O101" s="963">
        <f t="shared" si="4"/>
        <v>52.760000000000005</v>
      </c>
      <c r="P101" s="963">
        <f t="shared" si="5"/>
        <v>58.06</v>
      </c>
      <c r="R101" s="963">
        <f t="shared" si="6"/>
        <v>42.570000000000007</v>
      </c>
      <c r="S101" s="963">
        <f t="shared" si="7"/>
        <v>46.870000000000005</v>
      </c>
    </row>
    <row r="102" spans="1:19" hidden="1" x14ac:dyDescent="0.25">
      <c r="A102" t="s">
        <v>744</v>
      </c>
      <c r="B102" t="s">
        <v>745</v>
      </c>
      <c r="C102" s="24" t="s">
        <v>946</v>
      </c>
      <c r="D102" t="s">
        <v>947</v>
      </c>
      <c r="E102" s="965">
        <v>52.26</v>
      </c>
      <c r="F102" s="966">
        <v>108710</v>
      </c>
      <c r="G102" s="967">
        <v>7.7</v>
      </c>
      <c r="H102" s="965">
        <v>35.630000000000003</v>
      </c>
      <c r="I102" s="965">
        <v>39.31</v>
      </c>
      <c r="J102" s="965">
        <v>51.71</v>
      </c>
      <c r="K102" s="965">
        <v>59</v>
      </c>
      <c r="L102" s="965">
        <v>69.58</v>
      </c>
      <c r="O102" s="963">
        <f t="shared" si="4"/>
        <v>52.584800000000001</v>
      </c>
      <c r="P102" s="963">
        <f t="shared" si="5"/>
        <v>55.500799999999998</v>
      </c>
      <c r="R102" s="963">
        <f t="shared" si="6"/>
        <v>41.790000000000006</v>
      </c>
      <c r="S102" s="963">
        <f t="shared" si="7"/>
        <v>46.75</v>
      </c>
    </row>
    <row r="103" spans="1:19" hidden="1" x14ac:dyDescent="0.25">
      <c r="A103" t="s">
        <v>744</v>
      </c>
      <c r="B103" t="s">
        <v>745</v>
      </c>
      <c r="C103" s="24" t="s">
        <v>948</v>
      </c>
      <c r="D103" t="s">
        <v>949</v>
      </c>
      <c r="E103" s="965">
        <v>59.47</v>
      </c>
      <c r="F103" s="966">
        <v>123690</v>
      </c>
      <c r="G103" s="967">
        <v>3.8</v>
      </c>
      <c r="H103" s="965">
        <v>37.71</v>
      </c>
      <c r="I103" s="965">
        <v>45.7</v>
      </c>
      <c r="J103" s="965">
        <v>54.89</v>
      </c>
      <c r="K103" s="965">
        <v>75.08</v>
      </c>
      <c r="L103" s="965">
        <v>81.709999999999994</v>
      </c>
      <c r="O103" s="963">
        <f t="shared" si="4"/>
        <v>57.312800000000003</v>
      </c>
      <c r="P103" s="963">
        <f t="shared" si="5"/>
        <v>65.388800000000003</v>
      </c>
      <c r="R103" s="963">
        <f t="shared" si="6"/>
        <v>47.538000000000004</v>
      </c>
      <c r="S103" s="963">
        <f t="shared" si="7"/>
        <v>51.213999999999999</v>
      </c>
    </row>
    <row r="104" spans="1:19" hidden="1" x14ac:dyDescent="0.25">
      <c r="A104" t="s">
        <v>744</v>
      </c>
      <c r="B104" t="s">
        <v>745</v>
      </c>
      <c r="C104" s="24" t="s">
        <v>950</v>
      </c>
      <c r="D104" t="s">
        <v>951</v>
      </c>
      <c r="E104" s="965">
        <v>53.99</v>
      </c>
      <c r="F104" s="966">
        <v>112290</v>
      </c>
      <c r="G104" s="967">
        <v>0.9</v>
      </c>
      <c r="H104" s="965">
        <v>37.53</v>
      </c>
      <c r="I104" s="965">
        <v>40.86</v>
      </c>
      <c r="J104" s="965">
        <v>50.06</v>
      </c>
      <c r="K104" s="965">
        <v>62.85</v>
      </c>
      <c r="L104" s="965">
        <v>76.55</v>
      </c>
      <c r="O104" s="963">
        <f t="shared" si="4"/>
        <v>51.594800000000006</v>
      </c>
      <c r="P104" s="963">
        <f t="shared" si="5"/>
        <v>56.710799999999999</v>
      </c>
      <c r="R104" s="963">
        <f t="shared" si="6"/>
        <v>42.7</v>
      </c>
      <c r="S104" s="963">
        <f t="shared" si="7"/>
        <v>46.38</v>
      </c>
    </row>
    <row r="105" spans="1:19" hidden="1" x14ac:dyDescent="0.25">
      <c r="A105" t="s">
        <v>744</v>
      </c>
      <c r="B105" t="s">
        <v>745</v>
      </c>
      <c r="C105" s="24" t="s">
        <v>952</v>
      </c>
      <c r="D105" t="s">
        <v>953</v>
      </c>
      <c r="E105" s="965">
        <v>47.51</v>
      </c>
      <c r="F105" s="966">
        <v>98810</v>
      </c>
      <c r="G105" s="967">
        <v>3.8</v>
      </c>
      <c r="H105" s="965">
        <v>40</v>
      </c>
      <c r="I105" s="965">
        <v>41.55</v>
      </c>
      <c r="J105" s="965">
        <v>42.74</v>
      </c>
      <c r="K105" s="965">
        <v>51.2</v>
      </c>
      <c r="L105" s="965">
        <v>64.16</v>
      </c>
      <c r="O105" s="963">
        <f t="shared" si="4"/>
        <v>43.755200000000002</v>
      </c>
      <c r="P105" s="963">
        <f t="shared" si="5"/>
        <v>47.139200000000002</v>
      </c>
      <c r="R105" s="963">
        <f t="shared" si="6"/>
        <v>41.787999999999997</v>
      </c>
      <c r="S105" s="963">
        <f t="shared" si="7"/>
        <v>42.264000000000003</v>
      </c>
    </row>
    <row r="106" spans="1:19" hidden="1" x14ac:dyDescent="0.25">
      <c r="A106" t="s">
        <v>744</v>
      </c>
      <c r="B106" t="s">
        <v>745</v>
      </c>
      <c r="C106" s="24" t="s">
        <v>954</v>
      </c>
      <c r="D106" t="s">
        <v>955</v>
      </c>
      <c r="E106" s="965">
        <v>55.18</v>
      </c>
      <c r="F106" s="966">
        <v>114780</v>
      </c>
      <c r="G106" s="967">
        <v>3.6</v>
      </c>
      <c r="H106" s="965">
        <v>38.46</v>
      </c>
      <c r="I106" s="965">
        <v>46.55</v>
      </c>
      <c r="J106" s="965">
        <v>51.57</v>
      </c>
      <c r="K106" s="965">
        <v>65.290000000000006</v>
      </c>
      <c r="L106" s="965">
        <v>78.53</v>
      </c>
      <c r="O106" s="963">
        <f t="shared" si="4"/>
        <v>53.2164</v>
      </c>
      <c r="P106" s="963">
        <f t="shared" si="5"/>
        <v>58.704400000000007</v>
      </c>
      <c r="R106" s="963">
        <f t="shared" si="6"/>
        <v>47.554000000000002</v>
      </c>
      <c r="S106" s="963">
        <f t="shared" si="7"/>
        <v>49.561999999999998</v>
      </c>
    </row>
    <row r="107" spans="1:19" hidden="1" x14ac:dyDescent="0.25">
      <c r="A107" t="s">
        <v>744</v>
      </c>
      <c r="B107" t="s">
        <v>745</v>
      </c>
      <c r="C107" s="24" t="s">
        <v>956</v>
      </c>
      <c r="D107" t="s">
        <v>957</v>
      </c>
      <c r="E107" s="965">
        <v>55.55</v>
      </c>
      <c r="F107" s="966">
        <v>115540</v>
      </c>
      <c r="G107" s="967">
        <v>1.9</v>
      </c>
      <c r="H107" s="965">
        <v>36.54</v>
      </c>
      <c r="I107" s="965">
        <v>41.38</v>
      </c>
      <c r="J107" s="965">
        <v>52.16</v>
      </c>
      <c r="K107" s="965">
        <v>63.82</v>
      </c>
      <c r="L107" s="965">
        <v>79.38</v>
      </c>
      <c r="O107" s="963">
        <f t="shared" si="4"/>
        <v>53.559199999999997</v>
      </c>
      <c r="P107" s="963">
        <f t="shared" si="5"/>
        <v>58.223199999999999</v>
      </c>
      <c r="R107" s="963">
        <f t="shared" si="6"/>
        <v>43.536000000000001</v>
      </c>
      <c r="S107" s="963">
        <f t="shared" si="7"/>
        <v>47.847999999999999</v>
      </c>
    </row>
    <row r="108" spans="1:19" hidden="1" x14ac:dyDescent="0.25">
      <c r="A108" t="s">
        <v>744</v>
      </c>
      <c r="B108" t="s">
        <v>745</v>
      </c>
      <c r="C108" s="24" t="s">
        <v>958</v>
      </c>
      <c r="D108" t="s">
        <v>959</v>
      </c>
      <c r="E108" s="965">
        <v>58.86</v>
      </c>
      <c r="F108" s="966">
        <v>122420</v>
      </c>
      <c r="G108" s="967">
        <v>1.8</v>
      </c>
      <c r="H108" s="965">
        <v>36.1</v>
      </c>
      <c r="I108" s="965">
        <v>44.79</v>
      </c>
      <c r="J108" s="965">
        <v>57.91</v>
      </c>
      <c r="K108" s="965">
        <v>69.239999999999995</v>
      </c>
      <c r="L108" s="965">
        <v>81.819999999999993</v>
      </c>
      <c r="O108" s="963">
        <f t="shared" si="4"/>
        <v>59.269599999999997</v>
      </c>
      <c r="P108" s="963">
        <f t="shared" si="5"/>
        <v>63.801599999999993</v>
      </c>
      <c r="R108" s="963">
        <f t="shared" si="6"/>
        <v>47.414000000000001</v>
      </c>
      <c r="S108" s="963">
        <f t="shared" si="7"/>
        <v>52.661999999999999</v>
      </c>
    </row>
    <row r="109" spans="1:19" hidden="1" x14ac:dyDescent="0.25">
      <c r="A109" t="s">
        <v>744</v>
      </c>
      <c r="B109" t="s">
        <v>745</v>
      </c>
      <c r="C109" s="24" t="s">
        <v>960</v>
      </c>
      <c r="D109" t="s">
        <v>961</v>
      </c>
      <c r="E109" s="965">
        <v>33.729999999999997</v>
      </c>
      <c r="F109" s="966">
        <v>70150</v>
      </c>
      <c r="G109" s="967">
        <v>3.2</v>
      </c>
      <c r="H109" s="965">
        <v>22.58</v>
      </c>
      <c r="I109" s="965">
        <v>26.24</v>
      </c>
      <c r="J109" s="965">
        <v>32.64</v>
      </c>
      <c r="K109" s="965">
        <v>38.29</v>
      </c>
      <c r="L109" s="965">
        <v>45.28</v>
      </c>
      <c r="O109" s="963">
        <f t="shared" si="4"/>
        <v>33.317999999999998</v>
      </c>
      <c r="P109" s="963">
        <f t="shared" si="5"/>
        <v>35.578000000000003</v>
      </c>
      <c r="R109" s="963">
        <f t="shared" si="6"/>
        <v>27.52</v>
      </c>
      <c r="S109" s="963">
        <f t="shared" si="7"/>
        <v>30.08</v>
      </c>
    </row>
    <row r="110" spans="1:19" hidden="1" x14ac:dyDescent="0.25">
      <c r="A110" t="s">
        <v>744</v>
      </c>
      <c r="B110" t="s">
        <v>745</v>
      </c>
      <c r="C110" s="24" t="s">
        <v>962</v>
      </c>
      <c r="D110" t="s">
        <v>963</v>
      </c>
      <c r="E110" s="965">
        <v>36.31</v>
      </c>
      <c r="F110" s="966">
        <v>75530</v>
      </c>
      <c r="G110" s="967">
        <v>5.5</v>
      </c>
      <c r="H110" s="965">
        <v>20.75</v>
      </c>
      <c r="I110" s="965">
        <v>28.25</v>
      </c>
      <c r="J110" s="965">
        <v>33.81</v>
      </c>
      <c r="K110" s="965">
        <v>45.42</v>
      </c>
      <c r="L110" s="965">
        <v>51.2</v>
      </c>
      <c r="O110" s="963">
        <f t="shared" si="4"/>
        <v>35.203200000000002</v>
      </c>
      <c r="P110" s="963">
        <f t="shared" si="5"/>
        <v>39.847200000000001</v>
      </c>
      <c r="R110" s="963">
        <f t="shared" si="6"/>
        <v>29.362000000000002</v>
      </c>
      <c r="S110" s="963">
        <f t="shared" si="7"/>
        <v>31.586000000000002</v>
      </c>
    </row>
    <row r="111" spans="1:19" hidden="1" x14ac:dyDescent="0.25">
      <c r="A111" t="s">
        <v>744</v>
      </c>
      <c r="B111" t="s">
        <v>745</v>
      </c>
      <c r="C111" s="24" t="s">
        <v>964</v>
      </c>
      <c r="D111" t="s">
        <v>965</v>
      </c>
      <c r="E111" s="965">
        <v>34.04</v>
      </c>
      <c r="F111" s="966">
        <v>70790</v>
      </c>
      <c r="G111" s="967">
        <v>2.2999999999999998</v>
      </c>
      <c r="H111" s="965">
        <v>22.03</v>
      </c>
      <c r="I111" s="965">
        <v>27.77</v>
      </c>
      <c r="J111" s="965">
        <v>31.64</v>
      </c>
      <c r="K111" s="965">
        <v>39.44</v>
      </c>
      <c r="L111" s="965">
        <v>47.71</v>
      </c>
      <c r="O111" s="963">
        <f t="shared" si="4"/>
        <v>32.576000000000001</v>
      </c>
      <c r="P111" s="963">
        <f t="shared" si="5"/>
        <v>35.695999999999998</v>
      </c>
      <c r="R111" s="963">
        <f t="shared" si="6"/>
        <v>28.544</v>
      </c>
      <c r="S111" s="963">
        <f t="shared" si="7"/>
        <v>30.091999999999999</v>
      </c>
    </row>
    <row r="112" spans="1:19" hidden="1" x14ac:dyDescent="0.25">
      <c r="A112" t="s">
        <v>744</v>
      </c>
      <c r="B112" t="s">
        <v>745</v>
      </c>
      <c r="C112" s="24" t="s">
        <v>966</v>
      </c>
      <c r="D112" t="s">
        <v>967</v>
      </c>
      <c r="E112" s="965">
        <v>30.87</v>
      </c>
      <c r="F112" s="966">
        <v>64210</v>
      </c>
      <c r="G112" s="967">
        <v>4.7</v>
      </c>
      <c r="H112" s="965">
        <v>17.3</v>
      </c>
      <c r="I112" s="965">
        <v>21.52</v>
      </c>
      <c r="J112" s="965">
        <v>28.15</v>
      </c>
      <c r="K112" s="965">
        <v>39.619999999999997</v>
      </c>
      <c r="L112" s="965">
        <v>46.98</v>
      </c>
      <c r="O112" s="963">
        <f t="shared" si="4"/>
        <v>29.526399999999999</v>
      </c>
      <c r="P112" s="963">
        <f t="shared" si="5"/>
        <v>34.114399999999996</v>
      </c>
      <c r="R112" s="963">
        <f t="shared" si="6"/>
        <v>22.846</v>
      </c>
      <c r="S112" s="963">
        <f t="shared" si="7"/>
        <v>25.498000000000001</v>
      </c>
    </row>
    <row r="113" spans="1:19" hidden="1" x14ac:dyDescent="0.25">
      <c r="A113" t="s">
        <v>744</v>
      </c>
      <c r="B113" t="s">
        <v>745</v>
      </c>
      <c r="C113" s="24" t="s">
        <v>968</v>
      </c>
      <c r="D113" t="s">
        <v>969</v>
      </c>
      <c r="E113" s="965">
        <v>33.17</v>
      </c>
      <c r="F113" s="966">
        <v>68990</v>
      </c>
      <c r="G113" s="967">
        <v>3.4</v>
      </c>
      <c r="H113" s="965">
        <v>23.37</v>
      </c>
      <c r="I113" s="965">
        <v>27.72</v>
      </c>
      <c r="J113" s="965">
        <v>30.98</v>
      </c>
      <c r="K113" s="965">
        <v>38.24</v>
      </c>
      <c r="L113" s="965">
        <v>44.6</v>
      </c>
      <c r="O113" s="963">
        <f t="shared" si="4"/>
        <v>31.851200000000002</v>
      </c>
      <c r="P113" s="963">
        <f t="shared" si="5"/>
        <v>34.755200000000002</v>
      </c>
      <c r="R113" s="963">
        <f t="shared" si="6"/>
        <v>28.372</v>
      </c>
      <c r="S113" s="963">
        <f t="shared" si="7"/>
        <v>29.676000000000002</v>
      </c>
    </row>
    <row r="114" spans="1:19" hidden="1" x14ac:dyDescent="0.25">
      <c r="A114" t="s">
        <v>744</v>
      </c>
      <c r="B114" t="s">
        <v>745</v>
      </c>
      <c r="C114" s="24" t="s">
        <v>970</v>
      </c>
      <c r="D114" t="s">
        <v>971</v>
      </c>
      <c r="E114" s="965">
        <v>33.01</v>
      </c>
      <c r="F114" s="966">
        <v>68660</v>
      </c>
      <c r="G114" s="967">
        <v>2.2999999999999998</v>
      </c>
      <c r="H114" s="965">
        <v>22.17</v>
      </c>
      <c r="I114" s="965">
        <v>26.47</v>
      </c>
      <c r="J114" s="965">
        <v>30.98</v>
      </c>
      <c r="K114" s="965">
        <v>38.549999999999997</v>
      </c>
      <c r="L114" s="965">
        <v>44.96</v>
      </c>
      <c r="O114" s="963">
        <f t="shared" si="4"/>
        <v>31.888400000000001</v>
      </c>
      <c r="P114" s="963">
        <f t="shared" si="5"/>
        <v>34.916399999999996</v>
      </c>
      <c r="R114" s="963">
        <f t="shared" si="6"/>
        <v>27.372</v>
      </c>
      <c r="S114" s="963">
        <f t="shared" si="7"/>
        <v>29.176000000000002</v>
      </c>
    </row>
    <row r="115" spans="1:19" hidden="1" x14ac:dyDescent="0.25">
      <c r="A115" t="s">
        <v>744</v>
      </c>
      <c r="B115" t="s">
        <v>745</v>
      </c>
      <c r="C115" s="24" t="s">
        <v>972</v>
      </c>
      <c r="D115" t="s">
        <v>973</v>
      </c>
      <c r="E115" s="965">
        <v>31.9</v>
      </c>
      <c r="F115" s="966">
        <v>66340</v>
      </c>
      <c r="G115" s="967">
        <v>2.2000000000000002</v>
      </c>
      <c r="H115" s="965">
        <v>22.56</v>
      </c>
      <c r="I115" s="965">
        <v>24.56</v>
      </c>
      <c r="J115" s="965">
        <v>30.98</v>
      </c>
      <c r="K115" s="965">
        <v>36.65</v>
      </c>
      <c r="L115" s="965">
        <v>42.76</v>
      </c>
      <c r="O115" s="963">
        <f t="shared" si="4"/>
        <v>31.660399999999999</v>
      </c>
      <c r="P115" s="963">
        <f t="shared" si="5"/>
        <v>33.928399999999996</v>
      </c>
      <c r="R115" s="963">
        <f t="shared" si="6"/>
        <v>25.844000000000001</v>
      </c>
      <c r="S115" s="963">
        <f t="shared" si="7"/>
        <v>28.411999999999999</v>
      </c>
    </row>
    <row r="116" spans="1:19" hidden="1" x14ac:dyDescent="0.25">
      <c r="A116" t="s">
        <v>744</v>
      </c>
      <c r="B116" t="s">
        <v>745</v>
      </c>
      <c r="C116" s="24" t="s">
        <v>974</v>
      </c>
      <c r="D116" t="s">
        <v>975</v>
      </c>
      <c r="E116" s="965">
        <v>27.66</v>
      </c>
      <c r="F116" s="966">
        <v>57530</v>
      </c>
      <c r="G116" s="967">
        <v>4.4000000000000004</v>
      </c>
      <c r="H116" s="965">
        <v>16.66</v>
      </c>
      <c r="I116" s="965">
        <v>22.05</v>
      </c>
      <c r="J116" s="965">
        <v>23.79</v>
      </c>
      <c r="K116" s="965">
        <v>36.85</v>
      </c>
      <c r="L116" s="965">
        <v>38.26</v>
      </c>
      <c r="O116" s="963">
        <f t="shared" si="4"/>
        <v>25.357200000000002</v>
      </c>
      <c r="P116" s="963">
        <f t="shared" si="5"/>
        <v>30.581200000000003</v>
      </c>
      <c r="R116" s="963">
        <f t="shared" si="6"/>
        <v>22.398</v>
      </c>
      <c r="S116" s="963">
        <f t="shared" si="7"/>
        <v>23.094000000000001</v>
      </c>
    </row>
    <row r="117" spans="1:19" hidden="1" x14ac:dyDescent="0.25">
      <c r="A117" t="s">
        <v>744</v>
      </c>
      <c r="B117" t="s">
        <v>745</v>
      </c>
      <c r="C117" s="24" t="s">
        <v>976</v>
      </c>
      <c r="D117" t="s">
        <v>977</v>
      </c>
      <c r="E117" s="965">
        <v>33.72</v>
      </c>
      <c r="F117" s="966">
        <v>70140</v>
      </c>
      <c r="G117" s="967">
        <v>1.7</v>
      </c>
      <c r="H117" s="965">
        <v>23.43</v>
      </c>
      <c r="I117" s="965">
        <v>28.63</v>
      </c>
      <c r="J117" s="965">
        <v>32.130000000000003</v>
      </c>
      <c r="K117" s="965">
        <v>37.9</v>
      </c>
      <c r="L117" s="965">
        <v>45.98</v>
      </c>
      <c r="O117" s="963">
        <f t="shared" si="4"/>
        <v>32.822400000000002</v>
      </c>
      <c r="P117" s="963">
        <f t="shared" si="5"/>
        <v>35.130400000000002</v>
      </c>
      <c r="R117" s="963">
        <f t="shared" si="6"/>
        <v>29.330000000000002</v>
      </c>
      <c r="S117" s="963">
        <f t="shared" si="7"/>
        <v>30.73</v>
      </c>
    </row>
    <row r="118" spans="1:19" hidden="1" x14ac:dyDescent="0.25">
      <c r="A118" t="s">
        <v>744</v>
      </c>
      <c r="B118" t="s">
        <v>745</v>
      </c>
      <c r="C118" s="24" t="s">
        <v>978</v>
      </c>
      <c r="D118" t="s">
        <v>979</v>
      </c>
      <c r="E118" s="965">
        <v>34.86</v>
      </c>
      <c r="F118" s="966">
        <v>72510</v>
      </c>
      <c r="G118" s="967">
        <v>1.8</v>
      </c>
      <c r="H118" s="965">
        <v>23.59</v>
      </c>
      <c r="I118" s="965">
        <v>28.97</v>
      </c>
      <c r="J118" s="965">
        <v>35.78</v>
      </c>
      <c r="K118" s="965">
        <v>39.69</v>
      </c>
      <c r="L118" s="965">
        <v>45.37</v>
      </c>
      <c r="O118" s="963">
        <f t="shared" si="4"/>
        <v>36.249200000000002</v>
      </c>
      <c r="P118" s="963">
        <f t="shared" si="5"/>
        <v>37.813200000000002</v>
      </c>
      <c r="R118" s="963">
        <f t="shared" si="6"/>
        <v>30.332000000000001</v>
      </c>
      <c r="S118" s="963">
        <f t="shared" si="7"/>
        <v>33.055999999999997</v>
      </c>
    </row>
    <row r="119" spans="1:19" hidden="1" x14ac:dyDescent="0.25">
      <c r="A119" t="s">
        <v>744</v>
      </c>
      <c r="B119" t="s">
        <v>745</v>
      </c>
      <c r="C119" s="24" t="s">
        <v>980</v>
      </c>
      <c r="D119" t="s">
        <v>981</v>
      </c>
      <c r="E119" s="965">
        <v>28.51</v>
      </c>
      <c r="F119" s="966">
        <v>59300</v>
      </c>
      <c r="G119" s="967">
        <v>6</v>
      </c>
      <c r="H119" s="965">
        <v>18.97</v>
      </c>
      <c r="I119" s="965">
        <v>21.89</v>
      </c>
      <c r="J119" s="965">
        <v>30.37</v>
      </c>
      <c r="K119" s="965">
        <v>31.62</v>
      </c>
      <c r="L119" s="965">
        <v>35.14</v>
      </c>
      <c r="O119" s="963">
        <f t="shared" si="4"/>
        <v>30.52</v>
      </c>
      <c r="P119" s="963">
        <f t="shared" si="5"/>
        <v>31.02</v>
      </c>
      <c r="R119" s="963">
        <f t="shared" si="6"/>
        <v>23.586000000000002</v>
      </c>
      <c r="S119" s="963">
        <f t="shared" si="7"/>
        <v>26.978000000000002</v>
      </c>
    </row>
    <row r="120" spans="1:19" hidden="1" x14ac:dyDescent="0.25">
      <c r="A120" t="s">
        <v>744</v>
      </c>
      <c r="B120" t="s">
        <v>745</v>
      </c>
      <c r="C120" s="24" t="s">
        <v>982</v>
      </c>
      <c r="D120" t="s">
        <v>983</v>
      </c>
      <c r="E120" s="965">
        <v>33.909999999999997</v>
      </c>
      <c r="F120" s="966">
        <v>70530</v>
      </c>
      <c r="G120" s="967">
        <v>1.6</v>
      </c>
      <c r="H120" s="965">
        <v>22.74</v>
      </c>
      <c r="I120" s="965">
        <v>28.25</v>
      </c>
      <c r="J120" s="965">
        <v>31.73</v>
      </c>
      <c r="K120" s="965">
        <v>38.61</v>
      </c>
      <c r="L120" s="965">
        <v>46.11</v>
      </c>
      <c r="O120" s="963">
        <f t="shared" si="4"/>
        <v>32.555599999999998</v>
      </c>
      <c r="P120" s="963">
        <f t="shared" si="5"/>
        <v>35.307600000000001</v>
      </c>
      <c r="R120" s="963">
        <f t="shared" si="6"/>
        <v>28.946000000000002</v>
      </c>
      <c r="S120" s="963">
        <f t="shared" si="7"/>
        <v>30.338000000000001</v>
      </c>
    </row>
    <row r="121" spans="1:19" hidden="1" x14ac:dyDescent="0.25">
      <c r="A121" t="s">
        <v>744</v>
      </c>
      <c r="B121" t="s">
        <v>745</v>
      </c>
      <c r="C121" s="24" t="s">
        <v>984</v>
      </c>
      <c r="D121" t="s">
        <v>985</v>
      </c>
      <c r="E121" s="965">
        <v>27.31</v>
      </c>
      <c r="F121" s="966">
        <v>56800</v>
      </c>
      <c r="G121" s="967">
        <v>4.9000000000000004</v>
      </c>
      <c r="H121" s="965">
        <v>15.85</v>
      </c>
      <c r="I121" s="965">
        <v>22.21</v>
      </c>
      <c r="J121" s="965">
        <v>27.98</v>
      </c>
      <c r="K121" s="965">
        <v>30.24</v>
      </c>
      <c r="L121" s="965">
        <v>36.67</v>
      </c>
      <c r="O121" s="963">
        <f t="shared" si="4"/>
        <v>28.251200000000001</v>
      </c>
      <c r="P121" s="963">
        <f t="shared" si="5"/>
        <v>29.155200000000001</v>
      </c>
      <c r="R121" s="963">
        <f t="shared" si="6"/>
        <v>23.364000000000001</v>
      </c>
      <c r="S121" s="963">
        <f t="shared" si="7"/>
        <v>25.672000000000001</v>
      </c>
    </row>
    <row r="122" spans="1:19" hidden="1" x14ac:dyDescent="0.25">
      <c r="A122" t="s">
        <v>744</v>
      </c>
      <c r="B122" t="s">
        <v>745</v>
      </c>
      <c r="C122" s="24" t="s">
        <v>986</v>
      </c>
      <c r="D122" t="s">
        <v>987</v>
      </c>
      <c r="E122" s="965">
        <v>50.96</v>
      </c>
      <c r="F122" s="966">
        <v>106000</v>
      </c>
      <c r="G122" s="967">
        <v>1.1000000000000001</v>
      </c>
      <c r="H122" s="965">
        <v>25</v>
      </c>
      <c r="I122" s="965">
        <v>35.99</v>
      </c>
      <c r="J122" s="965">
        <v>48.26</v>
      </c>
      <c r="K122" s="965">
        <v>63.56</v>
      </c>
      <c r="L122" s="965">
        <v>80.319999999999993</v>
      </c>
      <c r="O122" s="963">
        <f t="shared" si="4"/>
        <v>50.096000000000004</v>
      </c>
      <c r="P122" s="963">
        <f t="shared" si="5"/>
        <v>56.216000000000001</v>
      </c>
      <c r="R122" s="963">
        <f t="shared" si="6"/>
        <v>38.444000000000003</v>
      </c>
      <c r="S122" s="963">
        <f t="shared" si="7"/>
        <v>43.352000000000004</v>
      </c>
    </row>
    <row r="123" spans="1:19" hidden="1" x14ac:dyDescent="0.25">
      <c r="A123" t="s">
        <v>744</v>
      </c>
      <c r="B123" t="s">
        <v>745</v>
      </c>
      <c r="C123" s="24" t="s">
        <v>988</v>
      </c>
      <c r="D123" t="s">
        <v>989</v>
      </c>
      <c r="E123" s="965">
        <v>47.78</v>
      </c>
      <c r="F123" s="966">
        <v>99380</v>
      </c>
      <c r="G123" s="967">
        <v>2.2999999999999998</v>
      </c>
      <c r="H123" s="965">
        <v>30.84</v>
      </c>
      <c r="I123" s="965">
        <v>36.340000000000003</v>
      </c>
      <c r="J123" s="965">
        <v>42.97</v>
      </c>
      <c r="K123" s="965">
        <v>58.81</v>
      </c>
      <c r="L123" s="965">
        <v>69.959999999999994</v>
      </c>
      <c r="O123" s="963">
        <f t="shared" si="4"/>
        <v>44.870800000000003</v>
      </c>
      <c r="P123" s="963">
        <f t="shared" si="5"/>
        <v>51.206800000000001</v>
      </c>
      <c r="R123" s="963">
        <f t="shared" si="6"/>
        <v>37.666000000000004</v>
      </c>
      <c r="S123" s="963">
        <f t="shared" si="7"/>
        <v>40.317999999999998</v>
      </c>
    </row>
    <row r="124" spans="1:19" hidden="1" x14ac:dyDescent="0.25">
      <c r="A124" t="s">
        <v>744</v>
      </c>
      <c r="B124" t="s">
        <v>745</v>
      </c>
      <c r="C124" s="24" t="s">
        <v>990</v>
      </c>
      <c r="D124" t="s">
        <v>991</v>
      </c>
      <c r="E124" s="965">
        <v>28.29</v>
      </c>
      <c r="F124" s="966">
        <v>58850</v>
      </c>
      <c r="G124" s="967">
        <v>5.2</v>
      </c>
      <c r="H124" s="965">
        <v>22.85</v>
      </c>
      <c r="I124" s="965">
        <v>25.44</v>
      </c>
      <c r="J124" s="965">
        <v>28.17</v>
      </c>
      <c r="K124" s="965">
        <v>28.17</v>
      </c>
      <c r="L124" s="965">
        <v>30.39</v>
      </c>
      <c r="O124" s="963">
        <f t="shared" si="4"/>
        <v>28.17</v>
      </c>
      <c r="P124" s="963">
        <f t="shared" si="5"/>
        <v>28.17</v>
      </c>
      <c r="R124" s="963">
        <f t="shared" si="6"/>
        <v>25.986000000000001</v>
      </c>
      <c r="S124" s="963">
        <f t="shared" si="7"/>
        <v>27.078000000000003</v>
      </c>
    </row>
    <row r="125" spans="1:19" hidden="1" x14ac:dyDescent="0.25">
      <c r="A125" t="s">
        <v>744</v>
      </c>
      <c r="B125" t="s">
        <v>745</v>
      </c>
      <c r="C125" s="24" t="s">
        <v>992</v>
      </c>
      <c r="D125" t="s">
        <v>993</v>
      </c>
      <c r="E125" s="965">
        <v>60.92</v>
      </c>
      <c r="F125" s="966">
        <v>126720</v>
      </c>
      <c r="G125" s="967">
        <v>1.6</v>
      </c>
      <c r="H125" s="965">
        <v>37.75</v>
      </c>
      <c r="I125" s="965">
        <v>48.81</v>
      </c>
      <c r="J125" s="965">
        <v>61.39</v>
      </c>
      <c r="K125" s="965">
        <v>65.84</v>
      </c>
      <c r="L125" s="965">
        <v>83.75</v>
      </c>
      <c r="O125" s="963">
        <f t="shared" si="4"/>
        <v>61.923999999999999</v>
      </c>
      <c r="P125" s="963">
        <f t="shared" si="5"/>
        <v>63.704000000000001</v>
      </c>
      <c r="R125" s="963">
        <f t="shared" si="6"/>
        <v>51.326000000000008</v>
      </c>
      <c r="S125" s="963">
        <f t="shared" si="7"/>
        <v>56.358000000000004</v>
      </c>
    </row>
    <row r="126" spans="1:19" hidden="1" x14ac:dyDescent="0.25">
      <c r="A126" t="s">
        <v>744</v>
      </c>
      <c r="B126" t="s">
        <v>745</v>
      </c>
      <c r="C126" s="24" t="s">
        <v>994</v>
      </c>
      <c r="D126" t="s">
        <v>995</v>
      </c>
      <c r="E126" s="965">
        <v>57.44</v>
      </c>
      <c r="F126" s="966">
        <v>119460</v>
      </c>
      <c r="G126" s="967">
        <v>2.6</v>
      </c>
      <c r="H126" s="965">
        <v>38.369999999999997</v>
      </c>
      <c r="I126" s="965">
        <v>48.33</v>
      </c>
      <c r="J126" s="965">
        <v>60.65</v>
      </c>
      <c r="K126" s="965">
        <v>64.62</v>
      </c>
      <c r="L126" s="965">
        <v>76.599999999999994</v>
      </c>
      <c r="O126" s="963">
        <f t="shared" si="4"/>
        <v>61.126399999999997</v>
      </c>
      <c r="P126" s="963">
        <f t="shared" si="5"/>
        <v>62.714400000000005</v>
      </c>
      <c r="R126" s="963">
        <f t="shared" si="6"/>
        <v>50.793999999999997</v>
      </c>
      <c r="S126" s="963">
        <f t="shared" si="7"/>
        <v>55.722000000000001</v>
      </c>
    </row>
    <row r="127" spans="1:19" hidden="1" x14ac:dyDescent="0.25">
      <c r="A127" t="s">
        <v>744</v>
      </c>
      <c r="B127" t="s">
        <v>745</v>
      </c>
      <c r="C127" s="24" t="s">
        <v>996</v>
      </c>
      <c r="D127" t="s">
        <v>997</v>
      </c>
      <c r="E127" s="965">
        <v>43.99</v>
      </c>
      <c r="F127" s="966">
        <v>91500</v>
      </c>
      <c r="G127" s="967">
        <v>2.9</v>
      </c>
      <c r="H127" s="965">
        <v>27.97</v>
      </c>
      <c r="I127" s="965">
        <v>35.82</v>
      </c>
      <c r="J127" s="965">
        <v>41.63</v>
      </c>
      <c r="K127" s="965">
        <v>48.43</v>
      </c>
      <c r="L127" s="965">
        <v>63.85</v>
      </c>
      <c r="O127" s="963">
        <f t="shared" si="4"/>
        <v>42.446000000000005</v>
      </c>
      <c r="P127" s="963">
        <f t="shared" si="5"/>
        <v>45.166000000000004</v>
      </c>
      <c r="R127" s="963">
        <f t="shared" si="6"/>
        <v>36.981999999999999</v>
      </c>
      <c r="S127" s="963">
        <f t="shared" si="7"/>
        <v>39.306000000000004</v>
      </c>
    </row>
    <row r="128" spans="1:19" hidden="1" x14ac:dyDescent="0.25">
      <c r="A128" t="s">
        <v>744</v>
      </c>
      <c r="B128" t="s">
        <v>745</v>
      </c>
      <c r="C128" s="24" t="s">
        <v>998</v>
      </c>
      <c r="D128" t="s">
        <v>999</v>
      </c>
      <c r="E128" s="965">
        <v>49.15</v>
      </c>
      <c r="F128" s="966">
        <v>102230</v>
      </c>
      <c r="G128" s="967">
        <v>4</v>
      </c>
      <c r="H128" s="965">
        <v>30.83</v>
      </c>
      <c r="I128" s="965">
        <v>33.520000000000003</v>
      </c>
      <c r="J128" s="965">
        <v>46.45</v>
      </c>
      <c r="K128" s="965">
        <v>58.53</v>
      </c>
      <c r="L128" s="965">
        <v>78.19</v>
      </c>
      <c r="O128" s="963">
        <f t="shared" si="4"/>
        <v>47.899600000000007</v>
      </c>
      <c r="P128" s="963">
        <f t="shared" si="5"/>
        <v>52.7316</v>
      </c>
      <c r="R128" s="963">
        <f t="shared" si="6"/>
        <v>36.106000000000009</v>
      </c>
      <c r="S128" s="963">
        <f t="shared" si="7"/>
        <v>41.278000000000006</v>
      </c>
    </row>
    <row r="129" spans="1:19" hidden="1" x14ac:dyDescent="0.25">
      <c r="A129" t="s">
        <v>744</v>
      </c>
      <c r="B129" t="s">
        <v>745</v>
      </c>
      <c r="C129" s="24" t="s">
        <v>1000</v>
      </c>
      <c r="D129" t="s">
        <v>1001</v>
      </c>
      <c r="E129" s="965">
        <v>36.61</v>
      </c>
      <c r="F129" s="966">
        <v>76140</v>
      </c>
      <c r="G129" s="967">
        <v>3.1</v>
      </c>
      <c r="H129" s="965">
        <v>22.03</v>
      </c>
      <c r="I129" s="965">
        <v>29.45</v>
      </c>
      <c r="J129" s="965">
        <v>34.619999999999997</v>
      </c>
      <c r="K129" s="965">
        <v>40.630000000000003</v>
      </c>
      <c r="L129" s="965">
        <v>56.75</v>
      </c>
      <c r="O129" s="963">
        <f t="shared" si="4"/>
        <v>35.341200000000001</v>
      </c>
      <c r="P129" s="963">
        <f t="shared" si="5"/>
        <v>37.745199999999997</v>
      </c>
      <c r="R129" s="963">
        <f t="shared" si="6"/>
        <v>30.483999999999998</v>
      </c>
      <c r="S129" s="963">
        <f t="shared" si="7"/>
        <v>32.552</v>
      </c>
    </row>
    <row r="130" spans="1:19" hidden="1" x14ac:dyDescent="0.25">
      <c r="A130" t="s">
        <v>744</v>
      </c>
      <c r="B130" t="s">
        <v>745</v>
      </c>
      <c r="C130" s="24" t="s">
        <v>1002</v>
      </c>
      <c r="D130" t="s">
        <v>1003</v>
      </c>
      <c r="E130" s="965">
        <v>33.119999999999997</v>
      </c>
      <c r="F130" s="966">
        <v>68900</v>
      </c>
      <c r="G130" s="967">
        <v>0.6</v>
      </c>
      <c r="H130" s="965">
        <v>23.07</v>
      </c>
      <c r="I130" s="965">
        <v>26.8</v>
      </c>
      <c r="J130" s="965">
        <v>32.56</v>
      </c>
      <c r="K130" s="965">
        <v>39.5</v>
      </c>
      <c r="L130" s="965">
        <v>44.42</v>
      </c>
      <c r="O130" s="963">
        <f t="shared" ref="O130:O193" si="8">_xlfn.PERCENTILE.INC((H130:L130),$W$1)</f>
        <v>33.392800000000001</v>
      </c>
      <c r="P130" s="963">
        <f t="shared" ref="P130:P193" si="9">_xlfn.PERCENTILE.INC((H130:L130),$X$1)</f>
        <v>36.168800000000005</v>
      </c>
      <c r="R130" s="963">
        <f t="shared" si="6"/>
        <v>27.952000000000002</v>
      </c>
      <c r="S130" s="963">
        <f t="shared" si="7"/>
        <v>30.256</v>
      </c>
    </row>
    <row r="131" spans="1:19" hidden="1" x14ac:dyDescent="0.25">
      <c r="A131" t="s">
        <v>744</v>
      </c>
      <c r="B131" t="s">
        <v>745</v>
      </c>
      <c r="C131" s="24" t="s">
        <v>1004</v>
      </c>
      <c r="D131" t="s">
        <v>1005</v>
      </c>
      <c r="E131" s="965">
        <v>54.95</v>
      </c>
      <c r="F131" s="966">
        <v>114300</v>
      </c>
      <c r="G131" s="967">
        <v>1.9</v>
      </c>
      <c r="H131" s="965">
        <v>33.909999999999997</v>
      </c>
      <c r="I131" s="965">
        <v>40.21</v>
      </c>
      <c r="J131" s="965">
        <v>50.4</v>
      </c>
      <c r="K131" s="965">
        <v>64.56</v>
      </c>
      <c r="L131" s="965">
        <v>76.819999999999993</v>
      </c>
      <c r="O131" s="963">
        <f t="shared" si="8"/>
        <v>52.099200000000003</v>
      </c>
      <c r="P131" s="963">
        <f t="shared" si="9"/>
        <v>57.763199999999998</v>
      </c>
      <c r="R131" s="963">
        <f t="shared" ref="R131:R194" si="10">_xlfn.PERCENTILE.INC((H131:L131),$Y$1)</f>
        <v>42.248000000000005</v>
      </c>
      <c r="S131" s="963">
        <f t="shared" ref="S131:S194" si="11">_xlfn.PERCENTILE.INC((H131:L131),$Z$1)</f>
        <v>46.323999999999998</v>
      </c>
    </row>
    <row r="132" spans="1:19" hidden="1" x14ac:dyDescent="0.25">
      <c r="A132" t="s">
        <v>744</v>
      </c>
      <c r="B132" t="s">
        <v>745</v>
      </c>
      <c r="C132" s="24" t="s">
        <v>1006</v>
      </c>
      <c r="D132" t="s">
        <v>1007</v>
      </c>
      <c r="E132" s="965">
        <v>60.53</v>
      </c>
      <c r="F132" s="966">
        <v>125910</v>
      </c>
      <c r="G132" s="967">
        <v>1.4</v>
      </c>
      <c r="H132" s="965">
        <v>36.82</v>
      </c>
      <c r="I132" s="965">
        <v>47.07</v>
      </c>
      <c r="J132" s="965">
        <v>61.21</v>
      </c>
      <c r="K132" s="965">
        <v>66.540000000000006</v>
      </c>
      <c r="L132" s="965">
        <v>82.08</v>
      </c>
      <c r="O132" s="963">
        <f t="shared" si="8"/>
        <v>61.849600000000002</v>
      </c>
      <c r="P132" s="963">
        <f t="shared" si="9"/>
        <v>63.9816</v>
      </c>
      <c r="R132" s="963">
        <f t="shared" si="10"/>
        <v>49.898000000000003</v>
      </c>
      <c r="S132" s="963">
        <f t="shared" si="11"/>
        <v>55.554000000000002</v>
      </c>
    </row>
    <row r="133" spans="1:19" hidden="1" x14ac:dyDescent="0.25">
      <c r="A133" t="s">
        <v>744</v>
      </c>
      <c r="B133" t="s">
        <v>745</v>
      </c>
      <c r="C133" s="24" t="s">
        <v>1008</v>
      </c>
      <c r="D133" t="s">
        <v>1009</v>
      </c>
      <c r="E133" s="965">
        <v>55.94</v>
      </c>
      <c r="F133" s="966">
        <v>116360</v>
      </c>
      <c r="G133" s="967">
        <v>1.1000000000000001</v>
      </c>
      <c r="H133" s="965">
        <v>41.29</v>
      </c>
      <c r="I133" s="965">
        <v>48.23</v>
      </c>
      <c r="J133" s="965">
        <v>52.86</v>
      </c>
      <c r="K133" s="965">
        <v>64.67</v>
      </c>
      <c r="L133" s="965">
        <v>65.569999999999993</v>
      </c>
      <c r="O133" s="963">
        <f t="shared" si="8"/>
        <v>54.277200000000001</v>
      </c>
      <c r="P133" s="963">
        <f t="shared" si="9"/>
        <v>59.001199999999997</v>
      </c>
      <c r="R133" s="963">
        <f t="shared" si="10"/>
        <v>49.155999999999999</v>
      </c>
      <c r="S133" s="963">
        <f t="shared" si="11"/>
        <v>51.007999999999996</v>
      </c>
    </row>
    <row r="134" spans="1:19" hidden="1" x14ac:dyDescent="0.25">
      <c r="A134" t="s">
        <v>744</v>
      </c>
      <c r="B134" t="s">
        <v>745</v>
      </c>
      <c r="C134" s="24" t="s">
        <v>1010</v>
      </c>
      <c r="D134" t="s">
        <v>1011</v>
      </c>
      <c r="E134" s="965">
        <v>75.97</v>
      </c>
      <c r="F134" s="966">
        <v>158030</v>
      </c>
      <c r="G134" s="967">
        <v>0.7</v>
      </c>
      <c r="H134" s="965">
        <v>35.590000000000003</v>
      </c>
      <c r="I134" s="965">
        <v>45.59</v>
      </c>
      <c r="J134" s="965">
        <v>88.22</v>
      </c>
      <c r="K134" s="965">
        <v>93.38</v>
      </c>
      <c r="L134" s="965">
        <v>96.87</v>
      </c>
      <c r="O134" s="963">
        <f t="shared" si="8"/>
        <v>88.839200000000005</v>
      </c>
      <c r="P134" s="963">
        <f t="shared" si="9"/>
        <v>90.903199999999998</v>
      </c>
      <c r="R134" s="963">
        <f t="shared" si="10"/>
        <v>54.116000000000014</v>
      </c>
      <c r="S134" s="963">
        <f t="shared" si="11"/>
        <v>71.168000000000006</v>
      </c>
    </row>
    <row r="135" spans="1:19" hidden="1" x14ac:dyDescent="0.25">
      <c r="A135" t="s">
        <v>744</v>
      </c>
      <c r="B135" t="s">
        <v>745</v>
      </c>
      <c r="C135" s="24" t="s">
        <v>1012</v>
      </c>
      <c r="D135" t="s">
        <v>1013</v>
      </c>
      <c r="E135" s="965">
        <v>77.86</v>
      </c>
      <c r="F135" s="966">
        <v>161950</v>
      </c>
      <c r="G135" s="967">
        <v>5.6</v>
      </c>
      <c r="H135" s="965">
        <v>47.25</v>
      </c>
      <c r="I135" s="965">
        <v>64.42</v>
      </c>
      <c r="J135" s="965">
        <v>72.11</v>
      </c>
      <c r="K135" s="965">
        <v>90.8</v>
      </c>
      <c r="L135" s="965">
        <v>104.55</v>
      </c>
      <c r="O135" s="963">
        <f t="shared" si="8"/>
        <v>74.352800000000002</v>
      </c>
      <c r="P135" s="963">
        <f t="shared" si="9"/>
        <v>81.828800000000001</v>
      </c>
      <c r="R135" s="963">
        <f t="shared" si="10"/>
        <v>65.957999999999998</v>
      </c>
      <c r="S135" s="963">
        <f t="shared" si="11"/>
        <v>69.034000000000006</v>
      </c>
    </row>
    <row r="136" spans="1:19" hidden="1" x14ac:dyDescent="0.25">
      <c r="A136" t="s">
        <v>744</v>
      </c>
      <c r="B136" t="s">
        <v>745</v>
      </c>
      <c r="C136" s="24" t="s">
        <v>1014</v>
      </c>
      <c r="D136" t="s">
        <v>1015</v>
      </c>
      <c r="E136" s="965">
        <v>56.24</v>
      </c>
      <c r="F136" s="966">
        <v>116980</v>
      </c>
      <c r="G136" s="967">
        <v>2.6</v>
      </c>
      <c r="H136" s="965">
        <v>31.48</v>
      </c>
      <c r="I136" s="965">
        <v>39.36</v>
      </c>
      <c r="J136" s="965">
        <v>52.03</v>
      </c>
      <c r="K136" s="965">
        <v>66.73</v>
      </c>
      <c r="L136" s="965">
        <v>82.1</v>
      </c>
      <c r="O136" s="963">
        <f t="shared" si="8"/>
        <v>53.794000000000004</v>
      </c>
      <c r="P136" s="963">
        <f t="shared" si="9"/>
        <v>59.674000000000007</v>
      </c>
      <c r="R136" s="963">
        <f t="shared" si="10"/>
        <v>41.894000000000005</v>
      </c>
      <c r="S136" s="963">
        <f t="shared" si="11"/>
        <v>46.962000000000003</v>
      </c>
    </row>
    <row r="137" spans="1:19" hidden="1" x14ac:dyDescent="0.25">
      <c r="A137" t="s">
        <v>744</v>
      </c>
      <c r="B137" t="s">
        <v>745</v>
      </c>
      <c r="C137" s="24" t="s">
        <v>1016</v>
      </c>
      <c r="D137" t="s">
        <v>1017</v>
      </c>
      <c r="E137" s="965">
        <v>57.89</v>
      </c>
      <c r="F137" s="966">
        <v>120420</v>
      </c>
      <c r="G137" s="967">
        <v>3.2</v>
      </c>
      <c r="H137" s="965">
        <v>41.7</v>
      </c>
      <c r="I137" s="965">
        <v>45.98</v>
      </c>
      <c r="J137" s="965">
        <v>57.88</v>
      </c>
      <c r="K137" s="965">
        <v>68.650000000000006</v>
      </c>
      <c r="L137" s="965">
        <v>78.8</v>
      </c>
      <c r="O137" s="963">
        <f t="shared" si="8"/>
        <v>59.172400000000003</v>
      </c>
      <c r="P137" s="963">
        <f t="shared" si="9"/>
        <v>63.480400000000003</v>
      </c>
      <c r="R137" s="963">
        <f t="shared" si="10"/>
        <v>48.36</v>
      </c>
      <c r="S137" s="963">
        <f t="shared" si="11"/>
        <v>53.120000000000005</v>
      </c>
    </row>
    <row r="138" spans="1:19" hidden="1" x14ac:dyDescent="0.25">
      <c r="A138" t="s">
        <v>744</v>
      </c>
      <c r="B138" t="s">
        <v>745</v>
      </c>
      <c r="C138" s="24" t="s">
        <v>1018</v>
      </c>
      <c r="D138" t="s">
        <v>1019</v>
      </c>
      <c r="E138" s="965">
        <v>49.38</v>
      </c>
      <c r="F138" s="966">
        <v>102700</v>
      </c>
      <c r="G138" s="967">
        <v>3.2</v>
      </c>
      <c r="H138" s="965">
        <v>28.85</v>
      </c>
      <c r="I138" s="965">
        <v>34.89</v>
      </c>
      <c r="J138" s="965">
        <v>48.25</v>
      </c>
      <c r="K138" s="965">
        <v>59.9</v>
      </c>
      <c r="L138" s="965">
        <v>74.88</v>
      </c>
      <c r="O138" s="963">
        <f t="shared" si="8"/>
        <v>49.648000000000003</v>
      </c>
      <c r="P138" s="963">
        <f t="shared" si="9"/>
        <v>54.308</v>
      </c>
      <c r="R138" s="963">
        <f t="shared" si="10"/>
        <v>37.562000000000005</v>
      </c>
      <c r="S138" s="963">
        <f t="shared" si="11"/>
        <v>42.905999999999999</v>
      </c>
    </row>
    <row r="139" spans="1:19" hidden="1" x14ac:dyDescent="0.25">
      <c r="A139" t="s">
        <v>744</v>
      </c>
      <c r="B139" t="s">
        <v>745</v>
      </c>
      <c r="C139" s="24" t="s">
        <v>1020</v>
      </c>
      <c r="D139" t="s">
        <v>1021</v>
      </c>
      <c r="E139" s="965">
        <v>47.9</v>
      </c>
      <c r="F139" s="966">
        <v>99630</v>
      </c>
      <c r="G139" s="967">
        <v>9.8000000000000007</v>
      </c>
      <c r="H139" s="965">
        <v>32.94</v>
      </c>
      <c r="I139" s="965">
        <v>36.99</v>
      </c>
      <c r="J139" s="965">
        <v>36.99</v>
      </c>
      <c r="K139" s="965">
        <v>64.900000000000006</v>
      </c>
      <c r="L139" s="965">
        <v>67.47</v>
      </c>
      <c r="O139" s="963">
        <f t="shared" si="8"/>
        <v>40.339200000000005</v>
      </c>
      <c r="P139" s="963">
        <f t="shared" si="9"/>
        <v>51.503200000000007</v>
      </c>
      <c r="R139" s="963">
        <f t="shared" si="10"/>
        <v>36.99</v>
      </c>
      <c r="S139" s="963">
        <f t="shared" si="11"/>
        <v>36.99</v>
      </c>
    </row>
    <row r="140" spans="1:19" hidden="1" x14ac:dyDescent="0.25">
      <c r="A140" t="s">
        <v>744</v>
      </c>
      <c r="B140" t="s">
        <v>745</v>
      </c>
      <c r="C140" s="24" t="s">
        <v>1022</v>
      </c>
      <c r="D140" t="s">
        <v>1023</v>
      </c>
      <c r="E140" s="965">
        <v>58.91</v>
      </c>
      <c r="F140" s="966">
        <v>122530</v>
      </c>
      <c r="G140" s="967">
        <v>9.4</v>
      </c>
      <c r="H140" s="965">
        <v>43.6</v>
      </c>
      <c r="I140" s="965">
        <v>45.41</v>
      </c>
      <c r="J140" s="965">
        <v>63.15</v>
      </c>
      <c r="K140" s="965">
        <v>72.069999999999993</v>
      </c>
      <c r="L140" s="965">
        <v>74.14</v>
      </c>
      <c r="O140" s="963">
        <f t="shared" si="8"/>
        <v>64.220399999999998</v>
      </c>
      <c r="P140" s="963">
        <f t="shared" si="9"/>
        <v>67.788399999999996</v>
      </c>
      <c r="R140" s="963">
        <f t="shared" si="10"/>
        <v>48.957999999999998</v>
      </c>
      <c r="S140" s="963">
        <f t="shared" si="11"/>
        <v>56.054000000000002</v>
      </c>
    </row>
    <row r="141" spans="1:19" hidden="1" x14ac:dyDescent="0.25">
      <c r="A141" t="s">
        <v>744</v>
      </c>
      <c r="B141" t="s">
        <v>745</v>
      </c>
      <c r="C141" s="24" t="s">
        <v>1024</v>
      </c>
      <c r="D141" t="s">
        <v>1025</v>
      </c>
      <c r="E141" s="965">
        <v>59.84</v>
      </c>
      <c r="F141" s="966">
        <v>124470</v>
      </c>
      <c r="G141" s="967">
        <v>0.4</v>
      </c>
      <c r="H141" s="965">
        <v>30.88</v>
      </c>
      <c r="I141" s="965">
        <v>47.78</v>
      </c>
      <c r="J141" s="965">
        <v>60.36</v>
      </c>
      <c r="K141" s="965">
        <v>69.239999999999995</v>
      </c>
      <c r="L141" s="965">
        <v>81.819999999999993</v>
      </c>
      <c r="O141" s="963">
        <f t="shared" si="8"/>
        <v>61.425600000000003</v>
      </c>
      <c r="P141" s="963">
        <f t="shared" si="9"/>
        <v>64.977599999999995</v>
      </c>
      <c r="R141" s="963">
        <f t="shared" si="10"/>
        <v>50.296000000000006</v>
      </c>
      <c r="S141" s="963">
        <f t="shared" si="11"/>
        <v>55.328000000000003</v>
      </c>
    </row>
    <row r="142" spans="1:19" hidden="1" x14ac:dyDescent="0.25">
      <c r="A142" t="s">
        <v>744</v>
      </c>
      <c r="B142" t="s">
        <v>745</v>
      </c>
      <c r="C142" s="24" t="s">
        <v>1026</v>
      </c>
      <c r="D142" t="s">
        <v>1027</v>
      </c>
      <c r="E142" s="965">
        <v>67.17</v>
      </c>
      <c r="F142" s="966">
        <v>139720</v>
      </c>
      <c r="G142" s="967">
        <v>2.8</v>
      </c>
      <c r="H142" s="965">
        <v>37.11</v>
      </c>
      <c r="I142" s="965">
        <v>47.24</v>
      </c>
      <c r="J142" s="965">
        <v>64.78</v>
      </c>
      <c r="K142" s="965">
        <v>76.459999999999994</v>
      </c>
      <c r="L142" s="965">
        <v>108.41</v>
      </c>
      <c r="O142" s="963">
        <f t="shared" si="8"/>
        <v>66.181600000000003</v>
      </c>
      <c r="P142" s="963">
        <f t="shared" si="9"/>
        <v>70.8536</v>
      </c>
      <c r="R142" s="963">
        <f t="shared" si="10"/>
        <v>50.748000000000005</v>
      </c>
      <c r="S142" s="963">
        <f t="shared" si="11"/>
        <v>57.764000000000003</v>
      </c>
    </row>
    <row r="143" spans="1:19" s="974" customFormat="1" hidden="1" x14ac:dyDescent="0.25">
      <c r="A143" s="974" t="s">
        <v>744</v>
      </c>
      <c r="B143" s="974" t="s">
        <v>745</v>
      </c>
      <c r="C143" s="975" t="s">
        <v>1028</v>
      </c>
      <c r="D143" s="974" t="s">
        <v>1029</v>
      </c>
      <c r="E143" s="976">
        <v>49.34</v>
      </c>
      <c r="F143" s="977">
        <v>102630</v>
      </c>
      <c r="G143" s="978">
        <v>6</v>
      </c>
      <c r="H143" s="976">
        <v>22.12</v>
      </c>
      <c r="I143" s="976">
        <v>26.9</v>
      </c>
      <c r="J143" s="976">
        <v>46.05</v>
      </c>
      <c r="K143" s="976">
        <v>66.13</v>
      </c>
      <c r="L143" s="976">
        <v>79.2</v>
      </c>
      <c r="O143" s="979">
        <f t="shared" si="8"/>
        <v>48.459600000000002</v>
      </c>
      <c r="P143" s="979">
        <f t="shared" si="9"/>
        <v>56.491599999999998</v>
      </c>
      <c r="R143" s="963">
        <f t="shared" si="10"/>
        <v>30.73</v>
      </c>
      <c r="S143" s="963">
        <f t="shared" si="11"/>
        <v>38.39</v>
      </c>
    </row>
    <row r="144" spans="1:19" s="974" customFormat="1" hidden="1" x14ac:dyDescent="0.25">
      <c r="A144" s="974" t="s">
        <v>744</v>
      </c>
      <c r="B144" s="974" t="s">
        <v>745</v>
      </c>
      <c r="C144" s="975" t="s">
        <v>1030</v>
      </c>
      <c r="D144" s="974" t="s">
        <v>1031</v>
      </c>
      <c r="E144" s="976">
        <v>50.09</v>
      </c>
      <c r="F144" s="977">
        <v>104180</v>
      </c>
      <c r="G144" s="978">
        <v>3.1</v>
      </c>
      <c r="H144" s="976">
        <v>32.54</v>
      </c>
      <c r="I144" s="976">
        <v>40.17</v>
      </c>
      <c r="J144" s="976">
        <v>48.83</v>
      </c>
      <c r="K144" s="976">
        <v>53.84</v>
      </c>
      <c r="L144" s="976">
        <v>70</v>
      </c>
      <c r="O144" s="979">
        <f t="shared" si="8"/>
        <v>49.431199999999997</v>
      </c>
      <c r="P144" s="979">
        <f t="shared" si="9"/>
        <v>51.435200000000002</v>
      </c>
      <c r="R144" s="963">
        <f t="shared" si="10"/>
        <v>41.902000000000001</v>
      </c>
      <c r="S144" s="963">
        <f t="shared" si="11"/>
        <v>45.366</v>
      </c>
    </row>
    <row r="145" spans="1:19" hidden="1" x14ac:dyDescent="0.25">
      <c r="A145" t="s">
        <v>744</v>
      </c>
      <c r="B145" t="s">
        <v>745</v>
      </c>
      <c r="C145" s="24" t="s">
        <v>1032</v>
      </c>
      <c r="D145" t="s">
        <v>1033</v>
      </c>
      <c r="E145" s="965">
        <v>58.99</v>
      </c>
      <c r="F145" s="966">
        <v>122690</v>
      </c>
      <c r="G145" s="967">
        <v>7.1</v>
      </c>
      <c r="H145" s="965">
        <v>24.8</v>
      </c>
      <c r="I145" s="965">
        <v>44.79</v>
      </c>
      <c r="J145" s="965">
        <v>62.57</v>
      </c>
      <c r="K145" s="965">
        <v>74.209999999999994</v>
      </c>
      <c r="L145" s="965">
        <v>79.83</v>
      </c>
      <c r="O145" s="963">
        <f t="shared" si="8"/>
        <v>63.966799999999999</v>
      </c>
      <c r="P145" s="963">
        <f t="shared" si="9"/>
        <v>68.622799999999998</v>
      </c>
      <c r="R145" s="963">
        <f t="shared" si="10"/>
        <v>48.346000000000004</v>
      </c>
      <c r="S145" s="963">
        <f t="shared" si="11"/>
        <v>55.457999999999998</v>
      </c>
    </row>
    <row r="146" spans="1:19" hidden="1" x14ac:dyDescent="0.25">
      <c r="A146" t="s">
        <v>744</v>
      </c>
      <c r="B146" t="s">
        <v>745</v>
      </c>
      <c r="C146" s="24" t="s">
        <v>1034</v>
      </c>
      <c r="D146" t="s">
        <v>1035</v>
      </c>
      <c r="E146" s="965">
        <v>64.459999999999994</v>
      </c>
      <c r="F146" s="966">
        <v>134080</v>
      </c>
      <c r="G146" s="967">
        <v>7.5</v>
      </c>
      <c r="H146" s="965">
        <v>38.69</v>
      </c>
      <c r="I146" s="965">
        <v>49.59</v>
      </c>
      <c r="J146" s="965">
        <v>65.3</v>
      </c>
      <c r="K146" s="965">
        <v>79.459999999999994</v>
      </c>
      <c r="L146" s="965">
        <v>80.290000000000006</v>
      </c>
      <c r="O146" s="963">
        <f t="shared" si="8"/>
        <v>66.999200000000002</v>
      </c>
      <c r="P146" s="963">
        <f t="shared" si="9"/>
        <v>72.663199999999989</v>
      </c>
      <c r="R146" s="963">
        <f t="shared" si="10"/>
        <v>52.732000000000006</v>
      </c>
      <c r="S146" s="963">
        <f t="shared" si="11"/>
        <v>59.016000000000005</v>
      </c>
    </row>
    <row r="147" spans="1:19" hidden="1" x14ac:dyDescent="0.25">
      <c r="A147" t="s">
        <v>744</v>
      </c>
      <c r="B147" t="s">
        <v>745</v>
      </c>
      <c r="C147" s="24" t="s">
        <v>1036</v>
      </c>
      <c r="D147" t="s">
        <v>1037</v>
      </c>
      <c r="E147" s="965">
        <v>42.95</v>
      </c>
      <c r="F147" s="966">
        <v>89340</v>
      </c>
      <c r="G147" s="967">
        <v>2.2000000000000002</v>
      </c>
      <c r="H147" s="965">
        <v>29.22</v>
      </c>
      <c r="I147" s="965">
        <v>35.5</v>
      </c>
      <c r="J147" s="965">
        <v>40.98</v>
      </c>
      <c r="K147" s="965">
        <v>50.3</v>
      </c>
      <c r="L147" s="965">
        <v>58.41</v>
      </c>
      <c r="O147" s="963">
        <f t="shared" si="8"/>
        <v>42.098399999999998</v>
      </c>
      <c r="P147" s="963">
        <f t="shared" si="9"/>
        <v>45.8264</v>
      </c>
      <c r="R147" s="963">
        <f t="shared" si="10"/>
        <v>36.596000000000004</v>
      </c>
      <c r="S147" s="963">
        <f t="shared" si="11"/>
        <v>38.787999999999997</v>
      </c>
    </row>
    <row r="148" spans="1:19" hidden="1" x14ac:dyDescent="0.25">
      <c r="A148" t="s">
        <v>744</v>
      </c>
      <c r="B148" t="s">
        <v>745</v>
      </c>
      <c r="C148" s="24" t="s">
        <v>1038</v>
      </c>
      <c r="D148" t="s">
        <v>1039</v>
      </c>
      <c r="E148" s="965">
        <v>58.25</v>
      </c>
      <c r="F148" s="966">
        <v>121160</v>
      </c>
      <c r="G148" s="967">
        <v>9.1999999999999993</v>
      </c>
      <c r="H148" s="965">
        <v>31.66</v>
      </c>
      <c r="I148" s="965">
        <v>36.85</v>
      </c>
      <c r="J148" s="965">
        <v>61.18</v>
      </c>
      <c r="K148" s="965">
        <v>74.819999999999993</v>
      </c>
      <c r="L148" s="965">
        <v>96.68</v>
      </c>
      <c r="O148" s="963">
        <f t="shared" si="8"/>
        <v>62.816800000000001</v>
      </c>
      <c r="P148" s="963">
        <f t="shared" si="9"/>
        <v>68.272799999999989</v>
      </c>
      <c r="R148" s="963">
        <f t="shared" si="10"/>
        <v>41.716000000000008</v>
      </c>
      <c r="S148" s="963">
        <f t="shared" si="11"/>
        <v>51.448</v>
      </c>
    </row>
    <row r="149" spans="1:19" hidden="1" x14ac:dyDescent="0.25">
      <c r="A149" t="s">
        <v>744</v>
      </c>
      <c r="B149" t="s">
        <v>745</v>
      </c>
      <c r="C149" s="24" t="s">
        <v>1040</v>
      </c>
      <c r="D149" t="s">
        <v>1041</v>
      </c>
      <c r="E149" s="965">
        <v>49.85</v>
      </c>
      <c r="F149" s="966">
        <v>103680</v>
      </c>
      <c r="G149" s="967">
        <v>4.7</v>
      </c>
      <c r="H149" s="965">
        <v>30.88</v>
      </c>
      <c r="I149" s="965">
        <v>42.35</v>
      </c>
      <c r="J149" s="965">
        <v>50.44</v>
      </c>
      <c r="K149" s="965">
        <v>58.59</v>
      </c>
      <c r="L149" s="965">
        <v>67.47</v>
      </c>
      <c r="O149" s="963">
        <f t="shared" si="8"/>
        <v>51.417999999999999</v>
      </c>
      <c r="P149" s="963">
        <f t="shared" si="9"/>
        <v>54.677999999999997</v>
      </c>
      <c r="R149" s="963">
        <f t="shared" si="10"/>
        <v>43.968000000000004</v>
      </c>
      <c r="S149" s="963">
        <f t="shared" si="11"/>
        <v>47.204000000000001</v>
      </c>
    </row>
    <row r="150" spans="1:19" hidden="1" x14ac:dyDescent="0.25">
      <c r="A150" t="s">
        <v>744</v>
      </c>
      <c r="B150" t="s">
        <v>745</v>
      </c>
      <c r="C150" s="24" t="s">
        <v>1042</v>
      </c>
      <c r="D150" t="s">
        <v>1043</v>
      </c>
      <c r="E150" s="965">
        <v>40.58</v>
      </c>
      <c r="F150" s="966">
        <v>84410</v>
      </c>
      <c r="G150" s="967">
        <v>17.600000000000001</v>
      </c>
      <c r="H150" s="965">
        <v>22.59</v>
      </c>
      <c r="I150" s="965">
        <v>39.42</v>
      </c>
      <c r="J150" s="965">
        <v>39.43</v>
      </c>
      <c r="K150" s="965">
        <v>48.07</v>
      </c>
      <c r="L150" s="965">
        <v>48.08</v>
      </c>
      <c r="O150" s="963">
        <f t="shared" si="8"/>
        <v>40.466799999999999</v>
      </c>
      <c r="P150" s="963">
        <f t="shared" si="9"/>
        <v>43.922800000000002</v>
      </c>
      <c r="R150" s="963">
        <f t="shared" si="10"/>
        <v>39.422000000000004</v>
      </c>
      <c r="S150" s="963">
        <f t="shared" si="11"/>
        <v>39.426000000000002</v>
      </c>
    </row>
    <row r="151" spans="1:19" hidden="1" x14ac:dyDescent="0.25">
      <c r="A151" t="s">
        <v>744</v>
      </c>
      <c r="B151" t="s">
        <v>745</v>
      </c>
      <c r="C151" s="24" t="s">
        <v>1044</v>
      </c>
      <c r="D151" t="s">
        <v>1045</v>
      </c>
      <c r="E151" s="965">
        <v>29.32</v>
      </c>
      <c r="F151" s="966">
        <v>60990</v>
      </c>
      <c r="G151" s="967">
        <v>1.7</v>
      </c>
      <c r="H151" s="965">
        <v>22.52</v>
      </c>
      <c r="I151" s="965">
        <v>23.9</v>
      </c>
      <c r="J151" s="965">
        <v>29.15</v>
      </c>
      <c r="K151" s="965">
        <v>32.159999999999997</v>
      </c>
      <c r="L151" s="965">
        <v>39.18</v>
      </c>
      <c r="O151" s="963">
        <f t="shared" si="8"/>
        <v>29.511199999999999</v>
      </c>
      <c r="P151" s="963">
        <f t="shared" si="9"/>
        <v>30.715199999999996</v>
      </c>
      <c r="R151" s="963">
        <f t="shared" si="10"/>
        <v>24.95</v>
      </c>
      <c r="S151" s="963">
        <f t="shared" si="11"/>
        <v>27.049999999999997</v>
      </c>
    </row>
    <row r="152" spans="1:19" hidden="1" x14ac:dyDescent="0.25">
      <c r="A152" t="s">
        <v>744</v>
      </c>
      <c r="B152" t="s">
        <v>745</v>
      </c>
      <c r="C152" s="24" t="s">
        <v>1046</v>
      </c>
      <c r="D152" t="s">
        <v>1047</v>
      </c>
      <c r="E152" s="965">
        <v>31.61</v>
      </c>
      <c r="F152" s="966">
        <v>65740</v>
      </c>
      <c r="G152" s="967">
        <v>1.3</v>
      </c>
      <c r="H152" s="965">
        <v>22.36</v>
      </c>
      <c r="I152" s="965">
        <v>23.06</v>
      </c>
      <c r="J152" s="965">
        <v>29.66</v>
      </c>
      <c r="K152" s="965">
        <v>38.200000000000003</v>
      </c>
      <c r="L152" s="965">
        <v>42.89</v>
      </c>
      <c r="O152" s="963">
        <f t="shared" si="8"/>
        <v>30.684800000000003</v>
      </c>
      <c r="P152" s="963">
        <f t="shared" si="9"/>
        <v>34.1008</v>
      </c>
      <c r="R152" s="963">
        <f t="shared" si="10"/>
        <v>24.38</v>
      </c>
      <c r="S152" s="963">
        <f t="shared" si="11"/>
        <v>27.02</v>
      </c>
    </row>
    <row r="153" spans="1:19" hidden="1" x14ac:dyDescent="0.25">
      <c r="A153" t="s">
        <v>744</v>
      </c>
      <c r="B153" t="s">
        <v>745</v>
      </c>
      <c r="C153" s="24" t="s">
        <v>1048</v>
      </c>
      <c r="D153" t="s">
        <v>1049</v>
      </c>
      <c r="E153" s="965">
        <v>32</v>
      </c>
      <c r="F153" s="966">
        <v>66560</v>
      </c>
      <c r="G153" s="967">
        <v>1.2</v>
      </c>
      <c r="H153" s="965">
        <v>23</v>
      </c>
      <c r="I153" s="965">
        <v>26.11</v>
      </c>
      <c r="J153" s="965">
        <v>29.6</v>
      </c>
      <c r="K153" s="965">
        <v>37.35</v>
      </c>
      <c r="L153" s="965">
        <v>41.6</v>
      </c>
      <c r="O153" s="963">
        <f t="shared" si="8"/>
        <v>30.53</v>
      </c>
      <c r="P153" s="963">
        <f t="shared" si="9"/>
        <v>33.630000000000003</v>
      </c>
      <c r="R153" s="963">
        <f t="shared" si="10"/>
        <v>26.808</v>
      </c>
      <c r="S153" s="963">
        <f t="shared" si="11"/>
        <v>28.204000000000001</v>
      </c>
    </row>
    <row r="154" spans="1:19" hidden="1" x14ac:dyDescent="0.25">
      <c r="A154" t="s">
        <v>744</v>
      </c>
      <c r="B154" t="s">
        <v>745</v>
      </c>
      <c r="C154" s="24" t="s">
        <v>1050</v>
      </c>
      <c r="D154" t="s">
        <v>1051</v>
      </c>
      <c r="E154" s="965">
        <v>25.42</v>
      </c>
      <c r="F154" s="966">
        <v>52870</v>
      </c>
      <c r="G154" s="967">
        <v>6.8</v>
      </c>
      <c r="H154" s="965">
        <v>18.170000000000002</v>
      </c>
      <c r="I154" s="965">
        <v>18.170000000000002</v>
      </c>
      <c r="J154" s="965">
        <v>23.36</v>
      </c>
      <c r="K154" s="965">
        <v>30.33</v>
      </c>
      <c r="L154" s="965">
        <v>37.22</v>
      </c>
      <c r="O154" s="963">
        <f t="shared" si="8"/>
        <v>24.196400000000001</v>
      </c>
      <c r="P154" s="963">
        <f t="shared" si="9"/>
        <v>26.984400000000001</v>
      </c>
      <c r="R154" s="963">
        <f t="shared" si="10"/>
        <v>19.208000000000002</v>
      </c>
      <c r="S154" s="963">
        <f t="shared" si="11"/>
        <v>21.283999999999999</v>
      </c>
    </row>
    <row r="155" spans="1:19" hidden="1" x14ac:dyDescent="0.25">
      <c r="A155" t="s">
        <v>744</v>
      </c>
      <c r="B155" t="s">
        <v>745</v>
      </c>
      <c r="C155" s="24" t="s">
        <v>1052</v>
      </c>
      <c r="D155" t="s">
        <v>1053</v>
      </c>
      <c r="E155" s="965">
        <v>33.950000000000003</v>
      </c>
      <c r="F155" s="966">
        <v>70610</v>
      </c>
      <c r="G155" s="967">
        <v>1.7</v>
      </c>
      <c r="H155" s="965">
        <v>23.88</v>
      </c>
      <c r="I155" s="965">
        <v>24.92</v>
      </c>
      <c r="J155" s="965">
        <v>32.229999999999997</v>
      </c>
      <c r="K155" s="965">
        <v>39.32</v>
      </c>
      <c r="L155" s="965">
        <v>45.5</v>
      </c>
      <c r="O155" s="963">
        <f t="shared" si="8"/>
        <v>33.080799999999996</v>
      </c>
      <c r="P155" s="963">
        <f t="shared" si="9"/>
        <v>35.916800000000002</v>
      </c>
      <c r="R155" s="963">
        <f t="shared" si="10"/>
        <v>26.382000000000001</v>
      </c>
      <c r="S155" s="963">
        <f t="shared" si="11"/>
        <v>29.305999999999997</v>
      </c>
    </row>
    <row r="156" spans="1:19" hidden="1" x14ac:dyDescent="0.25">
      <c r="A156" t="s">
        <v>744</v>
      </c>
      <c r="B156" t="s">
        <v>745</v>
      </c>
      <c r="C156" s="24" t="s">
        <v>1054</v>
      </c>
      <c r="D156" t="s">
        <v>1055</v>
      </c>
      <c r="E156" s="965">
        <v>28.47</v>
      </c>
      <c r="F156" s="966">
        <v>59230</v>
      </c>
      <c r="G156" s="967">
        <v>3.1</v>
      </c>
      <c r="H156" s="965">
        <v>20.93</v>
      </c>
      <c r="I156" s="965">
        <v>22.18</v>
      </c>
      <c r="J156" s="965">
        <v>28.47</v>
      </c>
      <c r="K156" s="965">
        <v>31.75</v>
      </c>
      <c r="L156" s="965">
        <v>39.21</v>
      </c>
      <c r="O156" s="963">
        <f t="shared" si="8"/>
        <v>28.863599999999998</v>
      </c>
      <c r="P156" s="963">
        <f t="shared" si="9"/>
        <v>30.175599999999999</v>
      </c>
      <c r="R156" s="963">
        <f t="shared" si="10"/>
        <v>23.438000000000002</v>
      </c>
      <c r="S156" s="963">
        <f t="shared" si="11"/>
        <v>25.954000000000001</v>
      </c>
    </row>
    <row r="157" spans="1:19" hidden="1" x14ac:dyDescent="0.25">
      <c r="A157" t="s">
        <v>744</v>
      </c>
      <c r="B157" t="s">
        <v>745</v>
      </c>
      <c r="C157" s="24" t="s">
        <v>1056</v>
      </c>
      <c r="D157" t="s">
        <v>1057</v>
      </c>
      <c r="E157" s="965">
        <v>23.23</v>
      </c>
      <c r="F157" s="966">
        <v>48330</v>
      </c>
      <c r="G157" s="967">
        <v>7.9</v>
      </c>
      <c r="H157" s="965">
        <v>15.44</v>
      </c>
      <c r="I157" s="965">
        <v>15.88</v>
      </c>
      <c r="J157" s="965">
        <v>22.01</v>
      </c>
      <c r="K157" s="965">
        <v>28.09</v>
      </c>
      <c r="L157" s="965">
        <v>32.5</v>
      </c>
      <c r="O157" s="963">
        <f t="shared" si="8"/>
        <v>22.739600000000003</v>
      </c>
      <c r="P157" s="963">
        <f t="shared" si="9"/>
        <v>25.171600000000002</v>
      </c>
      <c r="R157" s="963">
        <f t="shared" si="10"/>
        <v>17.106000000000002</v>
      </c>
      <c r="S157" s="963">
        <f t="shared" si="11"/>
        <v>19.558</v>
      </c>
    </row>
    <row r="158" spans="1:19" hidden="1" x14ac:dyDescent="0.25">
      <c r="A158" t="s">
        <v>744</v>
      </c>
      <c r="B158" t="s">
        <v>745</v>
      </c>
      <c r="C158" s="24" t="s">
        <v>1058</v>
      </c>
      <c r="D158" t="s">
        <v>1059</v>
      </c>
      <c r="E158" s="965">
        <v>39.68</v>
      </c>
      <c r="F158" s="966">
        <v>82520</v>
      </c>
      <c r="G158" s="967">
        <v>0.5</v>
      </c>
      <c r="H158" s="965">
        <v>26.55</v>
      </c>
      <c r="I158" s="965">
        <v>28.67</v>
      </c>
      <c r="J158" s="965">
        <v>33.76</v>
      </c>
      <c r="K158" s="965">
        <v>42.67</v>
      </c>
      <c r="L158" s="965">
        <v>61.91</v>
      </c>
      <c r="O158" s="963">
        <f t="shared" si="8"/>
        <v>34.8292</v>
      </c>
      <c r="P158" s="963">
        <f t="shared" si="9"/>
        <v>38.3932</v>
      </c>
      <c r="R158" s="963">
        <f t="shared" si="10"/>
        <v>29.688000000000002</v>
      </c>
      <c r="S158" s="963">
        <f t="shared" si="11"/>
        <v>31.724</v>
      </c>
    </row>
    <row r="159" spans="1:19" hidden="1" x14ac:dyDescent="0.25">
      <c r="A159" t="s">
        <v>744</v>
      </c>
      <c r="B159" t="s">
        <v>745</v>
      </c>
      <c r="C159" s="24" t="s">
        <v>1060</v>
      </c>
      <c r="D159" t="s">
        <v>1061</v>
      </c>
      <c r="E159" s="965">
        <v>39.799999999999997</v>
      </c>
      <c r="F159" s="966">
        <v>82790</v>
      </c>
      <c r="G159" s="967">
        <v>2.8</v>
      </c>
      <c r="H159" s="965">
        <v>21.07</v>
      </c>
      <c r="I159" s="965">
        <v>24.28</v>
      </c>
      <c r="J159" s="965">
        <v>38.340000000000003</v>
      </c>
      <c r="K159" s="965">
        <v>50.01</v>
      </c>
      <c r="L159" s="965">
        <v>62.23</v>
      </c>
      <c r="O159" s="963">
        <f t="shared" si="8"/>
        <v>39.740400000000001</v>
      </c>
      <c r="P159" s="963">
        <f t="shared" si="9"/>
        <v>44.4084</v>
      </c>
      <c r="R159" s="963">
        <f t="shared" si="10"/>
        <v>27.092000000000006</v>
      </c>
      <c r="S159" s="963">
        <f t="shared" si="11"/>
        <v>32.716000000000008</v>
      </c>
    </row>
    <row r="160" spans="1:19" hidden="1" x14ac:dyDescent="0.25">
      <c r="A160" t="s">
        <v>744</v>
      </c>
      <c r="B160" t="s">
        <v>745</v>
      </c>
      <c r="C160" s="24" t="s">
        <v>1062</v>
      </c>
      <c r="D160" t="s">
        <v>1063</v>
      </c>
      <c r="E160" s="965">
        <v>46.06</v>
      </c>
      <c r="F160" s="966">
        <v>95790</v>
      </c>
      <c r="G160" s="967">
        <v>1.4</v>
      </c>
      <c r="H160" s="965">
        <v>30.51</v>
      </c>
      <c r="I160" s="965">
        <v>36.78</v>
      </c>
      <c r="J160" s="965">
        <v>42.35</v>
      </c>
      <c r="K160" s="965">
        <v>52.29</v>
      </c>
      <c r="L160" s="965">
        <v>63.11</v>
      </c>
      <c r="O160" s="963">
        <f t="shared" si="8"/>
        <v>43.5428</v>
      </c>
      <c r="P160" s="963">
        <f t="shared" si="9"/>
        <v>47.518799999999999</v>
      </c>
      <c r="R160" s="963">
        <f t="shared" si="10"/>
        <v>37.894000000000005</v>
      </c>
      <c r="S160" s="963">
        <f t="shared" si="11"/>
        <v>40.122</v>
      </c>
    </row>
    <row r="161" spans="1:19" hidden="1" x14ac:dyDescent="0.25">
      <c r="A161" t="s">
        <v>744</v>
      </c>
      <c r="B161" t="s">
        <v>745</v>
      </c>
      <c r="C161" s="24" t="s">
        <v>1064</v>
      </c>
      <c r="D161" t="s">
        <v>1065</v>
      </c>
      <c r="E161" s="965">
        <v>35.69</v>
      </c>
      <c r="F161" s="966">
        <v>74240</v>
      </c>
      <c r="G161" s="967">
        <v>2.2000000000000002</v>
      </c>
      <c r="H161" s="965">
        <v>19.5</v>
      </c>
      <c r="I161" s="965">
        <v>26.45</v>
      </c>
      <c r="J161" s="965">
        <v>31.23</v>
      </c>
      <c r="K161" s="965">
        <v>45.46</v>
      </c>
      <c r="L161" s="965">
        <v>52.16</v>
      </c>
      <c r="O161" s="963">
        <f t="shared" si="8"/>
        <v>32.937600000000003</v>
      </c>
      <c r="P161" s="963">
        <f t="shared" si="9"/>
        <v>38.629600000000003</v>
      </c>
      <c r="R161" s="963">
        <f t="shared" si="10"/>
        <v>27.405999999999999</v>
      </c>
      <c r="S161" s="963">
        <f t="shared" si="11"/>
        <v>29.318000000000001</v>
      </c>
    </row>
    <row r="162" spans="1:19" hidden="1" x14ac:dyDescent="0.25">
      <c r="A162" t="s">
        <v>744</v>
      </c>
      <c r="B162" t="s">
        <v>745</v>
      </c>
      <c r="C162" s="24" t="s">
        <v>1066</v>
      </c>
      <c r="D162" t="s">
        <v>1067</v>
      </c>
      <c r="E162" s="965">
        <v>30.09</v>
      </c>
      <c r="F162" s="966">
        <v>62590</v>
      </c>
      <c r="G162" s="967">
        <v>0.6</v>
      </c>
      <c r="H162" s="965">
        <v>18.25</v>
      </c>
      <c r="I162" s="965">
        <v>21.9</v>
      </c>
      <c r="J162" s="965">
        <v>28.3</v>
      </c>
      <c r="K162" s="965">
        <v>36.76</v>
      </c>
      <c r="L162" s="965">
        <v>45.21</v>
      </c>
      <c r="O162" s="963">
        <f t="shared" si="8"/>
        <v>29.315200000000001</v>
      </c>
      <c r="P162" s="963">
        <f t="shared" si="9"/>
        <v>32.699199999999998</v>
      </c>
      <c r="R162" s="963">
        <f t="shared" si="10"/>
        <v>23.18</v>
      </c>
      <c r="S162" s="963">
        <f t="shared" si="11"/>
        <v>25.740000000000002</v>
      </c>
    </row>
    <row r="163" spans="1:19" hidden="1" x14ac:dyDescent="0.25">
      <c r="A163" t="s">
        <v>744</v>
      </c>
      <c r="B163" t="s">
        <v>745</v>
      </c>
      <c r="C163" s="24" t="s">
        <v>1068</v>
      </c>
      <c r="D163" t="s">
        <v>1069</v>
      </c>
      <c r="E163" s="965">
        <v>38.299999999999997</v>
      </c>
      <c r="F163" s="966">
        <v>79670</v>
      </c>
      <c r="G163" s="967">
        <v>1.3</v>
      </c>
      <c r="H163" s="965">
        <v>23.44</v>
      </c>
      <c r="I163" s="965">
        <v>29.12</v>
      </c>
      <c r="J163" s="965">
        <v>36.96</v>
      </c>
      <c r="K163" s="965">
        <v>47.14</v>
      </c>
      <c r="L163" s="965">
        <v>52.97</v>
      </c>
      <c r="O163" s="963">
        <f t="shared" si="8"/>
        <v>38.181600000000003</v>
      </c>
      <c r="P163" s="963">
        <f t="shared" si="9"/>
        <v>42.253599999999999</v>
      </c>
      <c r="R163" s="963">
        <f t="shared" si="10"/>
        <v>30.688000000000002</v>
      </c>
      <c r="S163" s="963">
        <f t="shared" si="11"/>
        <v>33.823999999999998</v>
      </c>
    </row>
    <row r="164" spans="1:19" hidden="1" x14ac:dyDescent="0.25">
      <c r="A164" t="s">
        <v>744</v>
      </c>
      <c r="B164" t="s">
        <v>745</v>
      </c>
      <c r="C164" s="24" t="s">
        <v>1070</v>
      </c>
      <c r="D164" t="s">
        <v>1071</v>
      </c>
      <c r="E164" s="965">
        <v>34.56</v>
      </c>
      <c r="F164" s="966">
        <v>71880</v>
      </c>
      <c r="G164" s="967">
        <v>10.6</v>
      </c>
      <c r="H164" s="965">
        <v>21</v>
      </c>
      <c r="I164" s="965">
        <v>23.03</v>
      </c>
      <c r="J164" s="965">
        <v>31.96</v>
      </c>
      <c r="K164" s="965">
        <v>39.43</v>
      </c>
      <c r="L164" s="965">
        <v>40.049999999999997</v>
      </c>
      <c r="O164" s="963">
        <f t="shared" si="8"/>
        <v>32.856400000000001</v>
      </c>
      <c r="P164" s="963">
        <f t="shared" si="9"/>
        <v>35.8444</v>
      </c>
      <c r="R164" s="963">
        <f t="shared" si="10"/>
        <v>24.816000000000003</v>
      </c>
      <c r="S164" s="963">
        <f t="shared" si="11"/>
        <v>28.388000000000002</v>
      </c>
    </row>
    <row r="165" spans="1:19" s="980" customFormat="1" hidden="1" x14ac:dyDescent="0.25">
      <c r="A165" s="980" t="s">
        <v>744</v>
      </c>
      <c r="B165" s="980" t="s">
        <v>745</v>
      </c>
      <c r="C165" s="981" t="s">
        <v>1072</v>
      </c>
      <c r="D165" s="980" t="s">
        <v>1073</v>
      </c>
      <c r="E165" s="982">
        <v>27.47</v>
      </c>
      <c r="F165" s="983">
        <v>57140</v>
      </c>
      <c r="G165" s="984">
        <v>4.9000000000000004</v>
      </c>
      <c r="H165" s="982">
        <v>17.8</v>
      </c>
      <c r="I165" s="982">
        <v>18.61</v>
      </c>
      <c r="J165" s="982">
        <v>24.47</v>
      </c>
      <c r="K165" s="982">
        <v>33.659999999999997</v>
      </c>
      <c r="L165" s="982">
        <v>43.11</v>
      </c>
      <c r="O165" s="985">
        <f t="shared" si="8"/>
        <v>25.572800000000001</v>
      </c>
      <c r="P165" s="985">
        <f t="shared" si="9"/>
        <v>29.248799999999996</v>
      </c>
      <c r="R165" s="963">
        <f t="shared" si="10"/>
        <v>19.782</v>
      </c>
      <c r="S165" s="963">
        <f t="shared" si="11"/>
        <v>22.125999999999998</v>
      </c>
    </row>
    <row r="166" spans="1:19" s="980" customFormat="1" hidden="1" x14ac:dyDescent="0.25">
      <c r="A166" s="980" t="s">
        <v>744</v>
      </c>
      <c r="B166" s="980" t="s">
        <v>745</v>
      </c>
      <c r="C166" s="981" t="s">
        <v>1074</v>
      </c>
      <c r="D166" s="980" t="s">
        <v>1075</v>
      </c>
      <c r="E166" s="982">
        <v>28.23</v>
      </c>
      <c r="F166" s="983">
        <v>58720</v>
      </c>
      <c r="G166" s="984">
        <v>1.6</v>
      </c>
      <c r="H166" s="982">
        <v>19.18</v>
      </c>
      <c r="I166" s="982">
        <v>22.19</v>
      </c>
      <c r="J166" s="982">
        <v>26.4</v>
      </c>
      <c r="K166" s="982">
        <v>31.26</v>
      </c>
      <c r="L166" s="982">
        <v>38.86</v>
      </c>
      <c r="O166" s="985">
        <f t="shared" si="8"/>
        <v>26.9832</v>
      </c>
      <c r="P166" s="985">
        <f t="shared" si="9"/>
        <v>28.927199999999999</v>
      </c>
      <c r="R166" s="963">
        <f t="shared" si="10"/>
        <v>23.032</v>
      </c>
      <c r="S166" s="963">
        <f t="shared" si="11"/>
        <v>24.716000000000001</v>
      </c>
    </row>
    <row r="167" spans="1:19" s="986" customFormat="1" hidden="1" x14ac:dyDescent="0.25">
      <c r="A167" s="986" t="s">
        <v>744</v>
      </c>
      <c r="B167" s="986" t="s">
        <v>745</v>
      </c>
      <c r="C167" s="987" t="s">
        <v>1076</v>
      </c>
      <c r="D167" s="986" t="s">
        <v>1077</v>
      </c>
      <c r="E167" s="988">
        <v>31.82</v>
      </c>
      <c r="F167" s="989">
        <v>66180</v>
      </c>
      <c r="G167" s="990">
        <v>11.7</v>
      </c>
      <c r="H167" s="988">
        <v>18.670000000000002</v>
      </c>
      <c r="I167" s="988">
        <v>22.07</v>
      </c>
      <c r="J167" s="988">
        <v>30.52</v>
      </c>
      <c r="K167" s="988">
        <v>35.909999999999997</v>
      </c>
      <c r="L167" s="988">
        <v>39.97</v>
      </c>
      <c r="O167" s="991">
        <f t="shared" si="8"/>
        <v>31.166799999999999</v>
      </c>
      <c r="P167" s="991">
        <f t="shared" si="9"/>
        <v>33.322800000000001</v>
      </c>
      <c r="R167" s="963">
        <f t="shared" si="10"/>
        <v>23.76</v>
      </c>
      <c r="S167" s="963">
        <f t="shared" si="11"/>
        <v>27.14</v>
      </c>
    </row>
    <row r="168" spans="1:19" s="986" customFormat="1" hidden="1" x14ac:dyDescent="0.25">
      <c r="A168" s="986" t="s">
        <v>744</v>
      </c>
      <c r="B168" s="986" t="s">
        <v>745</v>
      </c>
      <c r="C168" s="987" t="s">
        <v>1078</v>
      </c>
      <c r="D168" s="974" t="s">
        <v>1079</v>
      </c>
      <c r="E168" s="988">
        <v>31.13</v>
      </c>
      <c r="F168" s="989">
        <v>64750</v>
      </c>
      <c r="G168" s="990">
        <v>1.4</v>
      </c>
      <c r="H168" s="988">
        <v>19.059999999999999</v>
      </c>
      <c r="I168" s="988">
        <v>23.65</v>
      </c>
      <c r="J168" s="988">
        <v>29.79</v>
      </c>
      <c r="K168" s="988">
        <v>38.15</v>
      </c>
      <c r="L168" s="988">
        <v>44.02</v>
      </c>
      <c r="O168" s="991">
        <f t="shared" si="8"/>
        <v>30.793199999999999</v>
      </c>
      <c r="P168" s="991">
        <f t="shared" si="9"/>
        <v>34.1372</v>
      </c>
      <c r="R168" s="963">
        <f t="shared" si="10"/>
        <v>24.878</v>
      </c>
      <c r="S168" s="963">
        <f t="shared" si="11"/>
        <v>27.334</v>
      </c>
    </row>
    <row r="169" spans="1:19" s="986" customFormat="1" hidden="1" x14ac:dyDescent="0.25">
      <c r="A169" s="986" t="s">
        <v>744</v>
      </c>
      <c r="B169" s="986" t="s">
        <v>745</v>
      </c>
      <c r="C169" s="987" t="s">
        <v>1080</v>
      </c>
      <c r="D169" s="974" t="s">
        <v>1081</v>
      </c>
      <c r="E169" s="988">
        <v>33.54</v>
      </c>
      <c r="F169" s="989">
        <v>69770</v>
      </c>
      <c r="G169" s="990">
        <v>1.4</v>
      </c>
      <c r="H169" s="988">
        <v>23.05</v>
      </c>
      <c r="I169" s="988">
        <v>26.21</v>
      </c>
      <c r="J169" s="988">
        <v>31.18</v>
      </c>
      <c r="K169" s="988">
        <v>39.36</v>
      </c>
      <c r="L169" s="988">
        <v>46.53</v>
      </c>
      <c r="O169" s="991">
        <f t="shared" si="8"/>
        <v>32.1616</v>
      </c>
      <c r="P169" s="991">
        <f t="shared" si="9"/>
        <v>35.433599999999998</v>
      </c>
      <c r="R169" s="963">
        <f t="shared" si="10"/>
        <v>27.204000000000001</v>
      </c>
      <c r="S169" s="963">
        <f t="shared" si="11"/>
        <v>29.192</v>
      </c>
    </row>
    <row r="170" spans="1:19" s="980" customFormat="1" hidden="1" x14ac:dyDescent="0.25">
      <c r="A170" s="980" t="s">
        <v>744</v>
      </c>
      <c r="B170" s="980" t="s">
        <v>745</v>
      </c>
      <c r="C170" s="981" t="s">
        <v>1082</v>
      </c>
      <c r="D170" s="980" t="s">
        <v>1083</v>
      </c>
      <c r="E170" s="982">
        <v>31.16</v>
      </c>
      <c r="F170" s="983">
        <v>64810</v>
      </c>
      <c r="G170" s="984">
        <v>2.4</v>
      </c>
      <c r="H170" s="982">
        <v>20</v>
      </c>
      <c r="I170" s="982">
        <v>23.42</v>
      </c>
      <c r="J170" s="982">
        <v>29.69</v>
      </c>
      <c r="K170" s="982">
        <v>36.700000000000003</v>
      </c>
      <c r="L170" s="982">
        <v>46.19</v>
      </c>
      <c r="O170" s="985">
        <f t="shared" si="8"/>
        <v>30.531200000000002</v>
      </c>
      <c r="P170" s="985">
        <f t="shared" si="9"/>
        <v>33.3352</v>
      </c>
      <c r="R170" s="963">
        <f t="shared" si="10"/>
        <v>24.674000000000003</v>
      </c>
      <c r="S170" s="963">
        <f t="shared" si="11"/>
        <v>27.182000000000002</v>
      </c>
    </row>
    <row r="171" spans="1:19" s="986" customFormat="1" hidden="1" x14ac:dyDescent="0.25">
      <c r="A171" s="986" t="s">
        <v>744</v>
      </c>
      <c r="B171" s="986" t="s">
        <v>745</v>
      </c>
      <c r="C171" s="987" t="s">
        <v>1084</v>
      </c>
      <c r="D171" s="986" t="s">
        <v>1085</v>
      </c>
      <c r="E171" s="988">
        <v>39.200000000000003</v>
      </c>
      <c r="F171" s="989">
        <v>81530</v>
      </c>
      <c r="G171" s="990">
        <v>4.3</v>
      </c>
      <c r="H171" s="988">
        <v>23.56</v>
      </c>
      <c r="I171" s="988">
        <v>30.15</v>
      </c>
      <c r="J171" s="988">
        <v>39.86</v>
      </c>
      <c r="K171" s="988">
        <v>48.53</v>
      </c>
      <c r="L171" s="988">
        <v>52.26</v>
      </c>
      <c r="O171" s="991">
        <f t="shared" si="8"/>
        <v>40.900399999999998</v>
      </c>
      <c r="P171" s="991">
        <f t="shared" si="9"/>
        <v>44.368400000000001</v>
      </c>
      <c r="R171" s="963">
        <f t="shared" si="10"/>
        <v>32.091999999999999</v>
      </c>
      <c r="S171" s="963">
        <f t="shared" si="11"/>
        <v>35.975999999999999</v>
      </c>
    </row>
    <row r="172" spans="1:19" hidden="1" x14ac:dyDescent="0.25">
      <c r="A172" t="s">
        <v>744</v>
      </c>
      <c r="B172" t="s">
        <v>745</v>
      </c>
      <c r="C172" s="24" t="s">
        <v>1086</v>
      </c>
      <c r="D172" t="s">
        <v>1087</v>
      </c>
      <c r="E172" s="965">
        <v>36.92</v>
      </c>
      <c r="F172" s="966">
        <v>76790</v>
      </c>
      <c r="G172" s="967">
        <v>3.3</v>
      </c>
      <c r="H172" s="965">
        <v>20.6</v>
      </c>
      <c r="I172" s="965">
        <v>25.15</v>
      </c>
      <c r="J172" s="965">
        <v>32.65</v>
      </c>
      <c r="K172" s="965">
        <v>46.14</v>
      </c>
      <c r="L172" s="965">
        <v>54.24</v>
      </c>
      <c r="O172" s="963">
        <f t="shared" si="8"/>
        <v>34.268799999999999</v>
      </c>
      <c r="P172" s="963">
        <f t="shared" si="9"/>
        <v>39.6648</v>
      </c>
      <c r="R172" s="963">
        <f t="shared" si="10"/>
        <v>26.65</v>
      </c>
      <c r="S172" s="963">
        <f t="shared" si="11"/>
        <v>29.65</v>
      </c>
    </row>
    <row r="173" spans="1:19" hidden="1" x14ac:dyDescent="0.25">
      <c r="A173" t="s">
        <v>744</v>
      </c>
      <c r="B173" t="s">
        <v>745</v>
      </c>
      <c r="C173" s="24" t="s">
        <v>1088</v>
      </c>
      <c r="D173" t="s">
        <v>1089</v>
      </c>
      <c r="E173" s="965">
        <v>39.76</v>
      </c>
      <c r="F173" s="966">
        <v>82700</v>
      </c>
      <c r="G173" s="967">
        <v>0.2</v>
      </c>
      <c r="H173" s="965">
        <v>27.41</v>
      </c>
      <c r="I173" s="965">
        <v>33.57</v>
      </c>
      <c r="J173" s="965">
        <v>42.36</v>
      </c>
      <c r="K173" s="965">
        <v>46.49</v>
      </c>
      <c r="L173" s="965">
        <v>47.43</v>
      </c>
      <c r="O173" s="963">
        <f t="shared" si="8"/>
        <v>42.855600000000003</v>
      </c>
      <c r="P173" s="963">
        <f t="shared" si="9"/>
        <v>44.507600000000004</v>
      </c>
      <c r="R173" s="963">
        <f t="shared" si="10"/>
        <v>35.328000000000003</v>
      </c>
      <c r="S173" s="963">
        <f t="shared" si="11"/>
        <v>38.844000000000001</v>
      </c>
    </row>
    <row r="174" spans="1:19" s="980" customFormat="1" hidden="1" x14ac:dyDescent="0.25">
      <c r="A174" s="980" t="s">
        <v>744</v>
      </c>
      <c r="B174" s="980" t="s">
        <v>745</v>
      </c>
      <c r="C174" s="981" t="s">
        <v>1090</v>
      </c>
      <c r="D174" s="980" t="s">
        <v>1091</v>
      </c>
      <c r="E174" s="982">
        <v>23.3</v>
      </c>
      <c r="F174" s="983">
        <v>48460</v>
      </c>
      <c r="G174" s="984">
        <v>0.6</v>
      </c>
      <c r="H174" s="982">
        <v>15.62</v>
      </c>
      <c r="I174" s="982">
        <v>17.86</v>
      </c>
      <c r="J174" s="982">
        <v>21.25</v>
      </c>
      <c r="K174" s="982">
        <v>27.67</v>
      </c>
      <c r="L174" s="982">
        <v>35.270000000000003</v>
      </c>
      <c r="O174" s="963">
        <f t="shared" si="8"/>
        <v>22.020400000000002</v>
      </c>
      <c r="P174" s="963">
        <f t="shared" si="9"/>
        <v>24.5884</v>
      </c>
      <c r="R174" s="963">
        <f t="shared" si="10"/>
        <v>18.538</v>
      </c>
      <c r="S174" s="963">
        <f t="shared" si="11"/>
        <v>19.893999999999998</v>
      </c>
    </row>
    <row r="175" spans="1:19" s="980" customFormat="1" hidden="1" x14ac:dyDescent="0.25">
      <c r="A175" s="980" t="s">
        <v>744</v>
      </c>
      <c r="B175" s="980" t="s">
        <v>745</v>
      </c>
      <c r="C175" s="981" t="s">
        <v>1092</v>
      </c>
      <c r="D175" s="980" t="s">
        <v>1093</v>
      </c>
      <c r="E175" s="982">
        <v>26.49</v>
      </c>
      <c r="F175" s="983">
        <v>55090</v>
      </c>
      <c r="G175" s="984">
        <v>1.3</v>
      </c>
      <c r="H175" s="982">
        <v>18.48</v>
      </c>
      <c r="I175" s="982">
        <v>20.55</v>
      </c>
      <c r="J175" s="982">
        <v>24.18</v>
      </c>
      <c r="K175" s="982">
        <v>30.4</v>
      </c>
      <c r="L175" s="982">
        <v>37.659999999999997</v>
      </c>
      <c r="O175" s="985">
        <f t="shared" si="8"/>
        <v>24.926400000000001</v>
      </c>
      <c r="P175" s="985">
        <f t="shared" si="9"/>
        <v>27.414400000000001</v>
      </c>
      <c r="R175" s="963">
        <f t="shared" si="10"/>
        <v>21.276</v>
      </c>
      <c r="S175" s="963">
        <f t="shared" si="11"/>
        <v>22.728000000000002</v>
      </c>
    </row>
    <row r="176" spans="1:19" hidden="1" x14ac:dyDescent="0.25">
      <c r="A176" t="s">
        <v>744</v>
      </c>
      <c r="B176" t="s">
        <v>745</v>
      </c>
      <c r="C176" s="24" t="s">
        <v>1094</v>
      </c>
      <c r="D176" t="s">
        <v>1095</v>
      </c>
      <c r="E176" s="965">
        <v>27.6</v>
      </c>
      <c r="F176" s="966">
        <v>57410</v>
      </c>
      <c r="G176" s="967">
        <v>2.2000000000000002</v>
      </c>
      <c r="H176" s="965">
        <v>17.46</v>
      </c>
      <c r="I176" s="965">
        <v>20.5</v>
      </c>
      <c r="J176" s="965">
        <v>25.24</v>
      </c>
      <c r="K176" s="965">
        <v>31.72</v>
      </c>
      <c r="L176" s="965">
        <v>40.21</v>
      </c>
      <c r="O176" s="963">
        <f t="shared" si="8"/>
        <v>26.017599999999998</v>
      </c>
      <c r="P176" s="963">
        <f t="shared" si="9"/>
        <v>28.6096</v>
      </c>
      <c r="R176" s="963">
        <f t="shared" si="10"/>
        <v>21.448</v>
      </c>
      <c r="S176" s="963">
        <f t="shared" si="11"/>
        <v>23.344000000000001</v>
      </c>
    </row>
    <row r="177" spans="1:19" hidden="1" x14ac:dyDescent="0.25">
      <c r="A177" t="s">
        <v>744</v>
      </c>
      <c r="B177" t="s">
        <v>745</v>
      </c>
      <c r="C177" s="24" t="s">
        <v>1096</v>
      </c>
      <c r="D177" t="s">
        <v>1097</v>
      </c>
      <c r="E177" s="965">
        <v>32.51</v>
      </c>
      <c r="F177" s="966">
        <v>67620</v>
      </c>
      <c r="G177" s="967">
        <v>2.9</v>
      </c>
      <c r="H177" s="965">
        <v>20.82</v>
      </c>
      <c r="I177" s="965">
        <v>28.1</v>
      </c>
      <c r="J177" s="965">
        <v>32.729999999999997</v>
      </c>
      <c r="K177" s="965">
        <v>38.049999999999997</v>
      </c>
      <c r="L177" s="965">
        <v>41.86</v>
      </c>
      <c r="O177" s="963">
        <f t="shared" si="8"/>
        <v>33.368399999999994</v>
      </c>
      <c r="P177" s="963">
        <f t="shared" si="9"/>
        <v>35.496399999999994</v>
      </c>
      <c r="R177" s="963">
        <f t="shared" si="10"/>
        <v>29.026</v>
      </c>
      <c r="S177" s="963">
        <f t="shared" si="11"/>
        <v>30.878</v>
      </c>
    </row>
    <row r="178" spans="1:19" hidden="1" x14ac:dyDescent="0.25">
      <c r="A178" t="s">
        <v>744</v>
      </c>
      <c r="B178" t="s">
        <v>745</v>
      </c>
      <c r="C178" s="24" t="s">
        <v>1098</v>
      </c>
      <c r="D178" t="s">
        <v>1099</v>
      </c>
      <c r="E178" s="965">
        <v>22.39</v>
      </c>
      <c r="F178" s="966">
        <v>46570</v>
      </c>
      <c r="G178" s="967">
        <v>6.8</v>
      </c>
      <c r="H178" s="965">
        <v>17.21</v>
      </c>
      <c r="I178" s="965">
        <v>18.059999999999999</v>
      </c>
      <c r="J178" s="965">
        <v>19.100000000000001</v>
      </c>
      <c r="K178" s="965">
        <v>26.88</v>
      </c>
      <c r="L178" s="965">
        <v>26.99</v>
      </c>
      <c r="O178" s="963">
        <f t="shared" si="8"/>
        <v>20.033600000000003</v>
      </c>
      <c r="P178" s="963">
        <f t="shared" si="9"/>
        <v>23.145600000000002</v>
      </c>
      <c r="R178" s="963">
        <f t="shared" si="10"/>
        <v>18.268000000000001</v>
      </c>
      <c r="S178" s="963">
        <f t="shared" si="11"/>
        <v>18.684000000000001</v>
      </c>
    </row>
    <row r="179" spans="1:19" hidden="1" x14ac:dyDescent="0.25">
      <c r="A179" t="s">
        <v>744</v>
      </c>
      <c r="B179" t="s">
        <v>745</v>
      </c>
      <c r="C179" s="24" t="s">
        <v>1100</v>
      </c>
      <c r="D179" t="s">
        <v>1101</v>
      </c>
      <c r="E179" s="965">
        <v>74.89</v>
      </c>
      <c r="F179" s="966">
        <v>155780</v>
      </c>
      <c r="G179" s="967">
        <v>4.3</v>
      </c>
      <c r="H179" s="965">
        <v>28.33</v>
      </c>
      <c r="I179" s="965">
        <v>36.57</v>
      </c>
      <c r="J179" s="965">
        <v>54.13</v>
      </c>
      <c r="K179" s="965">
        <v>99.68</v>
      </c>
      <c r="L179" s="965" t="s">
        <v>748</v>
      </c>
      <c r="O179" s="963">
        <f t="shared" si="8"/>
        <v>46.930399999999999</v>
      </c>
      <c r="P179" s="963">
        <f t="shared" si="9"/>
        <v>52.198400000000007</v>
      </c>
      <c r="R179" s="963">
        <f t="shared" si="10"/>
        <v>35.746000000000002</v>
      </c>
      <c r="S179" s="963">
        <f t="shared" si="11"/>
        <v>40.082000000000001</v>
      </c>
    </row>
    <row r="180" spans="1:19" hidden="1" x14ac:dyDescent="0.25">
      <c r="A180" t="s">
        <v>744</v>
      </c>
      <c r="B180" t="s">
        <v>745</v>
      </c>
      <c r="C180" s="24" t="s">
        <v>1102</v>
      </c>
      <c r="D180" t="s">
        <v>1103</v>
      </c>
      <c r="E180" s="965">
        <v>90.85</v>
      </c>
      <c r="F180" s="966">
        <v>188960</v>
      </c>
      <c r="G180" s="967">
        <v>5.4</v>
      </c>
      <c r="H180" s="965">
        <v>36.57</v>
      </c>
      <c r="I180" s="965">
        <v>48.65</v>
      </c>
      <c r="J180" s="965">
        <v>71.33</v>
      </c>
      <c r="K180" s="965">
        <v>109.68</v>
      </c>
      <c r="L180" s="965" t="s">
        <v>748</v>
      </c>
      <c r="O180" s="963">
        <f t="shared" si="8"/>
        <v>62.031199999999998</v>
      </c>
      <c r="P180" s="963">
        <f t="shared" si="9"/>
        <v>68.8352</v>
      </c>
      <c r="R180" s="963">
        <f t="shared" si="10"/>
        <v>47.442</v>
      </c>
      <c r="S180" s="963">
        <f t="shared" si="11"/>
        <v>53.186</v>
      </c>
    </row>
    <row r="181" spans="1:19" hidden="1" x14ac:dyDescent="0.25">
      <c r="A181" t="s">
        <v>744</v>
      </c>
      <c r="B181" t="s">
        <v>745</v>
      </c>
      <c r="C181" s="24" t="s">
        <v>1104</v>
      </c>
      <c r="D181" t="s">
        <v>1105</v>
      </c>
      <c r="E181" s="965">
        <v>40.19</v>
      </c>
      <c r="F181" s="966">
        <v>83590</v>
      </c>
      <c r="G181" s="967">
        <v>0.2</v>
      </c>
      <c r="H181" s="965">
        <v>19.940000000000001</v>
      </c>
      <c r="I181" s="965">
        <v>20.149999999999999</v>
      </c>
      <c r="J181" s="965">
        <v>28.49</v>
      </c>
      <c r="K181" s="965">
        <v>64.61</v>
      </c>
      <c r="L181" s="965">
        <v>64.61</v>
      </c>
      <c r="O181" s="963">
        <f t="shared" si="8"/>
        <v>32.824400000000004</v>
      </c>
      <c r="P181" s="963">
        <f t="shared" si="9"/>
        <v>47.272400000000005</v>
      </c>
      <c r="R181" s="963">
        <f t="shared" si="10"/>
        <v>21.818000000000001</v>
      </c>
      <c r="S181" s="963">
        <f t="shared" si="11"/>
        <v>25.154</v>
      </c>
    </row>
    <row r="182" spans="1:19" hidden="1" x14ac:dyDescent="0.25">
      <c r="A182" t="s">
        <v>744</v>
      </c>
      <c r="B182" t="s">
        <v>745</v>
      </c>
      <c r="C182" s="24" t="s">
        <v>1106</v>
      </c>
      <c r="D182" t="s">
        <v>1107</v>
      </c>
      <c r="E182" s="965">
        <v>63.63</v>
      </c>
      <c r="F182" s="966">
        <v>132350</v>
      </c>
      <c r="G182" s="967">
        <v>0.4</v>
      </c>
      <c r="H182" s="965">
        <v>34.11</v>
      </c>
      <c r="I182" s="965">
        <v>47.49</v>
      </c>
      <c r="J182" s="965">
        <v>60.36</v>
      </c>
      <c r="K182" s="965">
        <v>88.22</v>
      </c>
      <c r="L182" s="965">
        <v>93.75</v>
      </c>
      <c r="O182" s="963">
        <f t="shared" si="8"/>
        <v>63.703200000000002</v>
      </c>
      <c r="P182" s="963">
        <f t="shared" si="9"/>
        <v>74.847200000000001</v>
      </c>
      <c r="R182" s="963">
        <f t="shared" si="10"/>
        <v>50.064000000000007</v>
      </c>
      <c r="S182" s="963">
        <f t="shared" si="11"/>
        <v>55.212000000000003</v>
      </c>
    </row>
    <row r="183" spans="1:19" hidden="1" x14ac:dyDescent="0.25">
      <c r="A183" t="s">
        <v>744</v>
      </c>
      <c r="B183" t="s">
        <v>745</v>
      </c>
      <c r="C183" s="24" t="s">
        <v>1108</v>
      </c>
      <c r="D183" t="s">
        <v>1109</v>
      </c>
      <c r="E183" s="965">
        <v>91.99</v>
      </c>
      <c r="F183" s="966">
        <v>191330</v>
      </c>
      <c r="G183" s="967">
        <v>0.3</v>
      </c>
      <c r="H183" s="965">
        <v>70.06</v>
      </c>
      <c r="I183" s="965">
        <v>83.9</v>
      </c>
      <c r="J183" s="965">
        <v>99.93</v>
      </c>
      <c r="K183" s="965">
        <v>99.93</v>
      </c>
      <c r="L183" s="965">
        <v>99.93</v>
      </c>
      <c r="O183" s="963">
        <f t="shared" si="8"/>
        <v>99.93</v>
      </c>
      <c r="P183" s="963">
        <f t="shared" si="9"/>
        <v>99.93</v>
      </c>
      <c r="R183" s="963">
        <f t="shared" si="10"/>
        <v>87.106000000000009</v>
      </c>
      <c r="S183" s="963">
        <f t="shared" si="11"/>
        <v>93.518000000000001</v>
      </c>
    </row>
    <row r="184" spans="1:19" hidden="1" x14ac:dyDescent="0.25">
      <c r="A184" t="s">
        <v>744</v>
      </c>
      <c r="B184" t="s">
        <v>745</v>
      </c>
      <c r="C184" s="24" t="s">
        <v>1110</v>
      </c>
      <c r="D184" t="s">
        <v>1111</v>
      </c>
      <c r="E184" s="965">
        <v>35.92</v>
      </c>
      <c r="F184" s="966">
        <v>74710</v>
      </c>
      <c r="G184" s="967">
        <v>2.2999999999999998</v>
      </c>
      <c r="H184" s="965">
        <v>22.93</v>
      </c>
      <c r="I184" s="965">
        <v>28.04</v>
      </c>
      <c r="J184" s="965">
        <v>33.93</v>
      </c>
      <c r="K184" s="965">
        <v>44.08</v>
      </c>
      <c r="L184" s="965">
        <v>49.29</v>
      </c>
      <c r="O184" s="963">
        <f t="shared" si="8"/>
        <v>35.148000000000003</v>
      </c>
      <c r="P184" s="963">
        <f t="shared" si="9"/>
        <v>39.207999999999998</v>
      </c>
      <c r="R184" s="963">
        <f t="shared" si="10"/>
        <v>29.218</v>
      </c>
      <c r="S184" s="963">
        <f t="shared" si="11"/>
        <v>31.573999999999998</v>
      </c>
    </row>
    <row r="185" spans="1:19" hidden="1" x14ac:dyDescent="0.25">
      <c r="A185" t="s">
        <v>744</v>
      </c>
      <c r="B185" t="s">
        <v>745</v>
      </c>
      <c r="C185" s="24" t="s">
        <v>1112</v>
      </c>
      <c r="D185" t="s">
        <v>1113</v>
      </c>
      <c r="E185" s="965">
        <v>34.299999999999997</v>
      </c>
      <c r="F185" s="966">
        <v>71350</v>
      </c>
      <c r="G185" s="967">
        <v>12.5</v>
      </c>
      <c r="H185" s="965">
        <v>20.97</v>
      </c>
      <c r="I185" s="965">
        <v>27.8</v>
      </c>
      <c r="J185" s="965">
        <v>28.36</v>
      </c>
      <c r="K185" s="965">
        <v>40.24</v>
      </c>
      <c r="L185" s="965">
        <v>47.85</v>
      </c>
      <c r="O185" s="963">
        <f t="shared" si="8"/>
        <v>29.785600000000002</v>
      </c>
      <c r="P185" s="963">
        <f t="shared" si="9"/>
        <v>34.537599999999998</v>
      </c>
      <c r="R185" s="963">
        <f t="shared" si="10"/>
        <v>27.911999999999999</v>
      </c>
      <c r="S185" s="963">
        <f t="shared" si="11"/>
        <v>28.135999999999999</v>
      </c>
    </row>
    <row r="186" spans="1:19" hidden="1" x14ac:dyDescent="0.25">
      <c r="A186" t="s">
        <v>744</v>
      </c>
      <c r="B186" t="s">
        <v>745</v>
      </c>
      <c r="C186" s="24" t="s">
        <v>1114</v>
      </c>
      <c r="D186" t="s">
        <v>1115</v>
      </c>
      <c r="E186" s="965">
        <v>43.35</v>
      </c>
      <c r="F186" s="966">
        <v>90170</v>
      </c>
      <c r="G186" s="967">
        <v>5.8</v>
      </c>
      <c r="H186" s="965">
        <v>22.66</v>
      </c>
      <c r="I186" s="965">
        <v>25</v>
      </c>
      <c r="J186" s="965">
        <v>42.44</v>
      </c>
      <c r="K186" s="965">
        <v>57.43</v>
      </c>
      <c r="L186" s="965">
        <v>72.400000000000006</v>
      </c>
      <c r="O186" s="963">
        <f t="shared" si="8"/>
        <v>44.238799999999998</v>
      </c>
      <c r="P186" s="963">
        <f t="shared" si="9"/>
        <v>50.2348</v>
      </c>
      <c r="R186" s="963">
        <f t="shared" si="10"/>
        <v>28.488000000000003</v>
      </c>
      <c r="S186" s="963">
        <f t="shared" si="11"/>
        <v>35.463999999999999</v>
      </c>
    </row>
    <row r="187" spans="1:19" hidden="1" x14ac:dyDescent="0.25">
      <c r="A187" t="s">
        <v>744</v>
      </c>
      <c r="B187" t="s">
        <v>745</v>
      </c>
      <c r="C187" s="24" t="s">
        <v>1116</v>
      </c>
      <c r="D187" t="s">
        <v>1117</v>
      </c>
      <c r="E187" s="965">
        <v>38.479999999999997</v>
      </c>
      <c r="F187" s="966">
        <v>80050</v>
      </c>
      <c r="G187" s="967">
        <v>0.6</v>
      </c>
      <c r="H187" s="965">
        <v>18.100000000000001</v>
      </c>
      <c r="I187" s="965">
        <v>23.57</v>
      </c>
      <c r="J187" s="965">
        <v>34.840000000000003</v>
      </c>
      <c r="K187" s="965">
        <v>47.69</v>
      </c>
      <c r="L187" s="965">
        <v>61.86</v>
      </c>
      <c r="O187" s="963">
        <f t="shared" si="8"/>
        <v>36.382000000000005</v>
      </c>
      <c r="P187" s="963">
        <f t="shared" si="9"/>
        <v>41.521999999999998</v>
      </c>
      <c r="R187" s="963">
        <f t="shared" si="10"/>
        <v>25.824000000000002</v>
      </c>
      <c r="S187" s="963">
        <f t="shared" si="11"/>
        <v>30.332000000000004</v>
      </c>
    </row>
    <row r="188" spans="1:19" hidden="1" x14ac:dyDescent="0.25">
      <c r="A188" t="s">
        <v>744</v>
      </c>
      <c r="B188" t="s">
        <v>745</v>
      </c>
      <c r="C188" s="24" t="s">
        <v>1118</v>
      </c>
      <c r="D188" t="s">
        <v>1119</v>
      </c>
      <c r="E188" s="965" t="s">
        <v>719</v>
      </c>
      <c r="F188" s="966">
        <v>123590</v>
      </c>
      <c r="G188" s="967">
        <v>3.1</v>
      </c>
      <c r="H188" s="965" t="s">
        <v>719</v>
      </c>
      <c r="I188" s="965" t="s">
        <v>719</v>
      </c>
      <c r="J188" s="965" t="s">
        <v>719</v>
      </c>
      <c r="K188" s="965" t="s">
        <v>719</v>
      </c>
      <c r="L188" s="965" t="s">
        <v>719</v>
      </c>
      <c r="O188" s="963" t="e">
        <f t="shared" si="8"/>
        <v>#NUM!</v>
      </c>
      <c r="P188" s="963" t="e">
        <f t="shared" si="9"/>
        <v>#NUM!</v>
      </c>
      <c r="R188" s="963" t="e">
        <f t="shared" si="10"/>
        <v>#NUM!</v>
      </c>
      <c r="S188" s="963" t="e">
        <f t="shared" si="11"/>
        <v>#NUM!</v>
      </c>
    </row>
    <row r="189" spans="1:19" hidden="1" x14ac:dyDescent="0.25">
      <c r="A189" t="s">
        <v>744</v>
      </c>
      <c r="B189" t="s">
        <v>745</v>
      </c>
      <c r="C189" s="24" t="s">
        <v>1120</v>
      </c>
      <c r="D189" t="s">
        <v>1121</v>
      </c>
      <c r="E189" s="965" t="s">
        <v>719</v>
      </c>
      <c r="F189" s="966">
        <v>125000</v>
      </c>
      <c r="G189" s="967">
        <v>0.4</v>
      </c>
      <c r="H189" s="965" t="s">
        <v>719</v>
      </c>
      <c r="I189" s="965" t="s">
        <v>719</v>
      </c>
      <c r="J189" s="965" t="s">
        <v>719</v>
      </c>
      <c r="K189" s="965" t="s">
        <v>719</v>
      </c>
      <c r="L189" s="965" t="s">
        <v>719</v>
      </c>
      <c r="O189" s="963" t="e">
        <f t="shared" si="8"/>
        <v>#NUM!</v>
      </c>
      <c r="P189" s="963" t="e">
        <f t="shared" si="9"/>
        <v>#NUM!</v>
      </c>
      <c r="R189" s="963" t="e">
        <f t="shared" si="10"/>
        <v>#NUM!</v>
      </c>
      <c r="S189" s="963" t="e">
        <f t="shared" si="11"/>
        <v>#NUM!</v>
      </c>
    </row>
    <row r="190" spans="1:19" hidden="1" x14ac:dyDescent="0.25">
      <c r="A190" t="s">
        <v>744</v>
      </c>
      <c r="B190" t="s">
        <v>745</v>
      </c>
      <c r="C190" s="24" t="s">
        <v>1122</v>
      </c>
      <c r="D190" t="s">
        <v>1123</v>
      </c>
      <c r="E190" s="965" t="s">
        <v>719</v>
      </c>
      <c r="F190" s="966">
        <v>104890</v>
      </c>
      <c r="G190" s="967">
        <v>0.4</v>
      </c>
      <c r="H190" s="965" t="s">
        <v>719</v>
      </c>
      <c r="I190" s="965" t="s">
        <v>719</v>
      </c>
      <c r="J190" s="965" t="s">
        <v>719</v>
      </c>
      <c r="K190" s="965" t="s">
        <v>719</v>
      </c>
      <c r="L190" s="965" t="s">
        <v>719</v>
      </c>
      <c r="O190" s="963" t="e">
        <f t="shared" si="8"/>
        <v>#NUM!</v>
      </c>
      <c r="P190" s="963" t="e">
        <f t="shared" si="9"/>
        <v>#NUM!</v>
      </c>
      <c r="R190" s="963" t="e">
        <f t="shared" si="10"/>
        <v>#NUM!</v>
      </c>
      <c r="S190" s="963" t="e">
        <f t="shared" si="11"/>
        <v>#NUM!</v>
      </c>
    </row>
    <row r="191" spans="1:19" hidden="1" x14ac:dyDescent="0.25">
      <c r="A191" t="s">
        <v>744</v>
      </c>
      <c r="B191" t="s">
        <v>745</v>
      </c>
      <c r="C191" s="24" t="s">
        <v>1124</v>
      </c>
      <c r="D191" t="s">
        <v>1125</v>
      </c>
      <c r="E191" s="965" t="s">
        <v>719</v>
      </c>
      <c r="F191" s="966">
        <v>104840</v>
      </c>
      <c r="G191" s="967">
        <v>1.6</v>
      </c>
      <c r="H191" s="965" t="s">
        <v>719</v>
      </c>
      <c r="I191" s="965" t="s">
        <v>719</v>
      </c>
      <c r="J191" s="965" t="s">
        <v>719</v>
      </c>
      <c r="K191" s="965" t="s">
        <v>719</v>
      </c>
      <c r="L191" s="965" t="s">
        <v>719</v>
      </c>
      <c r="O191" s="963" t="e">
        <f t="shared" si="8"/>
        <v>#NUM!</v>
      </c>
      <c r="P191" s="963" t="e">
        <f t="shared" si="9"/>
        <v>#NUM!</v>
      </c>
      <c r="R191" s="963" t="e">
        <f t="shared" si="10"/>
        <v>#NUM!</v>
      </c>
      <c r="S191" s="963" t="e">
        <f t="shared" si="11"/>
        <v>#NUM!</v>
      </c>
    </row>
    <row r="192" spans="1:19" hidden="1" x14ac:dyDescent="0.25">
      <c r="A192" t="s">
        <v>744</v>
      </c>
      <c r="B192" t="s">
        <v>745</v>
      </c>
      <c r="C192" s="24" t="s">
        <v>1126</v>
      </c>
      <c r="D192" t="s">
        <v>1127</v>
      </c>
      <c r="E192" s="965" t="s">
        <v>719</v>
      </c>
      <c r="F192" s="966">
        <v>128850</v>
      </c>
      <c r="G192" s="967">
        <v>0.3</v>
      </c>
      <c r="H192" s="965" t="s">
        <v>719</v>
      </c>
      <c r="I192" s="965" t="s">
        <v>719</v>
      </c>
      <c r="J192" s="965" t="s">
        <v>719</v>
      </c>
      <c r="K192" s="965" t="s">
        <v>719</v>
      </c>
      <c r="L192" s="965" t="s">
        <v>719</v>
      </c>
      <c r="O192" s="963" t="e">
        <f t="shared" si="8"/>
        <v>#NUM!</v>
      </c>
      <c r="P192" s="963" t="e">
        <f t="shared" si="9"/>
        <v>#NUM!</v>
      </c>
      <c r="R192" s="963" t="e">
        <f t="shared" si="10"/>
        <v>#NUM!</v>
      </c>
      <c r="S192" s="963" t="e">
        <f t="shared" si="11"/>
        <v>#NUM!</v>
      </c>
    </row>
    <row r="193" spans="1:19" hidden="1" x14ac:dyDescent="0.25">
      <c r="A193" t="s">
        <v>744</v>
      </c>
      <c r="B193" t="s">
        <v>745</v>
      </c>
      <c r="C193" s="24" t="s">
        <v>1128</v>
      </c>
      <c r="D193" t="s">
        <v>1129</v>
      </c>
      <c r="E193" s="965" t="s">
        <v>719</v>
      </c>
      <c r="F193" s="966">
        <v>85950</v>
      </c>
      <c r="G193" s="967">
        <v>2.4</v>
      </c>
      <c r="H193" s="965" t="s">
        <v>719</v>
      </c>
      <c r="I193" s="965" t="s">
        <v>719</v>
      </c>
      <c r="J193" s="965" t="s">
        <v>719</v>
      </c>
      <c r="K193" s="965" t="s">
        <v>719</v>
      </c>
      <c r="L193" s="965" t="s">
        <v>719</v>
      </c>
      <c r="O193" s="963" t="e">
        <f t="shared" si="8"/>
        <v>#NUM!</v>
      </c>
      <c r="P193" s="963" t="e">
        <f t="shared" si="9"/>
        <v>#NUM!</v>
      </c>
      <c r="R193" s="963" t="e">
        <f t="shared" si="10"/>
        <v>#NUM!</v>
      </c>
      <c r="S193" s="963" t="e">
        <f t="shared" si="11"/>
        <v>#NUM!</v>
      </c>
    </row>
    <row r="194" spans="1:19" hidden="1" x14ac:dyDescent="0.25">
      <c r="A194" t="s">
        <v>744</v>
      </c>
      <c r="B194" t="s">
        <v>745</v>
      </c>
      <c r="C194" s="24" t="s">
        <v>1130</v>
      </c>
      <c r="D194" t="s">
        <v>1131</v>
      </c>
      <c r="E194" s="965" t="s">
        <v>719</v>
      </c>
      <c r="F194" s="966">
        <v>105870</v>
      </c>
      <c r="G194" s="967">
        <v>2.5</v>
      </c>
      <c r="H194" s="965" t="s">
        <v>719</v>
      </c>
      <c r="I194" s="965" t="s">
        <v>719</v>
      </c>
      <c r="J194" s="965" t="s">
        <v>719</v>
      </c>
      <c r="K194" s="965" t="s">
        <v>719</v>
      </c>
      <c r="L194" s="965" t="s">
        <v>719</v>
      </c>
      <c r="O194" s="963" t="e">
        <f t="shared" ref="O194:O257" si="12">_xlfn.PERCENTILE.INC((H194:L194),$W$1)</f>
        <v>#NUM!</v>
      </c>
      <c r="P194" s="963" t="e">
        <f t="shared" ref="P194:P257" si="13">_xlfn.PERCENTILE.INC((H194:L194),$X$1)</f>
        <v>#NUM!</v>
      </c>
      <c r="R194" s="963" t="e">
        <f t="shared" si="10"/>
        <v>#NUM!</v>
      </c>
      <c r="S194" s="963" t="e">
        <f t="shared" si="11"/>
        <v>#NUM!</v>
      </c>
    </row>
    <row r="195" spans="1:19" hidden="1" x14ac:dyDescent="0.25">
      <c r="A195" t="s">
        <v>744</v>
      </c>
      <c r="B195" t="s">
        <v>745</v>
      </c>
      <c r="C195" s="24" t="s">
        <v>1132</v>
      </c>
      <c r="D195" t="s">
        <v>1133</v>
      </c>
      <c r="E195" s="965" t="s">
        <v>719</v>
      </c>
      <c r="F195" s="966">
        <v>129460</v>
      </c>
      <c r="G195" s="967">
        <v>0.6</v>
      </c>
      <c r="H195" s="965" t="s">
        <v>719</v>
      </c>
      <c r="I195" s="965" t="s">
        <v>719</v>
      </c>
      <c r="J195" s="965" t="s">
        <v>719</v>
      </c>
      <c r="K195" s="965" t="s">
        <v>719</v>
      </c>
      <c r="L195" s="965" t="s">
        <v>719</v>
      </c>
      <c r="O195" s="963" t="e">
        <f t="shared" si="12"/>
        <v>#NUM!</v>
      </c>
      <c r="P195" s="963" t="e">
        <f t="shared" si="13"/>
        <v>#NUM!</v>
      </c>
      <c r="R195" s="963" t="e">
        <f t="shared" ref="R195:R258" si="14">_xlfn.PERCENTILE.INC((H195:L195),$Y$1)</f>
        <v>#NUM!</v>
      </c>
      <c r="S195" s="963" t="e">
        <f t="shared" ref="S195:S258" si="15">_xlfn.PERCENTILE.INC((H195:L195),$Z$1)</f>
        <v>#NUM!</v>
      </c>
    </row>
    <row r="196" spans="1:19" hidden="1" x14ac:dyDescent="0.25">
      <c r="A196" t="s">
        <v>744</v>
      </c>
      <c r="B196" t="s">
        <v>745</v>
      </c>
      <c r="C196" s="24" t="s">
        <v>1134</v>
      </c>
      <c r="D196" t="s">
        <v>1135</v>
      </c>
      <c r="E196" s="965" t="s">
        <v>719</v>
      </c>
      <c r="F196" s="966">
        <v>114630</v>
      </c>
      <c r="G196" s="967">
        <v>0.6</v>
      </c>
      <c r="H196" s="965" t="s">
        <v>719</v>
      </c>
      <c r="I196" s="965" t="s">
        <v>719</v>
      </c>
      <c r="J196" s="965" t="s">
        <v>719</v>
      </c>
      <c r="K196" s="965" t="s">
        <v>719</v>
      </c>
      <c r="L196" s="965" t="s">
        <v>719</v>
      </c>
      <c r="O196" s="963" t="e">
        <f t="shared" si="12"/>
        <v>#NUM!</v>
      </c>
      <c r="P196" s="963" t="e">
        <f t="shared" si="13"/>
        <v>#NUM!</v>
      </c>
      <c r="R196" s="963" t="e">
        <f t="shared" si="14"/>
        <v>#NUM!</v>
      </c>
      <c r="S196" s="963" t="e">
        <f t="shared" si="15"/>
        <v>#NUM!</v>
      </c>
    </row>
    <row r="197" spans="1:19" hidden="1" x14ac:dyDescent="0.25">
      <c r="A197" t="s">
        <v>744</v>
      </c>
      <c r="B197" t="s">
        <v>745</v>
      </c>
      <c r="C197" s="24" t="s">
        <v>1136</v>
      </c>
      <c r="D197" t="s">
        <v>1137</v>
      </c>
      <c r="E197" s="965" t="s">
        <v>719</v>
      </c>
      <c r="F197" s="966">
        <v>102770</v>
      </c>
      <c r="G197" s="967">
        <v>0.6</v>
      </c>
      <c r="H197" s="965" t="s">
        <v>719</v>
      </c>
      <c r="I197" s="965" t="s">
        <v>719</v>
      </c>
      <c r="J197" s="965" t="s">
        <v>719</v>
      </c>
      <c r="K197" s="965" t="s">
        <v>719</v>
      </c>
      <c r="L197" s="965" t="s">
        <v>719</v>
      </c>
      <c r="O197" s="963" t="e">
        <f t="shared" si="12"/>
        <v>#NUM!</v>
      </c>
      <c r="P197" s="963" t="e">
        <f t="shared" si="13"/>
        <v>#NUM!</v>
      </c>
      <c r="R197" s="963" t="e">
        <f t="shared" si="14"/>
        <v>#NUM!</v>
      </c>
      <c r="S197" s="963" t="e">
        <f t="shared" si="15"/>
        <v>#NUM!</v>
      </c>
    </row>
    <row r="198" spans="1:19" hidden="1" x14ac:dyDescent="0.25">
      <c r="A198" t="s">
        <v>744</v>
      </c>
      <c r="B198" t="s">
        <v>745</v>
      </c>
      <c r="C198" s="24" t="s">
        <v>1138</v>
      </c>
      <c r="D198" t="s">
        <v>1139</v>
      </c>
      <c r="E198" s="965" t="s">
        <v>719</v>
      </c>
      <c r="F198" s="966">
        <v>125880</v>
      </c>
      <c r="G198" s="967">
        <v>0.6</v>
      </c>
      <c r="H198" s="965" t="s">
        <v>719</v>
      </c>
      <c r="I198" s="965" t="s">
        <v>719</v>
      </c>
      <c r="J198" s="965" t="s">
        <v>719</v>
      </c>
      <c r="K198" s="965" t="s">
        <v>719</v>
      </c>
      <c r="L198" s="965" t="s">
        <v>719</v>
      </c>
      <c r="O198" s="963" t="e">
        <f t="shared" si="12"/>
        <v>#NUM!</v>
      </c>
      <c r="P198" s="963" t="e">
        <f t="shared" si="13"/>
        <v>#NUM!</v>
      </c>
      <c r="R198" s="963" t="e">
        <f t="shared" si="14"/>
        <v>#NUM!</v>
      </c>
      <c r="S198" s="963" t="e">
        <f t="shared" si="15"/>
        <v>#NUM!</v>
      </c>
    </row>
    <row r="199" spans="1:19" hidden="1" x14ac:dyDescent="0.25">
      <c r="A199" t="s">
        <v>744</v>
      </c>
      <c r="B199" t="s">
        <v>745</v>
      </c>
      <c r="C199" s="24" t="s">
        <v>1140</v>
      </c>
      <c r="D199" t="s">
        <v>1141</v>
      </c>
      <c r="E199" s="965" t="s">
        <v>719</v>
      </c>
      <c r="F199" s="966">
        <v>123590</v>
      </c>
      <c r="G199" s="967">
        <v>0.3</v>
      </c>
      <c r="H199" s="965" t="s">
        <v>719</v>
      </c>
      <c r="I199" s="965" t="s">
        <v>719</v>
      </c>
      <c r="J199" s="965" t="s">
        <v>719</v>
      </c>
      <c r="K199" s="965" t="s">
        <v>719</v>
      </c>
      <c r="L199" s="965" t="s">
        <v>719</v>
      </c>
      <c r="O199" s="963" t="e">
        <f t="shared" si="12"/>
        <v>#NUM!</v>
      </c>
      <c r="P199" s="963" t="e">
        <f t="shared" si="13"/>
        <v>#NUM!</v>
      </c>
      <c r="R199" s="963" t="e">
        <f t="shared" si="14"/>
        <v>#NUM!</v>
      </c>
      <c r="S199" s="963" t="e">
        <f t="shared" si="15"/>
        <v>#NUM!</v>
      </c>
    </row>
    <row r="200" spans="1:19" hidden="1" x14ac:dyDescent="0.25">
      <c r="A200" t="s">
        <v>744</v>
      </c>
      <c r="B200" t="s">
        <v>745</v>
      </c>
      <c r="C200" s="24" t="s">
        <v>1142</v>
      </c>
      <c r="D200" t="s">
        <v>1143</v>
      </c>
      <c r="E200" s="965" t="s">
        <v>719</v>
      </c>
      <c r="F200" s="966">
        <v>107390</v>
      </c>
      <c r="G200" s="967">
        <v>0.6</v>
      </c>
      <c r="H200" s="965" t="s">
        <v>719</v>
      </c>
      <c r="I200" s="965" t="s">
        <v>719</v>
      </c>
      <c r="J200" s="965" t="s">
        <v>719</v>
      </c>
      <c r="K200" s="965" t="s">
        <v>719</v>
      </c>
      <c r="L200" s="965" t="s">
        <v>719</v>
      </c>
      <c r="O200" s="963" t="e">
        <f t="shared" si="12"/>
        <v>#NUM!</v>
      </c>
      <c r="P200" s="963" t="e">
        <f t="shared" si="13"/>
        <v>#NUM!</v>
      </c>
      <c r="R200" s="963" t="e">
        <f t="shared" si="14"/>
        <v>#NUM!</v>
      </c>
      <c r="S200" s="963" t="e">
        <f t="shared" si="15"/>
        <v>#NUM!</v>
      </c>
    </row>
    <row r="201" spans="1:19" hidden="1" x14ac:dyDescent="0.25">
      <c r="A201" t="s">
        <v>744</v>
      </c>
      <c r="B201" t="s">
        <v>745</v>
      </c>
      <c r="C201" s="24" t="s">
        <v>1144</v>
      </c>
      <c r="D201" t="s">
        <v>1145</v>
      </c>
      <c r="E201" s="965" t="s">
        <v>719</v>
      </c>
      <c r="F201" s="966">
        <v>157840</v>
      </c>
      <c r="G201" s="967">
        <v>0.5</v>
      </c>
      <c r="H201" s="965" t="s">
        <v>719</v>
      </c>
      <c r="I201" s="965" t="s">
        <v>719</v>
      </c>
      <c r="J201" s="965" t="s">
        <v>719</v>
      </c>
      <c r="K201" s="965" t="s">
        <v>719</v>
      </c>
      <c r="L201" s="965" t="s">
        <v>719</v>
      </c>
      <c r="O201" s="963" t="e">
        <f t="shared" si="12"/>
        <v>#NUM!</v>
      </c>
      <c r="P201" s="963" t="e">
        <f t="shared" si="13"/>
        <v>#NUM!</v>
      </c>
      <c r="R201" s="963" t="e">
        <f t="shared" si="14"/>
        <v>#NUM!</v>
      </c>
      <c r="S201" s="963" t="e">
        <f t="shared" si="15"/>
        <v>#NUM!</v>
      </c>
    </row>
    <row r="202" spans="1:19" hidden="1" x14ac:dyDescent="0.25">
      <c r="A202" t="s">
        <v>744</v>
      </c>
      <c r="B202" t="s">
        <v>745</v>
      </c>
      <c r="C202" s="24" t="s">
        <v>1146</v>
      </c>
      <c r="D202" t="s">
        <v>1147</v>
      </c>
      <c r="E202" s="965" t="s">
        <v>719</v>
      </c>
      <c r="F202" s="966">
        <v>107150</v>
      </c>
      <c r="G202" s="967">
        <v>0.4</v>
      </c>
      <c r="H202" s="965" t="s">
        <v>719</v>
      </c>
      <c r="I202" s="965" t="s">
        <v>719</v>
      </c>
      <c r="J202" s="965" t="s">
        <v>719</v>
      </c>
      <c r="K202" s="965" t="s">
        <v>719</v>
      </c>
      <c r="L202" s="965" t="s">
        <v>719</v>
      </c>
      <c r="O202" s="963" t="e">
        <f t="shared" si="12"/>
        <v>#NUM!</v>
      </c>
      <c r="P202" s="963" t="e">
        <f t="shared" si="13"/>
        <v>#NUM!</v>
      </c>
      <c r="R202" s="963" t="e">
        <f t="shared" si="14"/>
        <v>#NUM!</v>
      </c>
      <c r="S202" s="963" t="e">
        <f t="shared" si="15"/>
        <v>#NUM!</v>
      </c>
    </row>
    <row r="203" spans="1:19" hidden="1" x14ac:dyDescent="0.25">
      <c r="A203" t="s">
        <v>744</v>
      </c>
      <c r="B203" t="s">
        <v>745</v>
      </c>
      <c r="C203" s="24" t="s">
        <v>1148</v>
      </c>
      <c r="D203" t="s">
        <v>1149</v>
      </c>
      <c r="E203" s="965" t="s">
        <v>719</v>
      </c>
      <c r="F203" s="966">
        <v>121350</v>
      </c>
      <c r="G203" s="967">
        <v>0.6</v>
      </c>
      <c r="H203" s="965" t="s">
        <v>719</v>
      </c>
      <c r="I203" s="965" t="s">
        <v>719</v>
      </c>
      <c r="J203" s="965" t="s">
        <v>719</v>
      </c>
      <c r="K203" s="965" t="s">
        <v>719</v>
      </c>
      <c r="L203" s="965" t="s">
        <v>719</v>
      </c>
      <c r="O203" s="963" t="e">
        <f t="shared" si="12"/>
        <v>#NUM!</v>
      </c>
      <c r="P203" s="963" t="e">
        <f t="shared" si="13"/>
        <v>#NUM!</v>
      </c>
      <c r="R203" s="963" t="e">
        <f t="shared" si="14"/>
        <v>#NUM!</v>
      </c>
      <c r="S203" s="963" t="e">
        <f t="shared" si="15"/>
        <v>#NUM!</v>
      </c>
    </row>
    <row r="204" spans="1:19" hidden="1" x14ac:dyDescent="0.25">
      <c r="A204" t="s">
        <v>744</v>
      </c>
      <c r="B204" t="s">
        <v>745</v>
      </c>
      <c r="C204" s="24" t="s">
        <v>1150</v>
      </c>
      <c r="D204" t="s">
        <v>1151</v>
      </c>
      <c r="E204" s="965" t="s">
        <v>719</v>
      </c>
      <c r="F204" s="966">
        <v>104100</v>
      </c>
      <c r="G204" s="967">
        <v>0.4</v>
      </c>
      <c r="H204" s="965" t="s">
        <v>719</v>
      </c>
      <c r="I204" s="965" t="s">
        <v>719</v>
      </c>
      <c r="J204" s="965" t="s">
        <v>719</v>
      </c>
      <c r="K204" s="965" t="s">
        <v>719</v>
      </c>
      <c r="L204" s="965" t="s">
        <v>719</v>
      </c>
      <c r="O204" s="963" t="e">
        <f t="shared" si="12"/>
        <v>#NUM!</v>
      </c>
      <c r="P204" s="963" t="e">
        <f t="shared" si="13"/>
        <v>#NUM!</v>
      </c>
      <c r="R204" s="963" t="e">
        <f t="shared" si="14"/>
        <v>#NUM!</v>
      </c>
      <c r="S204" s="963" t="e">
        <f t="shared" si="15"/>
        <v>#NUM!</v>
      </c>
    </row>
    <row r="205" spans="1:19" hidden="1" x14ac:dyDescent="0.25">
      <c r="A205" t="s">
        <v>744</v>
      </c>
      <c r="B205" t="s">
        <v>745</v>
      </c>
      <c r="C205" s="24" t="s">
        <v>1152</v>
      </c>
      <c r="D205" t="s">
        <v>1153</v>
      </c>
      <c r="E205" s="965" t="s">
        <v>719</v>
      </c>
      <c r="F205" s="966">
        <v>104220</v>
      </c>
      <c r="G205" s="967">
        <v>0.5</v>
      </c>
      <c r="H205" s="965" t="s">
        <v>719</v>
      </c>
      <c r="I205" s="965" t="s">
        <v>719</v>
      </c>
      <c r="J205" s="965" t="s">
        <v>719</v>
      </c>
      <c r="K205" s="965" t="s">
        <v>719</v>
      </c>
      <c r="L205" s="965" t="s">
        <v>719</v>
      </c>
      <c r="O205" s="963" t="e">
        <f t="shared" si="12"/>
        <v>#NUM!</v>
      </c>
      <c r="P205" s="963" t="e">
        <f t="shared" si="13"/>
        <v>#NUM!</v>
      </c>
      <c r="R205" s="963" t="e">
        <f t="shared" si="14"/>
        <v>#NUM!</v>
      </c>
      <c r="S205" s="963" t="e">
        <f t="shared" si="15"/>
        <v>#NUM!</v>
      </c>
    </row>
    <row r="206" spans="1:19" hidden="1" x14ac:dyDescent="0.25">
      <c r="A206" t="s">
        <v>744</v>
      </c>
      <c r="B206" t="s">
        <v>745</v>
      </c>
      <c r="C206" s="24" t="s">
        <v>1154</v>
      </c>
      <c r="D206" t="s">
        <v>1155</v>
      </c>
      <c r="E206" s="965" t="s">
        <v>719</v>
      </c>
      <c r="F206" s="966">
        <v>81920</v>
      </c>
      <c r="G206" s="967">
        <v>0.6</v>
      </c>
      <c r="H206" s="965" t="s">
        <v>719</v>
      </c>
      <c r="I206" s="965" t="s">
        <v>719</v>
      </c>
      <c r="J206" s="965" t="s">
        <v>719</v>
      </c>
      <c r="K206" s="965" t="s">
        <v>719</v>
      </c>
      <c r="L206" s="965" t="s">
        <v>719</v>
      </c>
      <c r="O206" s="963" t="e">
        <f t="shared" si="12"/>
        <v>#NUM!</v>
      </c>
      <c r="P206" s="963" t="e">
        <f t="shared" si="13"/>
        <v>#NUM!</v>
      </c>
      <c r="R206" s="963" t="e">
        <f t="shared" si="14"/>
        <v>#NUM!</v>
      </c>
      <c r="S206" s="963" t="e">
        <f t="shared" si="15"/>
        <v>#NUM!</v>
      </c>
    </row>
    <row r="207" spans="1:19" hidden="1" x14ac:dyDescent="0.25">
      <c r="A207" t="s">
        <v>744</v>
      </c>
      <c r="B207" t="s">
        <v>745</v>
      </c>
      <c r="C207" s="24" t="s">
        <v>1156</v>
      </c>
      <c r="D207" t="s">
        <v>1157</v>
      </c>
      <c r="E207" s="965" t="s">
        <v>719</v>
      </c>
      <c r="F207" s="966">
        <v>138270</v>
      </c>
      <c r="G207" s="967">
        <v>0.5</v>
      </c>
      <c r="H207" s="965" t="s">
        <v>719</v>
      </c>
      <c r="I207" s="965" t="s">
        <v>719</v>
      </c>
      <c r="J207" s="965" t="s">
        <v>719</v>
      </c>
      <c r="K207" s="965" t="s">
        <v>719</v>
      </c>
      <c r="L207" s="965" t="s">
        <v>719</v>
      </c>
      <c r="O207" s="963" t="e">
        <f t="shared" si="12"/>
        <v>#NUM!</v>
      </c>
      <c r="P207" s="963" t="e">
        <f t="shared" si="13"/>
        <v>#NUM!</v>
      </c>
      <c r="R207" s="963" t="e">
        <f t="shared" si="14"/>
        <v>#NUM!</v>
      </c>
      <c r="S207" s="963" t="e">
        <f t="shared" si="15"/>
        <v>#NUM!</v>
      </c>
    </row>
    <row r="208" spans="1:19" hidden="1" x14ac:dyDescent="0.25">
      <c r="A208" t="s">
        <v>744</v>
      </c>
      <c r="B208" t="s">
        <v>745</v>
      </c>
      <c r="C208" s="24" t="s">
        <v>1158</v>
      </c>
      <c r="D208" t="s">
        <v>1159</v>
      </c>
      <c r="E208" s="965" t="s">
        <v>719</v>
      </c>
      <c r="F208" s="966">
        <v>87140</v>
      </c>
      <c r="G208" s="967">
        <v>0.5</v>
      </c>
      <c r="H208" s="965" t="s">
        <v>719</v>
      </c>
      <c r="I208" s="965" t="s">
        <v>719</v>
      </c>
      <c r="J208" s="965" t="s">
        <v>719</v>
      </c>
      <c r="K208" s="965" t="s">
        <v>719</v>
      </c>
      <c r="L208" s="965" t="s">
        <v>719</v>
      </c>
      <c r="O208" s="963" t="e">
        <f t="shared" si="12"/>
        <v>#NUM!</v>
      </c>
      <c r="P208" s="963" t="e">
        <f t="shared" si="13"/>
        <v>#NUM!</v>
      </c>
      <c r="R208" s="963" t="e">
        <f t="shared" si="14"/>
        <v>#NUM!</v>
      </c>
      <c r="S208" s="963" t="e">
        <f t="shared" si="15"/>
        <v>#NUM!</v>
      </c>
    </row>
    <row r="209" spans="1:19" hidden="1" x14ac:dyDescent="0.25">
      <c r="A209" t="s">
        <v>744</v>
      </c>
      <c r="B209" t="s">
        <v>745</v>
      </c>
      <c r="C209" s="24" t="s">
        <v>1160</v>
      </c>
      <c r="D209" t="s">
        <v>1161</v>
      </c>
      <c r="E209" s="965" t="s">
        <v>719</v>
      </c>
      <c r="F209" s="966">
        <v>93270</v>
      </c>
      <c r="G209" s="967">
        <v>0.3</v>
      </c>
      <c r="H209" s="965" t="s">
        <v>719</v>
      </c>
      <c r="I209" s="965" t="s">
        <v>719</v>
      </c>
      <c r="J209" s="965" t="s">
        <v>719</v>
      </c>
      <c r="K209" s="965" t="s">
        <v>719</v>
      </c>
      <c r="L209" s="965" t="s">
        <v>719</v>
      </c>
      <c r="O209" s="963" t="e">
        <f t="shared" si="12"/>
        <v>#NUM!</v>
      </c>
      <c r="P209" s="963" t="e">
        <f t="shared" si="13"/>
        <v>#NUM!</v>
      </c>
      <c r="R209" s="963" t="e">
        <f t="shared" si="14"/>
        <v>#NUM!</v>
      </c>
      <c r="S209" s="963" t="e">
        <f t="shared" si="15"/>
        <v>#NUM!</v>
      </c>
    </row>
    <row r="210" spans="1:19" hidden="1" x14ac:dyDescent="0.25">
      <c r="A210" t="s">
        <v>744</v>
      </c>
      <c r="B210" t="s">
        <v>745</v>
      </c>
      <c r="C210" s="24" t="s">
        <v>1162</v>
      </c>
      <c r="D210" t="s">
        <v>1163</v>
      </c>
      <c r="E210" s="965" t="s">
        <v>719</v>
      </c>
      <c r="F210" s="966">
        <v>80520</v>
      </c>
      <c r="G210" s="967">
        <v>1.4</v>
      </c>
      <c r="H210" s="965" t="s">
        <v>719</v>
      </c>
      <c r="I210" s="965" t="s">
        <v>719</v>
      </c>
      <c r="J210" s="965" t="s">
        <v>719</v>
      </c>
      <c r="K210" s="965" t="s">
        <v>719</v>
      </c>
      <c r="L210" s="965" t="s">
        <v>719</v>
      </c>
      <c r="O210" s="963" t="e">
        <f t="shared" si="12"/>
        <v>#NUM!</v>
      </c>
      <c r="P210" s="963" t="e">
        <f t="shared" si="13"/>
        <v>#NUM!</v>
      </c>
      <c r="R210" s="963" t="e">
        <f t="shared" si="14"/>
        <v>#NUM!</v>
      </c>
      <c r="S210" s="963" t="e">
        <f t="shared" si="15"/>
        <v>#NUM!</v>
      </c>
    </row>
    <row r="211" spans="1:19" hidden="1" x14ac:dyDescent="0.25">
      <c r="A211" t="s">
        <v>744</v>
      </c>
      <c r="B211" t="s">
        <v>745</v>
      </c>
      <c r="C211" s="24" t="s">
        <v>1164</v>
      </c>
      <c r="D211" t="s">
        <v>1165</v>
      </c>
      <c r="E211" s="965" t="s">
        <v>719</v>
      </c>
      <c r="F211" s="966">
        <v>104910</v>
      </c>
      <c r="G211" s="967">
        <v>0.5</v>
      </c>
      <c r="H211" s="965" t="s">
        <v>719</v>
      </c>
      <c r="I211" s="965" t="s">
        <v>719</v>
      </c>
      <c r="J211" s="965" t="s">
        <v>719</v>
      </c>
      <c r="K211" s="965" t="s">
        <v>719</v>
      </c>
      <c r="L211" s="965" t="s">
        <v>719</v>
      </c>
      <c r="O211" s="963" t="e">
        <f t="shared" si="12"/>
        <v>#NUM!</v>
      </c>
      <c r="P211" s="963" t="e">
        <f t="shared" si="13"/>
        <v>#NUM!</v>
      </c>
      <c r="R211" s="963" t="e">
        <f t="shared" si="14"/>
        <v>#NUM!</v>
      </c>
      <c r="S211" s="963" t="e">
        <f t="shared" si="15"/>
        <v>#NUM!</v>
      </c>
    </row>
    <row r="212" spans="1:19" hidden="1" x14ac:dyDescent="0.25">
      <c r="A212" t="s">
        <v>744</v>
      </c>
      <c r="B212" t="s">
        <v>745</v>
      </c>
      <c r="C212" s="24" t="s">
        <v>1166</v>
      </c>
      <c r="D212" t="s">
        <v>1167</v>
      </c>
      <c r="E212" s="965" t="s">
        <v>719</v>
      </c>
      <c r="F212" s="966">
        <v>168370</v>
      </c>
      <c r="G212" s="967">
        <v>0.8</v>
      </c>
      <c r="H212" s="965" t="s">
        <v>719</v>
      </c>
      <c r="I212" s="965" t="s">
        <v>719</v>
      </c>
      <c r="J212" s="965" t="s">
        <v>719</v>
      </c>
      <c r="K212" s="965" t="s">
        <v>719</v>
      </c>
      <c r="L212" s="965" t="s">
        <v>719</v>
      </c>
      <c r="O212" s="963" t="e">
        <f t="shared" si="12"/>
        <v>#NUM!</v>
      </c>
      <c r="P212" s="963" t="e">
        <f t="shared" si="13"/>
        <v>#NUM!</v>
      </c>
      <c r="R212" s="963" t="e">
        <f t="shared" si="14"/>
        <v>#NUM!</v>
      </c>
      <c r="S212" s="963" t="e">
        <f t="shared" si="15"/>
        <v>#NUM!</v>
      </c>
    </row>
    <row r="213" spans="1:19" hidden="1" x14ac:dyDescent="0.25">
      <c r="A213" t="s">
        <v>744</v>
      </c>
      <c r="B213" t="s">
        <v>745</v>
      </c>
      <c r="C213" s="24" t="s">
        <v>1168</v>
      </c>
      <c r="D213" t="s">
        <v>1169</v>
      </c>
      <c r="E213" s="965" t="s">
        <v>719</v>
      </c>
      <c r="F213" s="966">
        <v>95220</v>
      </c>
      <c r="G213" s="967">
        <v>0.5</v>
      </c>
      <c r="H213" s="965" t="s">
        <v>719</v>
      </c>
      <c r="I213" s="965" t="s">
        <v>719</v>
      </c>
      <c r="J213" s="965" t="s">
        <v>719</v>
      </c>
      <c r="K213" s="965" t="s">
        <v>719</v>
      </c>
      <c r="L213" s="965" t="s">
        <v>719</v>
      </c>
      <c r="O213" s="963" t="e">
        <f t="shared" si="12"/>
        <v>#NUM!</v>
      </c>
      <c r="P213" s="963" t="e">
        <f t="shared" si="13"/>
        <v>#NUM!</v>
      </c>
      <c r="R213" s="963" t="e">
        <f t="shared" si="14"/>
        <v>#NUM!</v>
      </c>
      <c r="S213" s="963" t="e">
        <f t="shared" si="15"/>
        <v>#NUM!</v>
      </c>
    </row>
    <row r="214" spans="1:19" hidden="1" x14ac:dyDescent="0.25">
      <c r="A214" t="s">
        <v>744</v>
      </c>
      <c r="B214" t="s">
        <v>745</v>
      </c>
      <c r="C214" s="24" t="s">
        <v>1170</v>
      </c>
      <c r="D214" t="s">
        <v>1171</v>
      </c>
      <c r="E214" s="965" t="s">
        <v>719</v>
      </c>
      <c r="F214" s="966">
        <v>92040</v>
      </c>
      <c r="G214" s="967">
        <v>0.6</v>
      </c>
      <c r="H214" s="965" t="s">
        <v>719</v>
      </c>
      <c r="I214" s="965" t="s">
        <v>719</v>
      </c>
      <c r="J214" s="965" t="s">
        <v>719</v>
      </c>
      <c r="K214" s="965" t="s">
        <v>719</v>
      </c>
      <c r="L214" s="965" t="s">
        <v>719</v>
      </c>
      <c r="O214" s="963" t="e">
        <f t="shared" si="12"/>
        <v>#NUM!</v>
      </c>
      <c r="P214" s="963" t="e">
        <f t="shared" si="13"/>
        <v>#NUM!</v>
      </c>
      <c r="R214" s="963" t="e">
        <f t="shared" si="14"/>
        <v>#NUM!</v>
      </c>
      <c r="S214" s="963" t="e">
        <f t="shared" si="15"/>
        <v>#NUM!</v>
      </c>
    </row>
    <row r="215" spans="1:19" hidden="1" x14ac:dyDescent="0.25">
      <c r="A215" t="s">
        <v>744</v>
      </c>
      <c r="B215" t="s">
        <v>745</v>
      </c>
      <c r="C215" s="24" t="s">
        <v>1172</v>
      </c>
      <c r="D215" t="s">
        <v>1173</v>
      </c>
      <c r="E215" s="965" t="s">
        <v>719</v>
      </c>
      <c r="F215" s="966">
        <v>96730</v>
      </c>
      <c r="G215" s="967">
        <v>0.8</v>
      </c>
      <c r="H215" s="965" t="s">
        <v>719</v>
      </c>
      <c r="I215" s="965" t="s">
        <v>719</v>
      </c>
      <c r="J215" s="965" t="s">
        <v>719</v>
      </c>
      <c r="K215" s="965" t="s">
        <v>719</v>
      </c>
      <c r="L215" s="965" t="s">
        <v>719</v>
      </c>
      <c r="O215" s="963" t="e">
        <f t="shared" si="12"/>
        <v>#NUM!</v>
      </c>
      <c r="P215" s="963" t="e">
        <f t="shared" si="13"/>
        <v>#NUM!</v>
      </c>
      <c r="R215" s="963" t="e">
        <f t="shared" si="14"/>
        <v>#NUM!</v>
      </c>
      <c r="S215" s="963" t="e">
        <f t="shared" si="15"/>
        <v>#NUM!</v>
      </c>
    </row>
    <row r="216" spans="1:19" hidden="1" x14ac:dyDescent="0.25">
      <c r="A216" t="s">
        <v>744</v>
      </c>
      <c r="B216" t="s">
        <v>745</v>
      </c>
      <c r="C216" s="24" t="s">
        <v>1174</v>
      </c>
      <c r="D216" t="s">
        <v>1175</v>
      </c>
      <c r="E216" s="965" t="s">
        <v>719</v>
      </c>
      <c r="F216" s="966">
        <v>97340</v>
      </c>
      <c r="G216" s="967">
        <v>0.4</v>
      </c>
      <c r="H216" s="965" t="s">
        <v>719</v>
      </c>
      <c r="I216" s="965" t="s">
        <v>719</v>
      </c>
      <c r="J216" s="965" t="s">
        <v>719</v>
      </c>
      <c r="K216" s="965" t="s">
        <v>719</v>
      </c>
      <c r="L216" s="965" t="s">
        <v>719</v>
      </c>
      <c r="O216" s="963" t="e">
        <f t="shared" si="12"/>
        <v>#NUM!</v>
      </c>
      <c r="P216" s="963" t="e">
        <f t="shared" si="13"/>
        <v>#NUM!</v>
      </c>
      <c r="R216" s="963" t="e">
        <f t="shared" si="14"/>
        <v>#NUM!</v>
      </c>
      <c r="S216" s="963" t="e">
        <f t="shared" si="15"/>
        <v>#NUM!</v>
      </c>
    </row>
    <row r="217" spans="1:19" hidden="1" x14ac:dyDescent="0.25">
      <c r="A217" t="s">
        <v>744</v>
      </c>
      <c r="B217" t="s">
        <v>745</v>
      </c>
      <c r="C217" s="24" t="s">
        <v>1176</v>
      </c>
      <c r="D217" t="s">
        <v>1177</v>
      </c>
      <c r="E217" s="965" t="s">
        <v>719</v>
      </c>
      <c r="F217" s="966">
        <v>102930</v>
      </c>
      <c r="G217" s="967">
        <v>0.5</v>
      </c>
      <c r="H217" s="965" t="s">
        <v>719</v>
      </c>
      <c r="I217" s="965" t="s">
        <v>719</v>
      </c>
      <c r="J217" s="965" t="s">
        <v>719</v>
      </c>
      <c r="K217" s="965" t="s">
        <v>719</v>
      </c>
      <c r="L217" s="965" t="s">
        <v>719</v>
      </c>
      <c r="O217" s="963" t="e">
        <f t="shared" si="12"/>
        <v>#NUM!</v>
      </c>
      <c r="P217" s="963" t="e">
        <f t="shared" si="13"/>
        <v>#NUM!</v>
      </c>
      <c r="R217" s="963" t="e">
        <f t="shared" si="14"/>
        <v>#NUM!</v>
      </c>
      <c r="S217" s="963" t="e">
        <f t="shared" si="15"/>
        <v>#NUM!</v>
      </c>
    </row>
    <row r="218" spans="1:19" hidden="1" x14ac:dyDescent="0.25">
      <c r="A218" t="s">
        <v>744</v>
      </c>
      <c r="B218" t="s">
        <v>745</v>
      </c>
      <c r="C218" s="24" t="s">
        <v>1178</v>
      </c>
      <c r="D218" t="s">
        <v>1179</v>
      </c>
      <c r="E218" s="965" t="s">
        <v>719</v>
      </c>
      <c r="F218" s="966">
        <v>113430</v>
      </c>
      <c r="G218" s="967">
        <v>0.9</v>
      </c>
      <c r="H218" s="965" t="s">
        <v>719</v>
      </c>
      <c r="I218" s="965" t="s">
        <v>719</v>
      </c>
      <c r="J218" s="965" t="s">
        <v>719</v>
      </c>
      <c r="K218" s="965" t="s">
        <v>719</v>
      </c>
      <c r="L218" s="965" t="s">
        <v>719</v>
      </c>
      <c r="O218" s="963" t="e">
        <f t="shared" si="12"/>
        <v>#NUM!</v>
      </c>
      <c r="P218" s="963" t="e">
        <f t="shared" si="13"/>
        <v>#NUM!</v>
      </c>
      <c r="R218" s="963" t="e">
        <f t="shared" si="14"/>
        <v>#NUM!</v>
      </c>
      <c r="S218" s="963" t="e">
        <f t="shared" si="15"/>
        <v>#NUM!</v>
      </c>
    </row>
    <row r="219" spans="1:19" hidden="1" x14ac:dyDescent="0.25">
      <c r="A219" t="s">
        <v>744</v>
      </c>
      <c r="B219" t="s">
        <v>745</v>
      </c>
      <c r="C219" s="24" t="s">
        <v>1180</v>
      </c>
      <c r="D219" t="s">
        <v>1181</v>
      </c>
      <c r="E219" s="965" t="s">
        <v>719</v>
      </c>
      <c r="F219" s="966">
        <v>117520</v>
      </c>
      <c r="G219" s="967">
        <v>0.9</v>
      </c>
      <c r="H219" s="965" t="s">
        <v>719</v>
      </c>
      <c r="I219" s="965" t="s">
        <v>719</v>
      </c>
      <c r="J219" s="965" t="s">
        <v>719</v>
      </c>
      <c r="K219" s="965" t="s">
        <v>719</v>
      </c>
      <c r="L219" s="965" t="s">
        <v>719</v>
      </c>
      <c r="O219" s="963" t="e">
        <f t="shared" si="12"/>
        <v>#NUM!</v>
      </c>
      <c r="P219" s="963" t="e">
        <f t="shared" si="13"/>
        <v>#NUM!</v>
      </c>
      <c r="R219" s="963" t="e">
        <f t="shared" si="14"/>
        <v>#NUM!</v>
      </c>
      <c r="S219" s="963" t="e">
        <f t="shared" si="15"/>
        <v>#NUM!</v>
      </c>
    </row>
    <row r="220" spans="1:19" hidden="1" x14ac:dyDescent="0.25">
      <c r="A220" t="s">
        <v>744</v>
      </c>
      <c r="B220" t="s">
        <v>745</v>
      </c>
      <c r="C220" s="24" t="s">
        <v>1182</v>
      </c>
      <c r="D220" t="s">
        <v>1183</v>
      </c>
      <c r="E220" s="965" t="s">
        <v>719</v>
      </c>
      <c r="F220" s="966">
        <v>82350</v>
      </c>
      <c r="G220" s="967">
        <v>0.6</v>
      </c>
      <c r="H220" s="965" t="s">
        <v>719</v>
      </c>
      <c r="I220" s="965" t="s">
        <v>719</v>
      </c>
      <c r="J220" s="965" t="s">
        <v>719</v>
      </c>
      <c r="K220" s="965" t="s">
        <v>719</v>
      </c>
      <c r="L220" s="965" t="s">
        <v>719</v>
      </c>
      <c r="O220" s="963" t="e">
        <f t="shared" si="12"/>
        <v>#NUM!</v>
      </c>
      <c r="P220" s="963" t="e">
        <f t="shared" si="13"/>
        <v>#NUM!</v>
      </c>
      <c r="R220" s="963" t="e">
        <f t="shared" si="14"/>
        <v>#NUM!</v>
      </c>
      <c r="S220" s="963" t="e">
        <f t="shared" si="15"/>
        <v>#NUM!</v>
      </c>
    </row>
    <row r="221" spans="1:19" hidden="1" x14ac:dyDescent="0.25">
      <c r="A221" t="s">
        <v>744</v>
      </c>
      <c r="B221" t="s">
        <v>745</v>
      </c>
      <c r="C221" s="24" t="s">
        <v>1184</v>
      </c>
      <c r="D221" t="s">
        <v>1185</v>
      </c>
      <c r="E221" s="965">
        <v>36.14</v>
      </c>
      <c r="F221" s="966">
        <v>75160</v>
      </c>
      <c r="G221" s="967">
        <v>2.7</v>
      </c>
      <c r="H221" s="965">
        <v>23.89</v>
      </c>
      <c r="I221" s="965">
        <v>25.4</v>
      </c>
      <c r="J221" s="965">
        <v>33.86</v>
      </c>
      <c r="K221" s="965">
        <v>43.64</v>
      </c>
      <c r="L221" s="965">
        <v>50.56</v>
      </c>
      <c r="O221" s="963">
        <f t="shared" si="12"/>
        <v>35.0336</v>
      </c>
      <c r="P221" s="963">
        <f t="shared" si="13"/>
        <v>38.945599999999999</v>
      </c>
      <c r="R221" s="963">
        <f t="shared" si="14"/>
        <v>27.091999999999999</v>
      </c>
      <c r="S221" s="963">
        <f t="shared" si="15"/>
        <v>30.475999999999999</v>
      </c>
    </row>
    <row r="222" spans="1:19" hidden="1" x14ac:dyDescent="0.25">
      <c r="A222" t="s">
        <v>744</v>
      </c>
      <c r="B222" t="s">
        <v>745</v>
      </c>
      <c r="C222" s="24" t="s">
        <v>1186</v>
      </c>
      <c r="D222" t="s">
        <v>1187</v>
      </c>
      <c r="E222" s="965" t="s">
        <v>719</v>
      </c>
      <c r="F222" s="966">
        <v>98750</v>
      </c>
      <c r="G222" s="967">
        <v>0.4</v>
      </c>
      <c r="H222" s="965" t="s">
        <v>719</v>
      </c>
      <c r="I222" s="965" t="s">
        <v>719</v>
      </c>
      <c r="J222" s="965" t="s">
        <v>719</v>
      </c>
      <c r="K222" s="965" t="s">
        <v>719</v>
      </c>
      <c r="L222" s="965" t="s">
        <v>719</v>
      </c>
      <c r="O222" s="963" t="e">
        <f t="shared" si="12"/>
        <v>#NUM!</v>
      </c>
      <c r="P222" s="963" t="e">
        <f t="shared" si="13"/>
        <v>#NUM!</v>
      </c>
      <c r="R222" s="963" t="e">
        <f t="shared" si="14"/>
        <v>#NUM!</v>
      </c>
      <c r="S222" s="963" t="e">
        <f t="shared" si="15"/>
        <v>#NUM!</v>
      </c>
    </row>
    <row r="223" spans="1:19" hidden="1" x14ac:dyDescent="0.25">
      <c r="A223" t="s">
        <v>744</v>
      </c>
      <c r="B223" t="s">
        <v>745</v>
      </c>
      <c r="C223" s="24" t="s">
        <v>1188</v>
      </c>
      <c r="D223" t="s">
        <v>1189</v>
      </c>
      <c r="E223" s="965">
        <v>22.27</v>
      </c>
      <c r="F223" s="966">
        <v>46330</v>
      </c>
      <c r="G223" s="967">
        <v>2.9</v>
      </c>
      <c r="H223" s="965">
        <v>17.54</v>
      </c>
      <c r="I223" s="965">
        <v>18.100000000000001</v>
      </c>
      <c r="J223" s="965">
        <v>21.35</v>
      </c>
      <c r="K223" s="965">
        <v>23.02</v>
      </c>
      <c r="L223" s="965">
        <v>28.74</v>
      </c>
      <c r="O223" s="963">
        <f t="shared" si="12"/>
        <v>21.5504</v>
      </c>
      <c r="P223" s="963">
        <f t="shared" si="13"/>
        <v>22.218399999999999</v>
      </c>
      <c r="R223" s="963">
        <f t="shared" si="14"/>
        <v>18.750000000000004</v>
      </c>
      <c r="S223" s="963">
        <f t="shared" si="15"/>
        <v>20.05</v>
      </c>
    </row>
    <row r="224" spans="1:19" hidden="1" x14ac:dyDescent="0.25">
      <c r="A224" t="s">
        <v>744</v>
      </c>
      <c r="B224" t="s">
        <v>745</v>
      </c>
      <c r="C224" s="24" t="s">
        <v>1190</v>
      </c>
      <c r="D224" t="s">
        <v>1191</v>
      </c>
      <c r="E224" s="965" t="s">
        <v>719</v>
      </c>
      <c r="F224" s="966">
        <v>88800</v>
      </c>
      <c r="G224" s="967">
        <v>0.8</v>
      </c>
      <c r="H224" s="965" t="s">
        <v>719</v>
      </c>
      <c r="I224" s="965" t="s">
        <v>719</v>
      </c>
      <c r="J224" s="965" t="s">
        <v>719</v>
      </c>
      <c r="K224" s="965" t="s">
        <v>719</v>
      </c>
      <c r="L224" s="965" t="s">
        <v>719</v>
      </c>
      <c r="O224" s="963" t="e">
        <f t="shared" si="12"/>
        <v>#NUM!</v>
      </c>
      <c r="P224" s="963" t="e">
        <f t="shared" si="13"/>
        <v>#NUM!</v>
      </c>
      <c r="R224" s="963" t="e">
        <f t="shared" si="14"/>
        <v>#NUM!</v>
      </c>
      <c r="S224" s="963" t="e">
        <f t="shared" si="15"/>
        <v>#NUM!</v>
      </c>
    </row>
    <row r="225" spans="1:19" hidden="1" x14ac:dyDescent="0.25">
      <c r="A225" t="s">
        <v>744</v>
      </c>
      <c r="B225" t="s">
        <v>745</v>
      </c>
      <c r="C225" s="24" t="s">
        <v>1192</v>
      </c>
      <c r="D225" t="s">
        <v>1193</v>
      </c>
      <c r="E225" s="965" t="s">
        <v>719</v>
      </c>
      <c r="F225" s="966">
        <v>85650</v>
      </c>
      <c r="G225" s="967">
        <v>0.5</v>
      </c>
      <c r="H225" s="965" t="s">
        <v>719</v>
      </c>
      <c r="I225" s="965" t="s">
        <v>719</v>
      </c>
      <c r="J225" s="965" t="s">
        <v>719</v>
      </c>
      <c r="K225" s="965" t="s">
        <v>719</v>
      </c>
      <c r="L225" s="965" t="s">
        <v>719</v>
      </c>
      <c r="O225" s="963" t="e">
        <f t="shared" si="12"/>
        <v>#NUM!</v>
      </c>
      <c r="P225" s="963" t="e">
        <f t="shared" si="13"/>
        <v>#NUM!</v>
      </c>
      <c r="R225" s="963" t="e">
        <f t="shared" si="14"/>
        <v>#NUM!</v>
      </c>
      <c r="S225" s="963" t="e">
        <f t="shared" si="15"/>
        <v>#NUM!</v>
      </c>
    </row>
    <row r="226" spans="1:19" hidden="1" x14ac:dyDescent="0.25">
      <c r="A226" t="s">
        <v>744</v>
      </c>
      <c r="B226" t="s">
        <v>745</v>
      </c>
      <c r="C226" s="24" t="s">
        <v>1194</v>
      </c>
      <c r="D226" t="s">
        <v>1195</v>
      </c>
      <c r="E226" s="965" t="s">
        <v>719</v>
      </c>
      <c r="F226" s="966">
        <v>87930</v>
      </c>
      <c r="G226" s="967">
        <v>0.7</v>
      </c>
      <c r="H226" s="965" t="s">
        <v>719</v>
      </c>
      <c r="I226" s="965" t="s">
        <v>719</v>
      </c>
      <c r="J226" s="965" t="s">
        <v>719</v>
      </c>
      <c r="K226" s="965" t="s">
        <v>719</v>
      </c>
      <c r="L226" s="965" t="s">
        <v>719</v>
      </c>
      <c r="O226" s="963" t="e">
        <f t="shared" si="12"/>
        <v>#NUM!</v>
      </c>
      <c r="P226" s="963" t="e">
        <f t="shared" si="13"/>
        <v>#NUM!</v>
      </c>
      <c r="R226" s="963" t="e">
        <f t="shared" si="14"/>
        <v>#NUM!</v>
      </c>
      <c r="S226" s="963" t="e">
        <f t="shared" si="15"/>
        <v>#NUM!</v>
      </c>
    </row>
    <row r="227" spans="1:19" hidden="1" x14ac:dyDescent="0.25">
      <c r="A227" t="s">
        <v>744</v>
      </c>
      <c r="B227" t="s">
        <v>745</v>
      </c>
      <c r="C227" s="24" t="s">
        <v>1196</v>
      </c>
      <c r="D227" t="s">
        <v>1197</v>
      </c>
      <c r="E227" s="965" t="s">
        <v>719</v>
      </c>
      <c r="F227" s="966">
        <v>77800</v>
      </c>
      <c r="G227" s="967">
        <v>4.3</v>
      </c>
      <c r="H227" s="965" t="s">
        <v>719</v>
      </c>
      <c r="I227" s="965" t="s">
        <v>719</v>
      </c>
      <c r="J227" s="965" t="s">
        <v>719</v>
      </c>
      <c r="K227" s="965" t="s">
        <v>719</v>
      </c>
      <c r="L227" s="965" t="s">
        <v>719</v>
      </c>
      <c r="O227" s="963" t="e">
        <f t="shared" si="12"/>
        <v>#NUM!</v>
      </c>
      <c r="P227" s="963" t="e">
        <f t="shared" si="13"/>
        <v>#NUM!</v>
      </c>
      <c r="R227" s="963" t="e">
        <f t="shared" si="14"/>
        <v>#NUM!</v>
      </c>
      <c r="S227" s="963" t="e">
        <f t="shared" si="15"/>
        <v>#NUM!</v>
      </c>
    </row>
    <row r="228" spans="1:19" hidden="1" x14ac:dyDescent="0.25">
      <c r="A228" t="s">
        <v>744</v>
      </c>
      <c r="B228" t="s">
        <v>745</v>
      </c>
      <c r="C228" s="24" t="s">
        <v>1198</v>
      </c>
      <c r="D228" t="s">
        <v>1199</v>
      </c>
      <c r="E228" s="965" t="s">
        <v>719</v>
      </c>
      <c r="F228" s="966">
        <v>87000</v>
      </c>
      <c r="G228" s="967">
        <v>0.6</v>
      </c>
      <c r="H228" s="965" t="s">
        <v>719</v>
      </c>
      <c r="I228" s="965" t="s">
        <v>719</v>
      </c>
      <c r="J228" s="965" t="s">
        <v>719</v>
      </c>
      <c r="K228" s="965" t="s">
        <v>719</v>
      </c>
      <c r="L228" s="965" t="s">
        <v>719</v>
      </c>
      <c r="O228" s="963" t="e">
        <f t="shared" si="12"/>
        <v>#NUM!</v>
      </c>
      <c r="P228" s="963" t="e">
        <f t="shared" si="13"/>
        <v>#NUM!</v>
      </c>
      <c r="R228" s="963" t="e">
        <f t="shared" si="14"/>
        <v>#NUM!</v>
      </c>
      <c r="S228" s="963" t="e">
        <f t="shared" si="15"/>
        <v>#NUM!</v>
      </c>
    </row>
    <row r="229" spans="1:19" hidden="1" x14ac:dyDescent="0.25">
      <c r="A229" t="s">
        <v>744</v>
      </c>
      <c r="B229" t="s">
        <v>745</v>
      </c>
      <c r="C229" s="24" t="s">
        <v>1200</v>
      </c>
      <c r="D229" t="s">
        <v>1201</v>
      </c>
      <c r="E229" s="965" t="s">
        <v>719</v>
      </c>
      <c r="F229" s="966">
        <v>89900</v>
      </c>
      <c r="G229" s="967">
        <v>1</v>
      </c>
      <c r="H229" s="965" t="s">
        <v>719</v>
      </c>
      <c r="I229" s="965" t="s">
        <v>719</v>
      </c>
      <c r="J229" s="965" t="s">
        <v>719</v>
      </c>
      <c r="K229" s="965" t="s">
        <v>719</v>
      </c>
      <c r="L229" s="965" t="s">
        <v>719</v>
      </c>
      <c r="O229" s="963" t="e">
        <f t="shared" si="12"/>
        <v>#NUM!</v>
      </c>
      <c r="P229" s="963" t="e">
        <f t="shared" si="13"/>
        <v>#NUM!</v>
      </c>
      <c r="R229" s="963" t="e">
        <f t="shared" si="14"/>
        <v>#NUM!</v>
      </c>
      <c r="S229" s="963" t="e">
        <f t="shared" si="15"/>
        <v>#NUM!</v>
      </c>
    </row>
    <row r="230" spans="1:19" hidden="1" x14ac:dyDescent="0.25">
      <c r="A230" t="s">
        <v>744</v>
      </c>
      <c r="B230" t="s">
        <v>745</v>
      </c>
      <c r="C230" s="24" t="s">
        <v>1202</v>
      </c>
      <c r="D230" t="s">
        <v>1203</v>
      </c>
      <c r="E230" s="965" t="s">
        <v>719</v>
      </c>
      <c r="F230" s="966">
        <v>91110</v>
      </c>
      <c r="G230" s="967">
        <v>2.1</v>
      </c>
      <c r="H230" s="965" t="s">
        <v>719</v>
      </c>
      <c r="I230" s="965" t="s">
        <v>719</v>
      </c>
      <c r="J230" s="965" t="s">
        <v>719</v>
      </c>
      <c r="K230" s="965" t="s">
        <v>719</v>
      </c>
      <c r="L230" s="965" t="s">
        <v>719</v>
      </c>
      <c r="O230" s="963" t="e">
        <f t="shared" si="12"/>
        <v>#NUM!</v>
      </c>
      <c r="P230" s="963" t="e">
        <f t="shared" si="13"/>
        <v>#NUM!</v>
      </c>
      <c r="R230" s="963" t="e">
        <f t="shared" si="14"/>
        <v>#NUM!</v>
      </c>
      <c r="S230" s="963" t="e">
        <f t="shared" si="15"/>
        <v>#NUM!</v>
      </c>
    </row>
    <row r="231" spans="1:19" hidden="1" x14ac:dyDescent="0.25">
      <c r="A231" t="s">
        <v>744</v>
      </c>
      <c r="B231" t="s">
        <v>745</v>
      </c>
      <c r="C231" s="24" t="s">
        <v>1204</v>
      </c>
      <c r="D231" t="s">
        <v>1205</v>
      </c>
      <c r="E231" s="965" t="s">
        <v>719</v>
      </c>
      <c r="F231" s="966">
        <v>84780</v>
      </c>
      <c r="G231" s="967">
        <v>0.7</v>
      </c>
      <c r="H231" s="965" t="s">
        <v>719</v>
      </c>
      <c r="I231" s="965" t="s">
        <v>719</v>
      </c>
      <c r="J231" s="965" t="s">
        <v>719</v>
      </c>
      <c r="K231" s="965" t="s">
        <v>719</v>
      </c>
      <c r="L231" s="965" t="s">
        <v>719</v>
      </c>
      <c r="O231" s="963" t="e">
        <f t="shared" si="12"/>
        <v>#NUM!</v>
      </c>
      <c r="P231" s="963" t="e">
        <f t="shared" si="13"/>
        <v>#NUM!</v>
      </c>
      <c r="R231" s="963" t="e">
        <f t="shared" si="14"/>
        <v>#NUM!</v>
      </c>
      <c r="S231" s="963" t="e">
        <f t="shared" si="15"/>
        <v>#NUM!</v>
      </c>
    </row>
    <row r="232" spans="1:19" hidden="1" x14ac:dyDescent="0.25">
      <c r="A232" t="s">
        <v>744</v>
      </c>
      <c r="B232" t="s">
        <v>745</v>
      </c>
      <c r="C232" s="24" t="s">
        <v>1206</v>
      </c>
      <c r="D232" t="s">
        <v>1207</v>
      </c>
      <c r="E232" s="965" t="s">
        <v>719</v>
      </c>
      <c r="F232" s="966">
        <v>87730</v>
      </c>
      <c r="G232" s="967">
        <v>1.7</v>
      </c>
      <c r="H232" s="965" t="s">
        <v>719</v>
      </c>
      <c r="I232" s="965" t="s">
        <v>719</v>
      </c>
      <c r="J232" s="965" t="s">
        <v>719</v>
      </c>
      <c r="K232" s="965" t="s">
        <v>719</v>
      </c>
      <c r="L232" s="965" t="s">
        <v>719</v>
      </c>
      <c r="O232" s="963" t="e">
        <f t="shared" si="12"/>
        <v>#NUM!</v>
      </c>
      <c r="P232" s="963" t="e">
        <f t="shared" si="13"/>
        <v>#NUM!</v>
      </c>
      <c r="R232" s="963" t="e">
        <f t="shared" si="14"/>
        <v>#NUM!</v>
      </c>
      <c r="S232" s="963" t="e">
        <f t="shared" si="15"/>
        <v>#NUM!</v>
      </c>
    </row>
    <row r="233" spans="1:19" hidden="1" x14ac:dyDescent="0.25">
      <c r="A233" t="s">
        <v>744</v>
      </c>
      <c r="B233" t="s">
        <v>745</v>
      </c>
      <c r="C233" s="24" t="s">
        <v>1208</v>
      </c>
      <c r="D233" t="s">
        <v>1209</v>
      </c>
      <c r="E233" s="965" t="s">
        <v>719</v>
      </c>
      <c r="F233" s="966">
        <v>87400</v>
      </c>
      <c r="G233" s="967">
        <v>1.1000000000000001</v>
      </c>
      <c r="H233" s="965" t="s">
        <v>719</v>
      </c>
      <c r="I233" s="965" t="s">
        <v>719</v>
      </c>
      <c r="J233" s="965" t="s">
        <v>719</v>
      </c>
      <c r="K233" s="965" t="s">
        <v>719</v>
      </c>
      <c r="L233" s="965" t="s">
        <v>719</v>
      </c>
      <c r="O233" s="963" t="e">
        <f t="shared" si="12"/>
        <v>#NUM!</v>
      </c>
      <c r="P233" s="963" t="e">
        <f t="shared" si="13"/>
        <v>#NUM!</v>
      </c>
      <c r="R233" s="963" t="e">
        <f t="shared" si="14"/>
        <v>#NUM!</v>
      </c>
      <c r="S233" s="963" t="e">
        <f t="shared" si="15"/>
        <v>#NUM!</v>
      </c>
    </row>
    <row r="234" spans="1:19" hidden="1" x14ac:dyDescent="0.25">
      <c r="A234" t="s">
        <v>744</v>
      </c>
      <c r="B234" t="s">
        <v>745</v>
      </c>
      <c r="C234" s="24" t="s">
        <v>1210</v>
      </c>
      <c r="D234" t="s">
        <v>1211</v>
      </c>
      <c r="E234" s="965" t="s">
        <v>719</v>
      </c>
      <c r="F234" s="966">
        <v>88380</v>
      </c>
      <c r="G234" s="967">
        <v>1.8</v>
      </c>
      <c r="H234" s="965" t="s">
        <v>719</v>
      </c>
      <c r="I234" s="965" t="s">
        <v>719</v>
      </c>
      <c r="J234" s="965" t="s">
        <v>719</v>
      </c>
      <c r="K234" s="965" t="s">
        <v>719</v>
      </c>
      <c r="L234" s="965" t="s">
        <v>719</v>
      </c>
      <c r="O234" s="963" t="e">
        <f t="shared" si="12"/>
        <v>#NUM!</v>
      </c>
      <c r="P234" s="963" t="e">
        <f t="shared" si="13"/>
        <v>#NUM!</v>
      </c>
      <c r="R234" s="963" t="e">
        <f t="shared" si="14"/>
        <v>#NUM!</v>
      </c>
      <c r="S234" s="963" t="e">
        <f t="shared" si="15"/>
        <v>#NUM!</v>
      </c>
    </row>
    <row r="235" spans="1:19" hidden="1" x14ac:dyDescent="0.25">
      <c r="A235" t="s">
        <v>744</v>
      </c>
      <c r="B235" t="s">
        <v>745</v>
      </c>
      <c r="C235" s="24" t="s">
        <v>1212</v>
      </c>
      <c r="D235" t="s">
        <v>1213</v>
      </c>
      <c r="E235" s="965">
        <v>32.380000000000003</v>
      </c>
      <c r="F235" s="966">
        <v>67360</v>
      </c>
      <c r="G235" s="967">
        <v>3.4</v>
      </c>
      <c r="H235" s="965">
        <v>21.15</v>
      </c>
      <c r="I235" s="965">
        <v>24.81</v>
      </c>
      <c r="J235" s="965">
        <v>29.98</v>
      </c>
      <c r="K235" s="965">
        <v>36.67</v>
      </c>
      <c r="L235" s="965">
        <v>48.57</v>
      </c>
      <c r="O235" s="963">
        <f t="shared" si="12"/>
        <v>30.782800000000002</v>
      </c>
      <c r="P235" s="963">
        <f t="shared" si="13"/>
        <v>33.458800000000004</v>
      </c>
      <c r="R235" s="963">
        <f t="shared" si="14"/>
        <v>25.844000000000001</v>
      </c>
      <c r="S235" s="963">
        <f t="shared" si="15"/>
        <v>27.911999999999999</v>
      </c>
    </row>
    <row r="236" spans="1:19" hidden="1" x14ac:dyDescent="0.25">
      <c r="A236" t="s">
        <v>744</v>
      </c>
      <c r="B236" t="s">
        <v>745</v>
      </c>
      <c r="C236" s="24" t="s">
        <v>1214</v>
      </c>
      <c r="D236" t="s">
        <v>1215</v>
      </c>
      <c r="E236" s="965">
        <v>31.6</v>
      </c>
      <c r="F236" s="966">
        <v>65730</v>
      </c>
      <c r="G236" s="967">
        <v>5.3</v>
      </c>
      <c r="H236" s="965">
        <v>16.79</v>
      </c>
      <c r="I236" s="965">
        <v>19.12</v>
      </c>
      <c r="J236" s="965">
        <v>29.17</v>
      </c>
      <c r="K236" s="965">
        <v>39.4</v>
      </c>
      <c r="L236" s="965">
        <v>51.26</v>
      </c>
      <c r="O236" s="963">
        <f t="shared" si="12"/>
        <v>30.397600000000004</v>
      </c>
      <c r="P236" s="963">
        <f t="shared" si="13"/>
        <v>34.489600000000003</v>
      </c>
      <c r="R236" s="963">
        <f t="shared" si="14"/>
        <v>21.130000000000003</v>
      </c>
      <c r="S236" s="963">
        <f t="shared" si="15"/>
        <v>25.150000000000002</v>
      </c>
    </row>
    <row r="237" spans="1:19" hidden="1" x14ac:dyDescent="0.25">
      <c r="A237" t="s">
        <v>744</v>
      </c>
      <c r="B237" t="s">
        <v>745</v>
      </c>
      <c r="C237" s="24" t="s">
        <v>1216</v>
      </c>
      <c r="D237" t="s">
        <v>1217</v>
      </c>
      <c r="E237" s="965">
        <v>21.61</v>
      </c>
      <c r="F237" s="966">
        <v>44940</v>
      </c>
      <c r="G237" s="967">
        <v>2.1</v>
      </c>
      <c r="H237" s="965">
        <v>15</v>
      </c>
      <c r="I237" s="965">
        <v>15.85</v>
      </c>
      <c r="J237" s="965">
        <v>18.350000000000001</v>
      </c>
      <c r="K237" s="965">
        <v>21.95</v>
      </c>
      <c r="L237" s="965">
        <v>30.39</v>
      </c>
      <c r="O237" s="963">
        <f t="shared" si="12"/>
        <v>18.782</v>
      </c>
      <c r="P237" s="963">
        <f t="shared" si="13"/>
        <v>20.222000000000001</v>
      </c>
      <c r="R237" s="963">
        <f t="shared" si="14"/>
        <v>16.350000000000001</v>
      </c>
      <c r="S237" s="963">
        <f t="shared" si="15"/>
        <v>17.350000000000001</v>
      </c>
    </row>
    <row r="238" spans="1:19" hidden="1" x14ac:dyDescent="0.25">
      <c r="A238" t="s">
        <v>744</v>
      </c>
      <c r="B238" t="s">
        <v>745</v>
      </c>
      <c r="C238" s="24" t="s">
        <v>1218</v>
      </c>
      <c r="D238" t="s">
        <v>1219</v>
      </c>
      <c r="E238" s="965">
        <v>31.54</v>
      </c>
      <c r="F238" s="966">
        <v>65610</v>
      </c>
      <c r="G238" s="967">
        <v>5.0999999999999996</v>
      </c>
      <c r="H238" s="965">
        <v>16.12</v>
      </c>
      <c r="I238" s="965">
        <v>19.14</v>
      </c>
      <c r="J238" s="965">
        <v>31.06</v>
      </c>
      <c r="K238" s="965">
        <v>39.5</v>
      </c>
      <c r="L238" s="965">
        <v>47.72</v>
      </c>
      <c r="O238" s="963">
        <f t="shared" si="12"/>
        <v>32.072800000000001</v>
      </c>
      <c r="P238" s="963">
        <f t="shared" si="13"/>
        <v>35.448799999999999</v>
      </c>
      <c r="R238" s="963">
        <f t="shared" si="14"/>
        <v>21.524000000000001</v>
      </c>
      <c r="S238" s="963">
        <f t="shared" si="15"/>
        <v>26.292000000000002</v>
      </c>
    </row>
    <row r="239" spans="1:19" hidden="1" x14ac:dyDescent="0.25">
      <c r="A239" t="s">
        <v>744</v>
      </c>
      <c r="B239" t="s">
        <v>745</v>
      </c>
      <c r="C239" s="24" t="s">
        <v>1220</v>
      </c>
      <c r="D239" t="s">
        <v>1221</v>
      </c>
      <c r="E239" s="965" t="s">
        <v>719</v>
      </c>
      <c r="F239" s="966">
        <v>93240</v>
      </c>
      <c r="G239" s="967">
        <v>2.7</v>
      </c>
      <c r="H239" s="965" t="s">
        <v>719</v>
      </c>
      <c r="I239" s="965" t="s">
        <v>719</v>
      </c>
      <c r="J239" s="965" t="s">
        <v>719</v>
      </c>
      <c r="K239" s="965" t="s">
        <v>719</v>
      </c>
      <c r="L239" s="965" t="s">
        <v>719</v>
      </c>
      <c r="O239" s="963" t="e">
        <f t="shared" si="12"/>
        <v>#NUM!</v>
      </c>
      <c r="P239" s="963" t="e">
        <f t="shared" si="13"/>
        <v>#NUM!</v>
      </c>
      <c r="R239" s="963" t="e">
        <f t="shared" si="14"/>
        <v>#NUM!</v>
      </c>
      <c r="S239" s="963" t="e">
        <f t="shared" si="15"/>
        <v>#NUM!</v>
      </c>
    </row>
    <row r="240" spans="1:19" hidden="1" x14ac:dyDescent="0.25">
      <c r="A240" t="s">
        <v>744</v>
      </c>
      <c r="B240" t="s">
        <v>745</v>
      </c>
      <c r="C240" s="24" t="s">
        <v>1222</v>
      </c>
      <c r="D240" t="s">
        <v>1223</v>
      </c>
      <c r="E240" s="965">
        <v>36.94</v>
      </c>
      <c r="F240" s="966">
        <v>76840</v>
      </c>
      <c r="G240" s="967">
        <v>3.3</v>
      </c>
      <c r="H240" s="965">
        <v>22.84</v>
      </c>
      <c r="I240" s="965">
        <v>28.35</v>
      </c>
      <c r="J240" s="965">
        <v>35.99</v>
      </c>
      <c r="K240" s="965">
        <v>44.34</v>
      </c>
      <c r="L240" s="965">
        <v>55.24</v>
      </c>
      <c r="O240" s="963">
        <f t="shared" si="12"/>
        <v>36.992000000000004</v>
      </c>
      <c r="P240" s="963">
        <f t="shared" si="13"/>
        <v>40.332000000000001</v>
      </c>
      <c r="R240" s="963">
        <f t="shared" si="14"/>
        <v>29.878000000000004</v>
      </c>
      <c r="S240" s="963">
        <f t="shared" si="15"/>
        <v>32.934000000000005</v>
      </c>
    </row>
    <row r="241" spans="1:19" hidden="1" x14ac:dyDescent="0.25">
      <c r="A241" t="s">
        <v>744</v>
      </c>
      <c r="B241" t="s">
        <v>745</v>
      </c>
      <c r="C241" s="24" t="s">
        <v>1224</v>
      </c>
      <c r="D241" t="s">
        <v>1225</v>
      </c>
      <c r="E241" s="965">
        <v>36.61</v>
      </c>
      <c r="F241" s="966">
        <v>76160</v>
      </c>
      <c r="G241" s="967">
        <v>13.7</v>
      </c>
      <c r="H241" s="965">
        <v>17.399999999999999</v>
      </c>
      <c r="I241" s="965">
        <v>21.71</v>
      </c>
      <c r="J241" s="965">
        <v>34</v>
      </c>
      <c r="K241" s="965">
        <v>43.54</v>
      </c>
      <c r="L241" s="965">
        <v>60.71</v>
      </c>
      <c r="O241" s="963">
        <f t="shared" si="12"/>
        <v>35.144800000000004</v>
      </c>
      <c r="P241" s="963">
        <f t="shared" si="13"/>
        <v>38.960799999999999</v>
      </c>
      <c r="R241" s="963">
        <f t="shared" si="14"/>
        <v>24.168000000000003</v>
      </c>
      <c r="S241" s="963">
        <f t="shared" si="15"/>
        <v>29.084000000000003</v>
      </c>
    </row>
    <row r="242" spans="1:19" hidden="1" x14ac:dyDescent="0.25">
      <c r="A242" t="s">
        <v>744</v>
      </c>
      <c r="B242" t="s">
        <v>745</v>
      </c>
      <c r="C242" s="24" t="s">
        <v>1226</v>
      </c>
      <c r="D242" t="s">
        <v>1227</v>
      </c>
      <c r="E242" s="965">
        <v>33.44</v>
      </c>
      <c r="F242" s="966">
        <v>69550</v>
      </c>
      <c r="G242" s="967">
        <v>2.6</v>
      </c>
      <c r="H242" s="965">
        <v>20.25</v>
      </c>
      <c r="I242" s="965">
        <v>22.83</v>
      </c>
      <c r="J242" s="965">
        <v>32.19</v>
      </c>
      <c r="K242" s="965">
        <v>40.14</v>
      </c>
      <c r="L242" s="965">
        <v>51.38</v>
      </c>
      <c r="O242" s="963">
        <f t="shared" si="12"/>
        <v>33.143999999999998</v>
      </c>
      <c r="P242" s="963">
        <f t="shared" si="13"/>
        <v>36.323999999999998</v>
      </c>
      <c r="R242" s="963">
        <f t="shared" si="14"/>
        <v>24.701999999999998</v>
      </c>
      <c r="S242" s="963">
        <f t="shared" si="15"/>
        <v>28.445999999999998</v>
      </c>
    </row>
    <row r="243" spans="1:19" hidden="1" x14ac:dyDescent="0.25">
      <c r="A243" t="s">
        <v>744</v>
      </c>
      <c r="B243" t="s">
        <v>745</v>
      </c>
      <c r="C243" s="24" t="s">
        <v>1228</v>
      </c>
      <c r="D243" t="s">
        <v>1229</v>
      </c>
      <c r="E243" s="965">
        <v>36.93</v>
      </c>
      <c r="F243" s="966">
        <v>76810</v>
      </c>
      <c r="G243" s="967">
        <v>0.7</v>
      </c>
      <c r="H243" s="965">
        <v>22.56</v>
      </c>
      <c r="I243" s="965">
        <v>28.61</v>
      </c>
      <c r="J243" s="965">
        <v>36.86</v>
      </c>
      <c r="K243" s="965">
        <v>44.28</v>
      </c>
      <c r="L243" s="965">
        <v>51.6</v>
      </c>
      <c r="O243" s="963">
        <f t="shared" si="12"/>
        <v>37.750399999999999</v>
      </c>
      <c r="P243" s="963">
        <f t="shared" si="13"/>
        <v>40.718400000000003</v>
      </c>
      <c r="R243" s="963">
        <f t="shared" si="14"/>
        <v>30.26</v>
      </c>
      <c r="S243" s="963">
        <f t="shared" si="15"/>
        <v>33.56</v>
      </c>
    </row>
    <row r="244" spans="1:19" hidden="1" x14ac:dyDescent="0.25">
      <c r="A244" t="s">
        <v>744</v>
      </c>
      <c r="B244" t="s">
        <v>745</v>
      </c>
      <c r="C244" s="24" t="s">
        <v>1230</v>
      </c>
      <c r="D244" t="s">
        <v>1231</v>
      </c>
      <c r="E244" s="965">
        <v>25.08</v>
      </c>
      <c r="F244" s="966">
        <v>52170</v>
      </c>
      <c r="G244" s="967">
        <v>0.6</v>
      </c>
      <c r="H244" s="965">
        <v>16.649999999999999</v>
      </c>
      <c r="I244" s="965">
        <v>20.46</v>
      </c>
      <c r="J244" s="965">
        <v>23.97</v>
      </c>
      <c r="K244" s="965">
        <v>29.33</v>
      </c>
      <c r="L244" s="965">
        <v>33.18</v>
      </c>
      <c r="O244" s="963">
        <f t="shared" si="12"/>
        <v>24.613199999999999</v>
      </c>
      <c r="P244" s="963">
        <f t="shared" si="13"/>
        <v>26.757199999999997</v>
      </c>
      <c r="R244" s="963">
        <f t="shared" si="14"/>
        <v>21.162000000000003</v>
      </c>
      <c r="S244" s="963">
        <f t="shared" si="15"/>
        <v>22.565999999999999</v>
      </c>
    </row>
    <row r="245" spans="1:19" hidden="1" x14ac:dyDescent="0.25">
      <c r="A245" t="s">
        <v>744</v>
      </c>
      <c r="B245" t="s">
        <v>745</v>
      </c>
      <c r="C245" s="24" t="s">
        <v>1232</v>
      </c>
      <c r="D245" t="s">
        <v>1233</v>
      </c>
      <c r="E245" s="965">
        <v>41.96</v>
      </c>
      <c r="F245" s="966">
        <v>87270</v>
      </c>
      <c r="G245" s="967">
        <v>1.1000000000000001</v>
      </c>
      <c r="H245" s="965">
        <v>24.8</v>
      </c>
      <c r="I245" s="965">
        <v>30.57</v>
      </c>
      <c r="J245" s="965">
        <v>40.26</v>
      </c>
      <c r="K245" s="965">
        <v>50.85</v>
      </c>
      <c r="L245" s="965">
        <v>60.25</v>
      </c>
      <c r="O245" s="963">
        <f t="shared" si="12"/>
        <v>41.530799999999999</v>
      </c>
      <c r="P245" s="963">
        <f t="shared" si="13"/>
        <v>45.766800000000003</v>
      </c>
      <c r="R245" s="963">
        <f t="shared" si="14"/>
        <v>32.508000000000003</v>
      </c>
      <c r="S245" s="963">
        <f t="shared" si="15"/>
        <v>36.384</v>
      </c>
    </row>
    <row r="246" spans="1:19" hidden="1" x14ac:dyDescent="0.25">
      <c r="A246" t="s">
        <v>744</v>
      </c>
      <c r="B246" t="s">
        <v>745</v>
      </c>
      <c r="C246" s="24" t="s">
        <v>1234</v>
      </c>
      <c r="D246" t="s">
        <v>1235</v>
      </c>
      <c r="E246" s="965" t="s">
        <v>719</v>
      </c>
      <c r="F246" s="966">
        <v>51860</v>
      </c>
      <c r="G246" s="967">
        <v>0.7</v>
      </c>
      <c r="H246" s="965" t="s">
        <v>719</v>
      </c>
      <c r="I246" s="965" t="s">
        <v>719</v>
      </c>
      <c r="J246" s="965" t="s">
        <v>719</v>
      </c>
      <c r="K246" s="965" t="s">
        <v>719</v>
      </c>
      <c r="L246" s="965" t="s">
        <v>719</v>
      </c>
      <c r="O246" s="963" t="e">
        <f t="shared" si="12"/>
        <v>#NUM!</v>
      </c>
      <c r="P246" s="963" t="e">
        <f t="shared" si="13"/>
        <v>#NUM!</v>
      </c>
      <c r="R246" s="963" t="e">
        <f t="shared" si="14"/>
        <v>#NUM!</v>
      </c>
      <c r="S246" s="963" t="e">
        <f t="shared" si="15"/>
        <v>#NUM!</v>
      </c>
    </row>
    <row r="247" spans="1:19" hidden="1" x14ac:dyDescent="0.25">
      <c r="A247" t="s">
        <v>744</v>
      </c>
      <c r="B247" t="s">
        <v>745</v>
      </c>
      <c r="C247" s="24" t="s">
        <v>1236</v>
      </c>
      <c r="D247" t="s">
        <v>1237</v>
      </c>
      <c r="E247" s="965" t="s">
        <v>719</v>
      </c>
      <c r="F247" s="966">
        <v>43620</v>
      </c>
      <c r="G247" s="967">
        <v>0.5</v>
      </c>
      <c r="H247" s="965" t="s">
        <v>719</v>
      </c>
      <c r="I247" s="965" t="s">
        <v>719</v>
      </c>
      <c r="J247" s="965" t="s">
        <v>719</v>
      </c>
      <c r="K247" s="965" t="s">
        <v>719</v>
      </c>
      <c r="L247" s="965" t="s">
        <v>719</v>
      </c>
      <c r="O247" s="963" t="e">
        <f t="shared" si="12"/>
        <v>#NUM!</v>
      </c>
      <c r="P247" s="963" t="e">
        <f t="shared" si="13"/>
        <v>#NUM!</v>
      </c>
      <c r="R247" s="963" t="e">
        <f t="shared" si="14"/>
        <v>#NUM!</v>
      </c>
      <c r="S247" s="963" t="e">
        <f t="shared" si="15"/>
        <v>#NUM!</v>
      </c>
    </row>
    <row r="248" spans="1:19" hidden="1" x14ac:dyDescent="0.25">
      <c r="A248" t="s">
        <v>744</v>
      </c>
      <c r="B248" t="s">
        <v>745</v>
      </c>
      <c r="C248" s="24" t="s">
        <v>1238</v>
      </c>
      <c r="D248" t="s">
        <v>1239</v>
      </c>
      <c r="E248" s="965">
        <v>31.93</v>
      </c>
      <c r="F248" s="966">
        <v>66410</v>
      </c>
      <c r="G248" s="967">
        <v>1.1000000000000001</v>
      </c>
      <c r="H248" s="965">
        <v>18.760000000000002</v>
      </c>
      <c r="I248" s="965">
        <v>24.13</v>
      </c>
      <c r="J248" s="965">
        <v>29.67</v>
      </c>
      <c r="K248" s="965">
        <v>40.18</v>
      </c>
      <c r="L248" s="965">
        <v>50.97</v>
      </c>
      <c r="O248" s="963">
        <f t="shared" si="12"/>
        <v>30.931200000000004</v>
      </c>
      <c r="P248" s="963">
        <f t="shared" si="13"/>
        <v>35.135199999999998</v>
      </c>
      <c r="R248" s="963">
        <f t="shared" si="14"/>
        <v>25.238</v>
      </c>
      <c r="S248" s="963">
        <f t="shared" si="15"/>
        <v>27.454000000000001</v>
      </c>
    </row>
    <row r="249" spans="1:19" hidden="1" x14ac:dyDescent="0.25">
      <c r="A249" t="s">
        <v>744</v>
      </c>
      <c r="B249" t="s">
        <v>745</v>
      </c>
      <c r="C249" s="24" t="s">
        <v>1240</v>
      </c>
      <c r="D249" t="s">
        <v>1241</v>
      </c>
      <c r="E249" s="965">
        <v>39.28</v>
      </c>
      <c r="F249" s="966">
        <v>81700</v>
      </c>
      <c r="G249" s="967">
        <v>3.1</v>
      </c>
      <c r="H249" s="965">
        <v>18.03</v>
      </c>
      <c r="I249" s="965">
        <v>23.02</v>
      </c>
      <c r="J249" s="965">
        <v>31.61</v>
      </c>
      <c r="K249" s="965">
        <v>45.67</v>
      </c>
      <c r="L249" s="965">
        <v>62.31</v>
      </c>
      <c r="O249" s="963">
        <f t="shared" si="12"/>
        <v>33.297200000000004</v>
      </c>
      <c r="P249" s="963">
        <f t="shared" si="13"/>
        <v>38.921199999999999</v>
      </c>
      <c r="R249" s="963">
        <f t="shared" si="14"/>
        <v>24.738</v>
      </c>
      <c r="S249" s="963">
        <f t="shared" si="15"/>
        <v>28.173999999999999</v>
      </c>
    </row>
    <row r="250" spans="1:19" hidden="1" x14ac:dyDescent="0.25">
      <c r="A250" t="s">
        <v>744</v>
      </c>
      <c r="B250" t="s">
        <v>745</v>
      </c>
      <c r="C250" s="24" t="s">
        <v>1242</v>
      </c>
      <c r="D250" t="s">
        <v>1243</v>
      </c>
      <c r="E250" s="965">
        <v>60.35</v>
      </c>
      <c r="F250" s="966">
        <v>125530</v>
      </c>
      <c r="G250" s="967">
        <v>3.7</v>
      </c>
      <c r="H250" s="965">
        <v>33.71</v>
      </c>
      <c r="I250" s="965">
        <v>39.46</v>
      </c>
      <c r="J250" s="965">
        <v>51.51</v>
      </c>
      <c r="K250" s="965">
        <v>74.61</v>
      </c>
      <c r="L250" s="965">
        <v>97.21</v>
      </c>
      <c r="O250" s="963">
        <f t="shared" si="12"/>
        <v>54.282000000000004</v>
      </c>
      <c r="P250" s="963">
        <f t="shared" si="13"/>
        <v>63.521999999999998</v>
      </c>
      <c r="R250" s="963">
        <f t="shared" si="14"/>
        <v>41.870000000000005</v>
      </c>
      <c r="S250" s="963">
        <f t="shared" si="15"/>
        <v>46.69</v>
      </c>
    </row>
    <row r="251" spans="1:19" hidden="1" x14ac:dyDescent="0.25">
      <c r="A251" t="s">
        <v>744</v>
      </c>
      <c r="B251" t="s">
        <v>745</v>
      </c>
      <c r="C251" s="24" t="s">
        <v>1244</v>
      </c>
      <c r="D251" t="s">
        <v>1245</v>
      </c>
      <c r="E251" s="965">
        <v>18.59</v>
      </c>
      <c r="F251" s="966">
        <v>38670</v>
      </c>
      <c r="G251" s="967">
        <v>5.0999999999999996</v>
      </c>
      <c r="H251" s="965">
        <v>15.28</v>
      </c>
      <c r="I251" s="965">
        <v>16</v>
      </c>
      <c r="J251" s="965">
        <v>16.62</v>
      </c>
      <c r="K251" s="965">
        <v>18.190000000000001</v>
      </c>
      <c r="L251" s="965">
        <v>28.44</v>
      </c>
      <c r="O251" s="963">
        <f t="shared" si="12"/>
        <v>16.808400000000002</v>
      </c>
      <c r="P251" s="963">
        <f t="shared" si="13"/>
        <v>17.436400000000003</v>
      </c>
      <c r="R251" s="963">
        <f t="shared" si="14"/>
        <v>16.123999999999999</v>
      </c>
      <c r="S251" s="963">
        <f t="shared" si="15"/>
        <v>16.372</v>
      </c>
    </row>
    <row r="252" spans="1:19" hidden="1" x14ac:dyDescent="0.25">
      <c r="A252" t="s">
        <v>744</v>
      </c>
      <c r="B252" t="s">
        <v>745</v>
      </c>
      <c r="C252" s="24" t="s">
        <v>1246</v>
      </c>
      <c r="D252" t="s">
        <v>1247</v>
      </c>
      <c r="E252" s="965">
        <v>38.950000000000003</v>
      </c>
      <c r="F252" s="966">
        <v>81010</v>
      </c>
      <c r="G252" s="967">
        <v>13</v>
      </c>
      <c r="H252" s="965">
        <v>15.41</v>
      </c>
      <c r="I252" s="965">
        <v>16.010000000000002</v>
      </c>
      <c r="J252" s="965">
        <v>38.92</v>
      </c>
      <c r="K252" s="965">
        <v>51.89</v>
      </c>
      <c r="L252" s="965">
        <v>66.83</v>
      </c>
      <c r="O252" s="963">
        <f t="shared" si="12"/>
        <v>40.476400000000005</v>
      </c>
      <c r="P252" s="963">
        <f t="shared" si="13"/>
        <v>45.664400000000001</v>
      </c>
      <c r="R252" s="963">
        <f t="shared" si="14"/>
        <v>20.592000000000006</v>
      </c>
      <c r="S252" s="963">
        <f t="shared" si="15"/>
        <v>29.756000000000004</v>
      </c>
    </row>
    <row r="253" spans="1:19" hidden="1" x14ac:dyDescent="0.25">
      <c r="A253" t="s">
        <v>744</v>
      </c>
      <c r="B253" t="s">
        <v>745</v>
      </c>
      <c r="C253" s="24" t="s">
        <v>1248</v>
      </c>
      <c r="D253" t="s">
        <v>1249</v>
      </c>
      <c r="E253" s="965">
        <v>42.09</v>
      </c>
      <c r="F253" s="966">
        <v>87550</v>
      </c>
      <c r="G253" s="967">
        <v>5</v>
      </c>
      <c r="H253" s="965">
        <v>27.88</v>
      </c>
      <c r="I253" s="965">
        <v>31.71</v>
      </c>
      <c r="J253" s="965">
        <v>39.340000000000003</v>
      </c>
      <c r="K253" s="965">
        <v>46.55</v>
      </c>
      <c r="L253" s="965">
        <v>63.93</v>
      </c>
      <c r="O253" s="963">
        <f t="shared" si="12"/>
        <v>40.205200000000005</v>
      </c>
      <c r="P253" s="963">
        <f t="shared" si="13"/>
        <v>43.089199999999998</v>
      </c>
      <c r="R253" s="963">
        <f t="shared" si="14"/>
        <v>33.236000000000004</v>
      </c>
      <c r="S253" s="963">
        <f t="shared" si="15"/>
        <v>36.288000000000004</v>
      </c>
    </row>
    <row r="254" spans="1:19" hidden="1" x14ac:dyDescent="0.25">
      <c r="A254" t="s">
        <v>744</v>
      </c>
      <c r="B254" t="s">
        <v>745</v>
      </c>
      <c r="C254" s="24" t="s">
        <v>1250</v>
      </c>
      <c r="D254" t="s">
        <v>1251</v>
      </c>
      <c r="E254" s="965">
        <v>40.07</v>
      </c>
      <c r="F254" s="966">
        <v>83340</v>
      </c>
      <c r="G254" s="967">
        <v>2.2000000000000002</v>
      </c>
      <c r="H254" s="965">
        <v>23.1</v>
      </c>
      <c r="I254" s="965">
        <v>31.98</v>
      </c>
      <c r="J254" s="965">
        <v>40.51</v>
      </c>
      <c r="K254" s="965">
        <v>49.27</v>
      </c>
      <c r="L254" s="965">
        <v>58.59</v>
      </c>
      <c r="O254" s="963">
        <f t="shared" si="12"/>
        <v>41.561199999999999</v>
      </c>
      <c r="P254" s="963">
        <f t="shared" si="13"/>
        <v>45.065200000000004</v>
      </c>
      <c r="R254" s="963">
        <f t="shared" si="14"/>
        <v>33.686</v>
      </c>
      <c r="S254" s="963">
        <f t="shared" si="15"/>
        <v>37.097999999999999</v>
      </c>
    </row>
    <row r="255" spans="1:19" hidden="1" x14ac:dyDescent="0.25">
      <c r="A255" t="s">
        <v>744</v>
      </c>
      <c r="B255" t="s">
        <v>745</v>
      </c>
      <c r="C255" s="24" t="s">
        <v>1252</v>
      </c>
      <c r="D255" t="s">
        <v>1253</v>
      </c>
      <c r="E255" s="965">
        <v>43.51</v>
      </c>
      <c r="F255" s="966">
        <v>90500</v>
      </c>
      <c r="G255" s="967">
        <v>2.1</v>
      </c>
      <c r="H255" s="965">
        <v>26.49</v>
      </c>
      <c r="I255" s="965">
        <v>33.11</v>
      </c>
      <c r="J255" s="965">
        <v>41.55</v>
      </c>
      <c r="K255" s="965">
        <v>51.21</v>
      </c>
      <c r="L255" s="965">
        <v>62.28</v>
      </c>
      <c r="O255" s="963">
        <f t="shared" si="12"/>
        <v>42.709199999999996</v>
      </c>
      <c r="P255" s="963">
        <f t="shared" si="13"/>
        <v>46.5732</v>
      </c>
      <c r="R255" s="963">
        <f t="shared" si="14"/>
        <v>34.798000000000002</v>
      </c>
      <c r="S255" s="963">
        <f t="shared" si="15"/>
        <v>38.173999999999999</v>
      </c>
    </row>
    <row r="256" spans="1:19" hidden="1" x14ac:dyDescent="0.25">
      <c r="A256" t="s">
        <v>744</v>
      </c>
      <c r="B256" t="s">
        <v>745</v>
      </c>
      <c r="C256" s="24" t="s">
        <v>1254</v>
      </c>
      <c r="D256" t="s">
        <v>1255</v>
      </c>
      <c r="E256" s="965">
        <v>50.1</v>
      </c>
      <c r="F256" s="966">
        <v>104210</v>
      </c>
      <c r="G256" s="967">
        <v>1</v>
      </c>
      <c r="H256" s="965">
        <v>30.67</v>
      </c>
      <c r="I256" s="965">
        <v>37.549999999999997</v>
      </c>
      <c r="J256" s="965">
        <v>47.41</v>
      </c>
      <c r="K256" s="965">
        <v>59.86</v>
      </c>
      <c r="L256" s="965">
        <v>76.78</v>
      </c>
      <c r="O256" s="963">
        <f t="shared" si="12"/>
        <v>48.903999999999996</v>
      </c>
      <c r="P256" s="963">
        <f t="shared" si="13"/>
        <v>53.884</v>
      </c>
      <c r="R256" s="963">
        <f t="shared" si="14"/>
        <v>39.521999999999998</v>
      </c>
      <c r="S256" s="963">
        <f t="shared" si="15"/>
        <v>43.465999999999994</v>
      </c>
    </row>
    <row r="257" spans="1:19" hidden="1" x14ac:dyDescent="0.25">
      <c r="A257" t="s">
        <v>744</v>
      </c>
      <c r="B257" t="s">
        <v>745</v>
      </c>
      <c r="C257" s="24" t="s">
        <v>1256</v>
      </c>
      <c r="D257" t="s">
        <v>1257</v>
      </c>
      <c r="E257" s="965">
        <v>20.420000000000002</v>
      </c>
      <c r="F257" s="966">
        <v>42470</v>
      </c>
      <c r="G257" s="967">
        <v>1.9</v>
      </c>
      <c r="H257" s="965">
        <v>17.07</v>
      </c>
      <c r="I257" s="965">
        <v>17.809999999999999</v>
      </c>
      <c r="J257" s="965">
        <v>18.440000000000001</v>
      </c>
      <c r="K257" s="965">
        <v>22.11</v>
      </c>
      <c r="L257" s="965">
        <v>27.78</v>
      </c>
      <c r="O257" s="963">
        <f t="shared" si="12"/>
        <v>18.880400000000002</v>
      </c>
      <c r="P257" s="963">
        <f t="shared" si="13"/>
        <v>20.348400000000002</v>
      </c>
      <c r="R257" s="963">
        <f t="shared" si="14"/>
        <v>17.936</v>
      </c>
      <c r="S257" s="963">
        <f t="shared" si="15"/>
        <v>18.187999999999999</v>
      </c>
    </row>
    <row r="258" spans="1:19" hidden="1" x14ac:dyDescent="0.25">
      <c r="A258" t="s">
        <v>744</v>
      </c>
      <c r="B258" t="s">
        <v>745</v>
      </c>
      <c r="C258" s="24" t="s">
        <v>1258</v>
      </c>
      <c r="D258" t="s">
        <v>1259</v>
      </c>
      <c r="E258" s="965">
        <v>35.81</v>
      </c>
      <c r="F258" s="966">
        <v>74490</v>
      </c>
      <c r="G258" s="967">
        <v>1.8</v>
      </c>
      <c r="H258" s="965">
        <v>21.57</v>
      </c>
      <c r="I258" s="965">
        <v>25.87</v>
      </c>
      <c r="J258" s="965">
        <v>33.799999999999997</v>
      </c>
      <c r="K258" s="965">
        <v>42.61</v>
      </c>
      <c r="L258" s="965">
        <v>52.1</v>
      </c>
      <c r="O258" s="963">
        <f t="shared" ref="O258:O321" si="16">_xlfn.PERCENTILE.INC((H258:L258),$W$1)</f>
        <v>34.857199999999999</v>
      </c>
      <c r="P258" s="963">
        <f t="shared" ref="P258:P321" si="17">_xlfn.PERCENTILE.INC((H258:L258),$X$1)</f>
        <v>38.3812</v>
      </c>
      <c r="R258" s="963">
        <f t="shared" si="14"/>
        <v>27.456000000000003</v>
      </c>
      <c r="S258" s="963">
        <f t="shared" si="15"/>
        <v>30.628</v>
      </c>
    </row>
    <row r="259" spans="1:19" hidden="1" x14ac:dyDescent="0.25">
      <c r="A259" t="s">
        <v>744</v>
      </c>
      <c r="B259" t="s">
        <v>745</v>
      </c>
      <c r="C259" s="24" t="s">
        <v>1260</v>
      </c>
      <c r="D259" t="s">
        <v>1261</v>
      </c>
      <c r="E259" s="965">
        <v>38.130000000000003</v>
      </c>
      <c r="F259" s="966">
        <v>79310</v>
      </c>
      <c r="G259" s="967">
        <v>2.9</v>
      </c>
      <c r="H259" s="965">
        <v>24.72</v>
      </c>
      <c r="I259" s="965">
        <v>29.7</v>
      </c>
      <c r="J259" s="965">
        <v>36.979999999999997</v>
      </c>
      <c r="K259" s="965">
        <v>47.32</v>
      </c>
      <c r="L259" s="965">
        <v>54.87</v>
      </c>
      <c r="O259" s="963">
        <f t="shared" si="16"/>
        <v>38.220799999999997</v>
      </c>
      <c r="P259" s="963">
        <f t="shared" si="17"/>
        <v>42.3568</v>
      </c>
      <c r="R259" s="963">
        <f t="shared" ref="R259:R322" si="18">_xlfn.PERCENTILE.INC((H259:L259),$Y$1)</f>
        <v>31.155999999999999</v>
      </c>
      <c r="S259" s="963">
        <f t="shared" ref="S259:S322" si="19">_xlfn.PERCENTILE.INC((H259:L259),$Z$1)</f>
        <v>34.067999999999998</v>
      </c>
    </row>
    <row r="260" spans="1:19" hidden="1" x14ac:dyDescent="0.25">
      <c r="A260" t="s">
        <v>744</v>
      </c>
      <c r="B260" t="s">
        <v>745</v>
      </c>
      <c r="C260" s="24" t="s">
        <v>1262</v>
      </c>
      <c r="D260" t="s">
        <v>1263</v>
      </c>
      <c r="E260" s="965">
        <v>21.8</v>
      </c>
      <c r="F260" s="966">
        <v>45340</v>
      </c>
      <c r="G260" s="967">
        <v>2</v>
      </c>
      <c r="H260" s="965">
        <v>15.23</v>
      </c>
      <c r="I260" s="965">
        <v>16.78</v>
      </c>
      <c r="J260" s="965">
        <v>18.68</v>
      </c>
      <c r="K260" s="965">
        <v>23.08</v>
      </c>
      <c r="L260" s="965">
        <v>30.6</v>
      </c>
      <c r="O260" s="963">
        <f t="shared" si="16"/>
        <v>19.207999999999998</v>
      </c>
      <c r="P260" s="963">
        <f t="shared" si="17"/>
        <v>20.968</v>
      </c>
      <c r="R260" s="963">
        <f t="shared" si="18"/>
        <v>17.16</v>
      </c>
      <c r="S260" s="963">
        <f t="shared" si="19"/>
        <v>17.920000000000002</v>
      </c>
    </row>
    <row r="261" spans="1:19" hidden="1" x14ac:dyDescent="0.25">
      <c r="A261" t="s">
        <v>744</v>
      </c>
      <c r="B261" t="s">
        <v>745</v>
      </c>
      <c r="C261" s="24" t="s">
        <v>1264</v>
      </c>
      <c r="D261" t="s">
        <v>1265</v>
      </c>
      <c r="E261" s="965">
        <v>34.99</v>
      </c>
      <c r="F261" s="966">
        <v>72770</v>
      </c>
      <c r="G261" s="967">
        <v>9.8000000000000007</v>
      </c>
      <c r="H261" s="965">
        <v>18.29</v>
      </c>
      <c r="I261" s="965">
        <v>20.58</v>
      </c>
      <c r="J261" s="965">
        <v>24.31</v>
      </c>
      <c r="K261" s="965">
        <v>51.92</v>
      </c>
      <c r="L261" s="965">
        <v>59.09</v>
      </c>
      <c r="O261" s="963">
        <f t="shared" si="16"/>
        <v>27.623200000000001</v>
      </c>
      <c r="P261" s="963">
        <f t="shared" si="17"/>
        <v>38.667200000000001</v>
      </c>
      <c r="R261" s="963">
        <f t="shared" si="18"/>
        <v>21.326000000000001</v>
      </c>
      <c r="S261" s="963">
        <f t="shared" si="19"/>
        <v>22.817999999999998</v>
      </c>
    </row>
    <row r="262" spans="1:19" hidden="1" x14ac:dyDescent="0.25">
      <c r="A262" t="s">
        <v>744</v>
      </c>
      <c r="B262" t="s">
        <v>745</v>
      </c>
      <c r="C262" s="24" t="s">
        <v>1266</v>
      </c>
      <c r="D262" t="s">
        <v>1267</v>
      </c>
      <c r="E262" s="965" t="s">
        <v>719</v>
      </c>
      <c r="F262" s="966" t="s">
        <v>719</v>
      </c>
      <c r="G262" s="967" t="s">
        <v>719</v>
      </c>
      <c r="H262" s="965" t="s">
        <v>719</v>
      </c>
      <c r="I262" s="965" t="s">
        <v>719</v>
      </c>
      <c r="J262" s="965" t="s">
        <v>719</v>
      </c>
      <c r="K262" s="965" t="s">
        <v>719</v>
      </c>
      <c r="L262" s="965" t="s">
        <v>719</v>
      </c>
      <c r="O262" s="963" t="e">
        <f t="shared" si="16"/>
        <v>#NUM!</v>
      </c>
      <c r="P262" s="963" t="e">
        <f t="shared" si="17"/>
        <v>#NUM!</v>
      </c>
      <c r="R262" s="963" t="e">
        <f t="shared" si="18"/>
        <v>#NUM!</v>
      </c>
      <c r="S262" s="963" t="e">
        <f t="shared" si="19"/>
        <v>#NUM!</v>
      </c>
    </row>
    <row r="263" spans="1:19" hidden="1" x14ac:dyDescent="0.25">
      <c r="A263" t="s">
        <v>744</v>
      </c>
      <c r="B263" t="s">
        <v>745</v>
      </c>
      <c r="C263" s="24" t="s">
        <v>1268</v>
      </c>
      <c r="D263" t="s">
        <v>1269</v>
      </c>
      <c r="E263" s="965">
        <v>41.85</v>
      </c>
      <c r="F263" s="966">
        <v>87050</v>
      </c>
      <c r="G263" s="967">
        <v>3.4</v>
      </c>
      <c r="H263" s="965">
        <v>23.24</v>
      </c>
      <c r="I263" s="965">
        <v>25.97</v>
      </c>
      <c r="J263" s="965">
        <v>33.68</v>
      </c>
      <c r="K263" s="965">
        <v>47.73</v>
      </c>
      <c r="L263" s="965">
        <v>64.150000000000006</v>
      </c>
      <c r="O263" s="963">
        <f t="shared" si="16"/>
        <v>35.366</v>
      </c>
      <c r="P263" s="963">
        <f t="shared" si="17"/>
        <v>40.985999999999997</v>
      </c>
      <c r="R263" s="963">
        <f t="shared" si="18"/>
        <v>27.512</v>
      </c>
      <c r="S263" s="963">
        <f t="shared" si="19"/>
        <v>30.596</v>
      </c>
    </row>
    <row r="264" spans="1:19" hidden="1" x14ac:dyDescent="0.25">
      <c r="A264" t="s">
        <v>744</v>
      </c>
      <c r="B264" t="s">
        <v>745</v>
      </c>
      <c r="C264" s="24" t="s">
        <v>1270</v>
      </c>
      <c r="D264" t="s">
        <v>1271</v>
      </c>
      <c r="E264" s="965" t="s">
        <v>719</v>
      </c>
      <c r="F264" s="966" t="s">
        <v>719</v>
      </c>
      <c r="G264" s="967" t="s">
        <v>719</v>
      </c>
      <c r="H264" s="965" t="s">
        <v>719</v>
      </c>
      <c r="I264" s="965" t="s">
        <v>719</v>
      </c>
      <c r="J264" s="965" t="s">
        <v>719</v>
      </c>
      <c r="K264" s="965" t="s">
        <v>719</v>
      </c>
      <c r="L264" s="965" t="s">
        <v>719</v>
      </c>
      <c r="O264" s="963" t="e">
        <f t="shared" si="16"/>
        <v>#NUM!</v>
      </c>
      <c r="P264" s="963" t="e">
        <f t="shared" si="17"/>
        <v>#NUM!</v>
      </c>
      <c r="R264" s="963" t="e">
        <f t="shared" si="18"/>
        <v>#NUM!</v>
      </c>
      <c r="S264" s="963" t="e">
        <f t="shared" si="19"/>
        <v>#NUM!</v>
      </c>
    </row>
    <row r="265" spans="1:19" hidden="1" x14ac:dyDescent="0.25">
      <c r="A265" t="s">
        <v>744</v>
      </c>
      <c r="B265" t="s">
        <v>745</v>
      </c>
      <c r="C265" s="24" t="s">
        <v>1272</v>
      </c>
      <c r="D265" t="s">
        <v>1273</v>
      </c>
      <c r="E265" s="965" t="s">
        <v>719</v>
      </c>
      <c r="F265" s="966">
        <v>72420</v>
      </c>
      <c r="G265" s="967">
        <v>5.8</v>
      </c>
      <c r="H265" s="965" t="s">
        <v>719</v>
      </c>
      <c r="I265" s="965" t="s">
        <v>719</v>
      </c>
      <c r="J265" s="965" t="s">
        <v>719</v>
      </c>
      <c r="K265" s="965" t="s">
        <v>719</v>
      </c>
      <c r="L265" s="965" t="s">
        <v>719</v>
      </c>
      <c r="O265" s="963" t="e">
        <f t="shared" si="16"/>
        <v>#NUM!</v>
      </c>
      <c r="P265" s="963" t="e">
        <f t="shared" si="17"/>
        <v>#NUM!</v>
      </c>
      <c r="R265" s="963" t="e">
        <f t="shared" si="18"/>
        <v>#NUM!</v>
      </c>
      <c r="S265" s="963" t="e">
        <f t="shared" si="19"/>
        <v>#NUM!</v>
      </c>
    </row>
    <row r="266" spans="1:19" hidden="1" x14ac:dyDescent="0.25">
      <c r="A266" t="s">
        <v>744</v>
      </c>
      <c r="B266" t="s">
        <v>745</v>
      </c>
      <c r="C266" s="24" t="s">
        <v>1274</v>
      </c>
      <c r="D266" t="s">
        <v>1275</v>
      </c>
      <c r="E266" s="965" t="s">
        <v>719</v>
      </c>
      <c r="F266" s="966">
        <v>60100</v>
      </c>
      <c r="G266" s="967">
        <v>5</v>
      </c>
      <c r="H266" s="965" t="s">
        <v>719</v>
      </c>
      <c r="I266" s="965" t="s">
        <v>719</v>
      </c>
      <c r="J266" s="965" t="s">
        <v>719</v>
      </c>
      <c r="K266" s="965" t="s">
        <v>719</v>
      </c>
      <c r="L266" s="965" t="s">
        <v>719</v>
      </c>
      <c r="O266" s="963" t="e">
        <f t="shared" si="16"/>
        <v>#NUM!</v>
      </c>
      <c r="P266" s="963" t="e">
        <f t="shared" si="17"/>
        <v>#NUM!</v>
      </c>
      <c r="R266" s="963" t="e">
        <f t="shared" si="18"/>
        <v>#NUM!</v>
      </c>
      <c r="S266" s="963" t="e">
        <f t="shared" si="19"/>
        <v>#NUM!</v>
      </c>
    </row>
    <row r="267" spans="1:19" hidden="1" x14ac:dyDescent="0.25">
      <c r="A267" t="s">
        <v>744</v>
      </c>
      <c r="B267" t="s">
        <v>745</v>
      </c>
      <c r="C267" s="24" t="s">
        <v>1276</v>
      </c>
      <c r="D267" t="s">
        <v>1277</v>
      </c>
      <c r="E267" s="965">
        <v>53.7</v>
      </c>
      <c r="F267" s="966">
        <v>111700</v>
      </c>
      <c r="G267" s="967">
        <v>10.5</v>
      </c>
      <c r="H267" s="965">
        <v>19.77</v>
      </c>
      <c r="I267" s="965">
        <v>26.72</v>
      </c>
      <c r="J267" s="965">
        <v>38.08</v>
      </c>
      <c r="K267" s="965">
        <v>78.25</v>
      </c>
      <c r="L267" s="965">
        <v>88.26</v>
      </c>
      <c r="O267" s="963">
        <f t="shared" si="16"/>
        <v>42.900400000000005</v>
      </c>
      <c r="P267" s="963">
        <f t="shared" si="17"/>
        <v>58.968400000000003</v>
      </c>
      <c r="R267" s="963">
        <f t="shared" si="18"/>
        <v>28.992000000000001</v>
      </c>
      <c r="S267" s="963">
        <f t="shared" si="19"/>
        <v>33.536000000000001</v>
      </c>
    </row>
    <row r="268" spans="1:19" hidden="1" x14ac:dyDescent="0.25">
      <c r="A268" t="s">
        <v>744</v>
      </c>
      <c r="B268" t="s">
        <v>745</v>
      </c>
      <c r="C268" s="24" t="s">
        <v>1278</v>
      </c>
      <c r="D268" t="s">
        <v>1279</v>
      </c>
      <c r="E268" s="965">
        <v>51.1</v>
      </c>
      <c r="F268" s="966" t="s">
        <v>719</v>
      </c>
      <c r="G268" s="967">
        <v>6.5</v>
      </c>
      <c r="H268" s="965">
        <v>23.68</v>
      </c>
      <c r="I268" s="965">
        <v>33.04</v>
      </c>
      <c r="J268" s="965">
        <v>50.7</v>
      </c>
      <c r="K268" s="965">
        <v>67</v>
      </c>
      <c r="L268" s="965">
        <v>68.95</v>
      </c>
      <c r="O268" s="963">
        <f t="shared" si="16"/>
        <v>52.656000000000006</v>
      </c>
      <c r="P268" s="963">
        <f t="shared" si="17"/>
        <v>59.176000000000002</v>
      </c>
      <c r="R268" s="963">
        <f t="shared" si="18"/>
        <v>36.572000000000003</v>
      </c>
      <c r="S268" s="963">
        <f t="shared" si="19"/>
        <v>43.636000000000003</v>
      </c>
    </row>
    <row r="269" spans="1:19" hidden="1" x14ac:dyDescent="0.25">
      <c r="A269" t="s">
        <v>744</v>
      </c>
      <c r="B269" t="s">
        <v>745</v>
      </c>
      <c r="C269" s="24" t="s">
        <v>1280</v>
      </c>
      <c r="D269" t="s">
        <v>1281</v>
      </c>
      <c r="E269" s="965">
        <v>34.14</v>
      </c>
      <c r="F269" s="966">
        <v>71020</v>
      </c>
      <c r="G269" s="967">
        <v>26</v>
      </c>
      <c r="H269" s="965">
        <v>17.63</v>
      </c>
      <c r="I269" s="965">
        <v>22.82</v>
      </c>
      <c r="J269" s="965">
        <v>24.77</v>
      </c>
      <c r="K269" s="965">
        <v>30.98</v>
      </c>
      <c r="L269" s="965">
        <v>47.75</v>
      </c>
      <c r="O269" s="963">
        <f t="shared" si="16"/>
        <v>25.5152</v>
      </c>
      <c r="P269" s="963">
        <f t="shared" si="17"/>
        <v>27.999200000000002</v>
      </c>
      <c r="R269" s="963">
        <f t="shared" si="18"/>
        <v>23.21</v>
      </c>
      <c r="S269" s="963">
        <f t="shared" si="19"/>
        <v>23.99</v>
      </c>
    </row>
    <row r="270" spans="1:19" hidden="1" x14ac:dyDescent="0.25">
      <c r="A270" t="s">
        <v>744</v>
      </c>
      <c r="B270" t="s">
        <v>745</v>
      </c>
      <c r="C270" s="24" t="s">
        <v>1282</v>
      </c>
      <c r="D270" t="s">
        <v>1283</v>
      </c>
      <c r="E270" s="965">
        <v>39.11</v>
      </c>
      <c r="F270" s="966">
        <v>81360</v>
      </c>
      <c r="G270" s="967">
        <v>5.2</v>
      </c>
      <c r="H270" s="965">
        <v>17.54</v>
      </c>
      <c r="I270" s="965">
        <v>18.88</v>
      </c>
      <c r="J270" s="965">
        <v>27.54</v>
      </c>
      <c r="K270" s="965">
        <v>46.37</v>
      </c>
      <c r="L270" s="965">
        <v>83.58</v>
      </c>
      <c r="O270" s="963">
        <f t="shared" si="16"/>
        <v>29.799600000000002</v>
      </c>
      <c r="P270" s="963">
        <f t="shared" si="17"/>
        <v>37.331599999999995</v>
      </c>
      <c r="R270" s="963">
        <f t="shared" si="18"/>
        <v>20.612000000000002</v>
      </c>
      <c r="S270" s="963">
        <f t="shared" si="19"/>
        <v>24.076000000000001</v>
      </c>
    </row>
    <row r="271" spans="1:19" hidden="1" x14ac:dyDescent="0.25">
      <c r="A271" t="s">
        <v>744</v>
      </c>
      <c r="B271" t="s">
        <v>745</v>
      </c>
      <c r="C271" s="24" t="s">
        <v>1284</v>
      </c>
      <c r="D271" t="s">
        <v>1285</v>
      </c>
      <c r="E271" s="965">
        <v>41.05</v>
      </c>
      <c r="F271" s="966">
        <v>85370</v>
      </c>
      <c r="G271" s="967">
        <v>2.2000000000000002</v>
      </c>
      <c r="H271" s="965">
        <v>22.47</v>
      </c>
      <c r="I271" s="965">
        <v>27.99</v>
      </c>
      <c r="J271" s="965">
        <v>36.29</v>
      </c>
      <c r="K271" s="965">
        <v>49.2</v>
      </c>
      <c r="L271" s="965">
        <v>68</v>
      </c>
      <c r="O271" s="963">
        <f t="shared" si="16"/>
        <v>37.839199999999998</v>
      </c>
      <c r="P271" s="963">
        <f t="shared" si="17"/>
        <v>43.0032</v>
      </c>
      <c r="R271" s="963">
        <f t="shared" si="18"/>
        <v>29.65</v>
      </c>
      <c r="S271" s="963">
        <f t="shared" si="19"/>
        <v>32.97</v>
      </c>
    </row>
    <row r="272" spans="1:19" hidden="1" x14ac:dyDescent="0.25">
      <c r="A272" t="s">
        <v>744</v>
      </c>
      <c r="B272" t="s">
        <v>745</v>
      </c>
      <c r="C272" s="24" t="s">
        <v>1286</v>
      </c>
      <c r="D272" t="s">
        <v>1287</v>
      </c>
      <c r="E272" s="965">
        <v>39.700000000000003</v>
      </c>
      <c r="F272" s="966">
        <v>82580</v>
      </c>
      <c r="G272" s="967">
        <v>2.1</v>
      </c>
      <c r="H272" s="965">
        <v>20.83</v>
      </c>
      <c r="I272" s="965">
        <v>26.4</v>
      </c>
      <c r="J272" s="965">
        <v>36.97</v>
      </c>
      <c r="K272" s="965">
        <v>49.04</v>
      </c>
      <c r="L272" s="965">
        <v>60.89</v>
      </c>
      <c r="O272" s="963">
        <f t="shared" si="16"/>
        <v>38.418399999999998</v>
      </c>
      <c r="P272" s="963">
        <f t="shared" si="17"/>
        <v>43.246400000000001</v>
      </c>
      <c r="R272" s="963">
        <f t="shared" si="18"/>
        <v>28.513999999999999</v>
      </c>
      <c r="S272" s="963">
        <f t="shared" si="19"/>
        <v>32.741999999999997</v>
      </c>
    </row>
    <row r="273" spans="1:21" hidden="1" x14ac:dyDescent="0.25">
      <c r="A273" t="s">
        <v>744</v>
      </c>
      <c r="B273" t="s">
        <v>745</v>
      </c>
      <c r="C273" s="24" t="s">
        <v>1288</v>
      </c>
      <c r="D273" t="s">
        <v>1289</v>
      </c>
      <c r="E273" s="965">
        <v>50.46</v>
      </c>
      <c r="F273" s="966">
        <v>104960</v>
      </c>
      <c r="G273" s="967">
        <v>2.4</v>
      </c>
      <c r="H273" s="965">
        <v>31.85</v>
      </c>
      <c r="I273" s="965">
        <v>38.04</v>
      </c>
      <c r="J273" s="965">
        <v>48.49</v>
      </c>
      <c r="K273" s="965">
        <v>61.16</v>
      </c>
      <c r="L273" s="965">
        <v>66.209999999999994</v>
      </c>
      <c r="O273" s="963">
        <f t="shared" si="16"/>
        <v>50.010400000000004</v>
      </c>
      <c r="P273" s="963">
        <f t="shared" si="17"/>
        <v>55.078400000000002</v>
      </c>
      <c r="R273" s="963">
        <f t="shared" si="18"/>
        <v>40.130000000000003</v>
      </c>
      <c r="S273" s="963">
        <f t="shared" si="19"/>
        <v>44.31</v>
      </c>
    </row>
    <row r="274" spans="1:21" hidden="1" x14ac:dyDescent="0.25">
      <c r="A274" t="s">
        <v>744</v>
      </c>
      <c r="B274" t="s">
        <v>745</v>
      </c>
      <c r="C274" s="24" t="s">
        <v>1290</v>
      </c>
      <c r="D274" t="s">
        <v>1291</v>
      </c>
      <c r="E274" s="965">
        <v>38.869999999999997</v>
      </c>
      <c r="F274" s="966">
        <v>80840</v>
      </c>
      <c r="G274" s="967">
        <v>9.9</v>
      </c>
      <c r="H274" s="965">
        <v>21.63</v>
      </c>
      <c r="I274" s="965">
        <v>24.49</v>
      </c>
      <c r="J274" s="965">
        <v>36.119999999999997</v>
      </c>
      <c r="K274" s="965">
        <v>46.33</v>
      </c>
      <c r="L274" s="965">
        <v>53.36</v>
      </c>
      <c r="O274" s="963">
        <f t="shared" si="16"/>
        <v>37.345199999999998</v>
      </c>
      <c r="P274" s="963">
        <f t="shared" si="17"/>
        <v>41.429199999999994</v>
      </c>
      <c r="R274" s="963">
        <f t="shared" si="18"/>
        <v>26.815999999999999</v>
      </c>
      <c r="S274" s="963">
        <f t="shared" si="19"/>
        <v>31.468</v>
      </c>
    </row>
    <row r="275" spans="1:21" hidden="1" x14ac:dyDescent="0.25">
      <c r="A275" t="s">
        <v>744</v>
      </c>
      <c r="B275" s="992" t="s">
        <v>745</v>
      </c>
      <c r="C275" s="993" t="s">
        <v>1292</v>
      </c>
      <c r="D275" s="992" t="s">
        <v>1293</v>
      </c>
      <c r="E275" s="994">
        <v>30.31</v>
      </c>
      <c r="F275" s="995">
        <v>63040</v>
      </c>
      <c r="G275" s="996">
        <v>1.6</v>
      </c>
      <c r="H275" s="994">
        <v>20.37</v>
      </c>
      <c r="I275" s="994">
        <v>22.96</v>
      </c>
      <c r="J275" s="994">
        <v>28.04</v>
      </c>
      <c r="K275" s="994">
        <v>36.33</v>
      </c>
      <c r="L275" s="994">
        <v>42.96</v>
      </c>
      <c r="M275" s="992"/>
      <c r="N275" s="992"/>
      <c r="O275" s="997">
        <f t="shared" si="16"/>
        <v>29.034800000000001</v>
      </c>
      <c r="P275" s="997">
        <f t="shared" si="17"/>
        <v>32.3508</v>
      </c>
      <c r="Q275" s="992"/>
      <c r="R275" s="997">
        <f t="shared" si="18"/>
        <v>23.976000000000003</v>
      </c>
      <c r="S275" s="997">
        <f t="shared" si="19"/>
        <v>26.007999999999999</v>
      </c>
      <c r="T275" s="992"/>
      <c r="U275" s="998">
        <f>O275*2080</f>
        <v>60392.383999999998</v>
      </c>
    </row>
    <row r="276" spans="1:21" hidden="1" x14ac:dyDescent="0.25">
      <c r="A276" t="s">
        <v>744</v>
      </c>
      <c r="B276" t="s">
        <v>745</v>
      </c>
      <c r="C276" s="24" t="s">
        <v>1294</v>
      </c>
      <c r="D276" t="s">
        <v>1295</v>
      </c>
      <c r="E276" s="965">
        <v>34.119999999999997</v>
      </c>
      <c r="F276" s="966">
        <v>70970</v>
      </c>
      <c r="G276" s="967">
        <v>1.5</v>
      </c>
      <c r="H276" s="965">
        <v>23.29</v>
      </c>
      <c r="I276" s="965">
        <v>27.84</v>
      </c>
      <c r="J276" s="965">
        <v>36.96</v>
      </c>
      <c r="K276" s="965">
        <v>37.15</v>
      </c>
      <c r="L276" s="965">
        <v>37.700000000000003</v>
      </c>
      <c r="O276" s="963">
        <f t="shared" si="16"/>
        <v>36.982799999999997</v>
      </c>
      <c r="P276" s="963">
        <f t="shared" si="17"/>
        <v>37.058799999999998</v>
      </c>
      <c r="R276" s="963">
        <f t="shared" si="18"/>
        <v>29.664000000000001</v>
      </c>
      <c r="S276" s="963">
        <f t="shared" si="19"/>
        <v>33.311999999999998</v>
      </c>
    </row>
    <row r="277" spans="1:21" hidden="1" x14ac:dyDescent="0.25">
      <c r="A277" t="s">
        <v>744</v>
      </c>
      <c r="B277" t="s">
        <v>745</v>
      </c>
      <c r="C277" s="24" t="s">
        <v>1296</v>
      </c>
      <c r="D277" t="s">
        <v>1297</v>
      </c>
      <c r="E277" s="965">
        <v>26.11</v>
      </c>
      <c r="F277" s="966">
        <v>54300</v>
      </c>
      <c r="G277" s="967">
        <v>12.6</v>
      </c>
      <c r="H277" s="965">
        <v>18.850000000000001</v>
      </c>
      <c r="I277" s="965">
        <v>18.86</v>
      </c>
      <c r="J277" s="965">
        <v>22.67</v>
      </c>
      <c r="K277" s="965">
        <v>26.99</v>
      </c>
      <c r="L277" s="965">
        <v>41.75</v>
      </c>
      <c r="O277" s="963">
        <f t="shared" si="16"/>
        <v>23.188400000000001</v>
      </c>
      <c r="P277" s="963">
        <f t="shared" si="17"/>
        <v>24.916399999999999</v>
      </c>
      <c r="R277" s="963">
        <f t="shared" si="18"/>
        <v>19.622</v>
      </c>
      <c r="S277" s="963">
        <f t="shared" si="19"/>
        <v>21.146000000000001</v>
      </c>
    </row>
    <row r="278" spans="1:21" hidden="1" x14ac:dyDescent="0.25">
      <c r="A278" t="s">
        <v>744</v>
      </c>
      <c r="B278" t="s">
        <v>745</v>
      </c>
      <c r="C278" s="24" t="s">
        <v>1298</v>
      </c>
      <c r="D278" t="s">
        <v>1299</v>
      </c>
      <c r="E278" s="965">
        <v>29.42</v>
      </c>
      <c r="F278" s="966">
        <v>61190</v>
      </c>
      <c r="G278" s="967">
        <v>4</v>
      </c>
      <c r="H278" s="965">
        <v>16.940000000000001</v>
      </c>
      <c r="I278" s="965">
        <v>21.25</v>
      </c>
      <c r="J278" s="965">
        <v>28.64</v>
      </c>
      <c r="K278" s="965">
        <v>36.520000000000003</v>
      </c>
      <c r="L278" s="965">
        <v>44.06</v>
      </c>
      <c r="O278" s="963">
        <f t="shared" si="16"/>
        <v>29.585600000000003</v>
      </c>
      <c r="P278" s="963">
        <f t="shared" si="17"/>
        <v>32.7376</v>
      </c>
      <c r="R278" s="963">
        <f t="shared" si="18"/>
        <v>22.728000000000002</v>
      </c>
      <c r="S278" s="963">
        <f t="shared" si="19"/>
        <v>25.684000000000001</v>
      </c>
    </row>
    <row r="279" spans="1:21" hidden="1" x14ac:dyDescent="0.25">
      <c r="A279" t="s">
        <v>744</v>
      </c>
      <c r="B279" t="s">
        <v>745</v>
      </c>
      <c r="C279" s="24" t="s">
        <v>1300</v>
      </c>
      <c r="D279" t="s">
        <v>1301</v>
      </c>
      <c r="E279" s="965">
        <v>28.75</v>
      </c>
      <c r="F279" s="966">
        <v>59800</v>
      </c>
      <c r="G279" s="967">
        <v>8.6</v>
      </c>
      <c r="H279" s="965">
        <v>16.53</v>
      </c>
      <c r="I279" s="965">
        <v>17.84</v>
      </c>
      <c r="J279" s="965">
        <v>23.5</v>
      </c>
      <c r="K279" s="965">
        <v>36.56</v>
      </c>
      <c r="L279" s="965">
        <v>48.03</v>
      </c>
      <c r="O279" s="963">
        <f t="shared" si="16"/>
        <v>25.067200000000003</v>
      </c>
      <c r="P279" s="963">
        <f t="shared" si="17"/>
        <v>30.291200000000003</v>
      </c>
      <c r="R279" s="963">
        <f t="shared" si="18"/>
        <v>18.972000000000001</v>
      </c>
      <c r="S279" s="963">
        <f t="shared" si="19"/>
        <v>21.236000000000001</v>
      </c>
    </row>
    <row r="280" spans="1:21" hidden="1" x14ac:dyDescent="0.25">
      <c r="A280" t="s">
        <v>744</v>
      </c>
      <c r="B280" t="s">
        <v>745</v>
      </c>
      <c r="C280" s="24" t="s">
        <v>1302</v>
      </c>
      <c r="D280" t="s">
        <v>1303</v>
      </c>
      <c r="E280" s="965">
        <v>29.44</v>
      </c>
      <c r="F280" s="966">
        <v>61220</v>
      </c>
      <c r="G280" s="967">
        <v>2.5</v>
      </c>
      <c r="H280" s="965">
        <v>17.77</v>
      </c>
      <c r="I280" s="965">
        <v>23.97</v>
      </c>
      <c r="J280" s="965">
        <v>28.5</v>
      </c>
      <c r="K280" s="965">
        <v>29.45</v>
      </c>
      <c r="L280" s="965">
        <v>38.04</v>
      </c>
      <c r="O280" s="963">
        <f t="shared" si="16"/>
        <v>28.614000000000001</v>
      </c>
      <c r="P280" s="963">
        <f t="shared" si="17"/>
        <v>28.994</v>
      </c>
      <c r="R280" s="963">
        <f t="shared" si="18"/>
        <v>24.876000000000001</v>
      </c>
      <c r="S280" s="963">
        <f t="shared" si="19"/>
        <v>26.687999999999999</v>
      </c>
    </row>
    <row r="281" spans="1:21" hidden="1" x14ac:dyDescent="0.25">
      <c r="A281" t="s">
        <v>744</v>
      </c>
      <c r="B281" t="s">
        <v>745</v>
      </c>
      <c r="C281" s="24" t="s">
        <v>1304</v>
      </c>
      <c r="D281" t="s">
        <v>1305</v>
      </c>
      <c r="E281" s="965">
        <v>36.770000000000003</v>
      </c>
      <c r="F281" s="966">
        <v>76490</v>
      </c>
      <c r="G281" s="967">
        <v>8.9</v>
      </c>
      <c r="H281" s="965">
        <v>19.04</v>
      </c>
      <c r="I281" s="965">
        <v>27.25</v>
      </c>
      <c r="J281" s="965">
        <v>35.520000000000003</v>
      </c>
      <c r="K281" s="965">
        <v>36.58</v>
      </c>
      <c r="L281" s="965">
        <v>65.58</v>
      </c>
      <c r="O281" s="963">
        <f t="shared" si="16"/>
        <v>35.647200000000005</v>
      </c>
      <c r="P281" s="963">
        <f t="shared" si="17"/>
        <v>36.071199999999997</v>
      </c>
      <c r="R281" s="963">
        <f t="shared" si="18"/>
        <v>28.904000000000003</v>
      </c>
      <c r="S281" s="963">
        <f t="shared" si="19"/>
        <v>32.212000000000003</v>
      </c>
    </row>
    <row r="282" spans="1:21" hidden="1" x14ac:dyDescent="0.25">
      <c r="A282" t="s">
        <v>744</v>
      </c>
      <c r="B282" t="s">
        <v>745</v>
      </c>
      <c r="C282" s="24" t="s">
        <v>1306</v>
      </c>
      <c r="D282" t="s">
        <v>1307</v>
      </c>
      <c r="E282" s="965">
        <v>27.62</v>
      </c>
      <c r="F282" s="966">
        <v>57460</v>
      </c>
      <c r="G282" s="967">
        <v>5.2</v>
      </c>
      <c r="H282" s="965">
        <v>18</v>
      </c>
      <c r="I282" s="965">
        <v>18.75</v>
      </c>
      <c r="J282" s="965">
        <v>23.82</v>
      </c>
      <c r="K282" s="965">
        <v>32.380000000000003</v>
      </c>
      <c r="L282" s="965">
        <v>44.5</v>
      </c>
      <c r="O282" s="963">
        <f t="shared" si="16"/>
        <v>24.847200000000001</v>
      </c>
      <c r="P282" s="963">
        <f t="shared" si="17"/>
        <v>28.2712</v>
      </c>
      <c r="R282" s="963">
        <f t="shared" si="18"/>
        <v>19.763999999999999</v>
      </c>
      <c r="S282" s="963">
        <f t="shared" si="19"/>
        <v>21.792000000000002</v>
      </c>
    </row>
    <row r="283" spans="1:21" hidden="1" x14ac:dyDescent="0.25">
      <c r="A283" t="s">
        <v>744</v>
      </c>
      <c r="B283" t="s">
        <v>745</v>
      </c>
      <c r="C283" s="24" t="s">
        <v>1308</v>
      </c>
      <c r="D283" t="s">
        <v>1309</v>
      </c>
      <c r="E283" s="965">
        <v>28.46</v>
      </c>
      <c r="F283" s="966">
        <v>59200</v>
      </c>
      <c r="G283" s="967">
        <v>4.7</v>
      </c>
      <c r="H283" s="965">
        <v>18.47</v>
      </c>
      <c r="I283" s="965">
        <v>18.489999999999998</v>
      </c>
      <c r="J283" s="965">
        <v>21.16</v>
      </c>
      <c r="K283" s="965">
        <v>31.03</v>
      </c>
      <c r="L283" s="965">
        <v>44.84</v>
      </c>
      <c r="O283" s="963">
        <f t="shared" si="16"/>
        <v>22.3444</v>
      </c>
      <c r="P283" s="963">
        <f t="shared" si="17"/>
        <v>26.292400000000001</v>
      </c>
      <c r="R283" s="963">
        <f t="shared" si="18"/>
        <v>19.024000000000001</v>
      </c>
      <c r="S283" s="963">
        <f t="shared" si="19"/>
        <v>20.091999999999999</v>
      </c>
    </row>
    <row r="284" spans="1:21" hidden="1" x14ac:dyDescent="0.25">
      <c r="A284" t="s">
        <v>744</v>
      </c>
      <c r="B284" t="s">
        <v>745</v>
      </c>
      <c r="C284" s="24" t="s">
        <v>1310</v>
      </c>
      <c r="D284" t="s">
        <v>1311</v>
      </c>
      <c r="E284" s="965">
        <v>33.17</v>
      </c>
      <c r="F284" s="966">
        <v>69000</v>
      </c>
      <c r="G284" s="967">
        <v>5.8</v>
      </c>
      <c r="H284" s="965">
        <v>19.73</v>
      </c>
      <c r="I284" s="965">
        <v>22.84</v>
      </c>
      <c r="J284" s="965">
        <v>32.380000000000003</v>
      </c>
      <c r="K284" s="965">
        <v>41.52</v>
      </c>
      <c r="L284" s="965">
        <v>46.38</v>
      </c>
      <c r="O284" s="963">
        <f t="shared" si="16"/>
        <v>33.476800000000004</v>
      </c>
      <c r="P284" s="963">
        <f t="shared" si="17"/>
        <v>37.132800000000003</v>
      </c>
      <c r="R284" s="963">
        <f t="shared" si="18"/>
        <v>24.748000000000001</v>
      </c>
      <c r="S284" s="963">
        <f t="shared" si="19"/>
        <v>28.564000000000004</v>
      </c>
    </row>
    <row r="285" spans="1:21" hidden="1" x14ac:dyDescent="0.25">
      <c r="A285" t="s">
        <v>744</v>
      </c>
      <c r="B285" t="s">
        <v>745</v>
      </c>
      <c r="C285" s="24" t="s">
        <v>1312</v>
      </c>
      <c r="D285" t="s">
        <v>1313</v>
      </c>
      <c r="E285" s="965">
        <v>45.31</v>
      </c>
      <c r="F285" s="966">
        <v>94250</v>
      </c>
      <c r="G285" s="967">
        <v>0.4</v>
      </c>
      <c r="H285" s="965">
        <v>17.489999999999998</v>
      </c>
      <c r="I285" s="965">
        <v>31.88</v>
      </c>
      <c r="J285" s="965">
        <v>47.33</v>
      </c>
      <c r="K285" s="965">
        <v>58.23</v>
      </c>
      <c r="L285" s="965">
        <v>69.239999999999995</v>
      </c>
      <c r="O285" s="963">
        <f t="shared" si="16"/>
        <v>48.637999999999998</v>
      </c>
      <c r="P285" s="963">
        <f t="shared" si="17"/>
        <v>52.997999999999998</v>
      </c>
      <c r="R285" s="963">
        <f t="shared" si="18"/>
        <v>34.97</v>
      </c>
      <c r="S285" s="963">
        <f t="shared" si="19"/>
        <v>41.15</v>
      </c>
    </row>
    <row r="286" spans="1:21" hidden="1" x14ac:dyDescent="0.25">
      <c r="A286" t="s">
        <v>744</v>
      </c>
      <c r="B286" t="s">
        <v>745</v>
      </c>
      <c r="C286" s="24" t="s">
        <v>1314</v>
      </c>
      <c r="D286" t="s">
        <v>1315</v>
      </c>
      <c r="E286" s="965">
        <v>55.7</v>
      </c>
      <c r="F286" s="966">
        <v>115850</v>
      </c>
      <c r="G286" s="967">
        <v>1.2</v>
      </c>
      <c r="H286" s="965">
        <v>23.28</v>
      </c>
      <c r="I286" s="965">
        <v>34.32</v>
      </c>
      <c r="J286" s="965">
        <v>45.36</v>
      </c>
      <c r="K286" s="965">
        <v>62.92</v>
      </c>
      <c r="L286" s="965">
        <v>84.84</v>
      </c>
      <c r="O286" s="963">
        <f t="shared" si="16"/>
        <v>47.467199999999998</v>
      </c>
      <c r="P286" s="963">
        <f t="shared" si="17"/>
        <v>54.491199999999999</v>
      </c>
      <c r="R286" s="963">
        <f t="shared" si="18"/>
        <v>36.528000000000006</v>
      </c>
      <c r="S286" s="963">
        <f t="shared" si="19"/>
        <v>40.944000000000003</v>
      </c>
    </row>
    <row r="287" spans="1:21" hidden="1" x14ac:dyDescent="0.25">
      <c r="A287" t="s">
        <v>744</v>
      </c>
      <c r="B287" t="s">
        <v>745</v>
      </c>
      <c r="C287" s="24" t="s">
        <v>1316</v>
      </c>
      <c r="D287" t="s">
        <v>1317</v>
      </c>
      <c r="E287" s="965">
        <v>44.64</v>
      </c>
      <c r="F287" s="966">
        <v>92850</v>
      </c>
      <c r="G287" s="967">
        <v>8.1</v>
      </c>
      <c r="H287" s="965">
        <v>16.87</v>
      </c>
      <c r="I287" s="965">
        <v>23.36</v>
      </c>
      <c r="J287" s="965">
        <v>38.299999999999997</v>
      </c>
      <c r="K287" s="965">
        <v>58.94</v>
      </c>
      <c r="L287" s="965">
        <v>81.02</v>
      </c>
      <c r="O287" s="963">
        <f t="shared" si="16"/>
        <v>40.776800000000001</v>
      </c>
      <c r="P287" s="963">
        <f t="shared" si="17"/>
        <v>49.032799999999995</v>
      </c>
      <c r="R287" s="963">
        <f t="shared" si="18"/>
        <v>26.348000000000003</v>
      </c>
      <c r="S287" s="963">
        <f t="shared" si="19"/>
        <v>32.323999999999998</v>
      </c>
    </row>
    <row r="288" spans="1:21" hidden="1" x14ac:dyDescent="0.25">
      <c r="A288" t="s">
        <v>744</v>
      </c>
      <c r="B288" t="s">
        <v>745</v>
      </c>
      <c r="C288" s="24" t="s">
        <v>1318</v>
      </c>
      <c r="D288" t="s">
        <v>1319</v>
      </c>
      <c r="E288" s="965" t="s">
        <v>719</v>
      </c>
      <c r="F288" s="966" t="s">
        <v>719</v>
      </c>
      <c r="G288" s="967" t="s">
        <v>719</v>
      </c>
      <c r="H288" s="965" t="s">
        <v>719</v>
      </c>
      <c r="I288" s="965" t="s">
        <v>719</v>
      </c>
      <c r="J288" s="965" t="s">
        <v>719</v>
      </c>
      <c r="K288" s="965" t="s">
        <v>719</v>
      </c>
      <c r="L288" s="965" t="s">
        <v>719</v>
      </c>
      <c r="O288" s="963" t="e">
        <f t="shared" si="16"/>
        <v>#NUM!</v>
      </c>
      <c r="P288" s="963" t="e">
        <f t="shared" si="17"/>
        <v>#NUM!</v>
      </c>
      <c r="R288" s="963" t="e">
        <f t="shared" si="18"/>
        <v>#NUM!</v>
      </c>
      <c r="S288" s="963" t="e">
        <f t="shared" si="19"/>
        <v>#NUM!</v>
      </c>
    </row>
    <row r="289" spans="1:19" hidden="1" x14ac:dyDescent="0.25">
      <c r="A289" t="s">
        <v>744</v>
      </c>
      <c r="B289" t="s">
        <v>745</v>
      </c>
      <c r="C289" s="24" t="s">
        <v>1320</v>
      </c>
      <c r="D289" t="s">
        <v>1321</v>
      </c>
      <c r="E289" s="965">
        <v>166.75</v>
      </c>
      <c r="F289" s="966">
        <v>346840</v>
      </c>
      <c r="G289" s="967">
        <v>22.4</v>
      </c>
      <c r="H289" s="965">
        <v>77.66</v>
      </c>
      <c r="I289" s="965" t="s">
        <v>748</v>
      </c>
      <c r="J289" s="965" t="s">
        <v>748</v>
      </c>
      <c r="K289" s="965" t="s">
        <v>748</v>
      </c>
      <c r="L289" s="965" t="s">
        <v>748</v>
      </c>
      <c r="O289" s="963">
        <f t="shared" si="16"/>
        <v>77.66</v>
      </c>
      <c r="P289" s="963">
        <f t="shared" si="17"/>
        <v>77.66</v>
      </c>
      <c r="R289" s="963">
        <f t="shared" si="18"/>
        <v>77.66</v>
      </c>
      <c r="S289" s="963">
        <f t="shared" si="19"/>
        <v>77.66</v>
      </c>
    </row>
    <row r="290" spans="1:19" hidden="1" x14ac:dyDescent="0.25">
      <c r="A290" t="s">
        <v>744</v>
      </c>
      <c r="B290" t="s">
        <v>745</v>
      </c>
      <c r="C290" s="24" t="s">
        <v>1322</v>
      </c>
      <c r="D290" t="s">
        <v>1323</v>
      </c>
      <c r="E290" s="965">
        <v>108.38</v>
      </c>
      <c r="F290" s="966">
        <v>225420</v>
      </c>
      <c r="G290" s="967">
        <v>4.3</v>
      </c>
      <c r="H290" s="965">
        <v>104.69</v>
      </c>
      <c r="I290" s="965">
        <v>106.54</v>
      </c>
      <c r="J290" s="965">
        <v>110.59</v>
      </c>
      <c r="K290" s="965">
        <v>110.59</v>
      </c>
      <c r="L290" s="965">
        <v>113.83</v>
      </c>
      <c r="O290" s="963">
        <f t="shared" si="16"/>
        <v>110.59</v>
      </c>
      <c r="P290" s="963">
        <f t="shared" si="17"/>
        <v>110.59</v>
      </c>
      <c r="R290" s="963">
        <f t="shared" si="18"/>
        <v>107.35000000000001</v>
      </c>
      <c r="S290" s="963">
        <f t="shared" si="19"/>
        <v>108.97</v>
      </c>
    </row>
    <row r="291" spans="1:19" s="999" customFormat="1" hidden="1" x14ac:dyDescent="0.25">
      <c r="A291" s="999" t="s">
        <v>744</v>
      </c>
      <c r="B291" s="999" t="s">
        <v>745</v>
      </c>
      <c r="C291" s="1000" t="s">
        <v>462</v>
      </c>
      <c r="D291" s="999" t="s">
        <v>1324</v>
      </c>
      <c r="E291" s="1001">
        <v>36.6</v>
      </c>
      <c r="F291" s="1002">
        <v>76120</v>
      </c>
      <c r="G291" s="1003">
        <v>2.2999999999999998</v>
      </c>
      <c r="H291" s="1001">
        <v>24.51</v>
      </c>
      <c r="I291" s="1001">
        <v>30.03</v>
      </c>
      <c r="J291" s="1001">
        <v>36.04</v>
      </c>
      <c r="K291" s="1001">
        <v>42.53</v>
      </c>
      <c r="L291" s="1001">
        <v>48.58</v>
      </c>
      <c r="O291" s="1004">
        <f t="shared" si="16"/>
        <v>36.818800000000003</v>
      </c>
      <c r="P291" s="1004">
        <f t="shared" si="17"/>
        <v>39.4148</v>
      </c>
      <c r="R291" s="963">
        <f t="shared" si="18"/>
        <v>31.232000000000003</v>
      </c>
      <c r="S291" s="963">
        <f t="shared" si="19"/>
        <v>33.636000000000003</v>
      </c>
    </row>
    <row r="292" spans="1:19" hidden="1" x14ac:dyDescent="0.25">
      <c r="A292" t="s">
        <v>744</v>
      </c>
      <c r="B292" t="s">
        <v>745</v>
      </c>
      <c r="C292" s="24" t="s">
        <v>1325</v>
      </c>
      <c r="D292" t="s">
        <v>1326</v>
      </c>
      <c r="E292" s="965">
        <v>68.599999999999994</v>
      </c>
      <c r="F292" s="966">
        <v>142680</v>
      </c>
      <c r="G292" s="967">
        <v>5.9</v>
      </c>
      <c r="H292" s="965">
        <v>40.46</v>
      </c>
      <c r="I292" s="965">
        <v>62.47</v>
      </c>
      <c r="J292" s="965">
        <v>69.67</v>
      </c>
      <c r="K292" s="965">
        <v>77.25</v>
      </c>
      <c r="L292" s="965">
        <v>81.56</v>
      </c>
      <c r="O292" s="963">
        <f t="shared" si="16"/>
        <v>70.579599999999999</v>
      </c>
      <c r="P292" s="963">
        <f t="shared" si="17"/>
        <v>73.611599999999996</v>
      </c>
      <c r="R292" s="963">
        <f t="shared" si="18"/>
        <v>63.910000000000004</v>
      </c>
      <c r="S292" s="963">
        <f t="shared" si="19"/>
        <v>66.790000000000006</v>
      </c>
    </row>
    <row r="293" spans="1:19" hidden="1" x14ac:dyDescent="0.25">
      <c r="A293" t="s">
        <v>744</v>
      </c>
      <c r="B293" t="s">
        <v>745</v>
      </c>
      <c r="C293" s="24" t="s">
        <v>1327</v>
      </c>
      <c r="D293" t="s">
        <v>1328</v>
      </c>
      <c r="E293" s="965">
        <v>61.82</v>
      </c>
      <c r="F293" s="966">
        <v>128580</v>
      </c>
      <c r="G293" s="967">
        <v>1.2</v>
      </c>
      <c r="H293" s="965">
        <v>34.29</v>
      </c>
      <c r="I293" s="965">
        <v>60.44</v>
      </c>
      <c r="J293" s="965">
        <v>65</v>
      </c>
      <c r="K293" s="965">
        <v>71.36</v>
      </c>
      <c r="L293" s="965">
        <v>75.45</v>
      </c>
      <c r="O293" s="963">
        <f t="shared" si="16"/>
        <v>65.763199999999998</v>
      </c>
      <c r="P293" s="963">
        <f t="shared" si="17"/>
        <v>68.307199999999995</v>
      </c>
      <c r="R293" s="963">
        <f t="shared" si="18"/>
        <v>61.351999999999997</v>
      </c>
      <c r="S293" s="963">
        <f t="shared" si="19"/>
        <v>63.176000000000002</v>
      </c>
    </row>
    <row r="294" spans="1:19" s="992" customFormat="1" hidden="1" x14ac:dyDescent="0.25">
      <c r="A294" s="992" t="s">
        <v>744</v>
      </c>
      <c r="B294" s="992" t="s">
        <v>745</v>
      </c>
      <c r="C294" s="993" t="s">
        <v>1329</v>
      </c>
      <c r="D294" s="992" t="s">
        <v>477</v>
      </c>
      <c r="E294" s="994">
        <v>63.72</v>
      </c>
      <c r="F294" s="995">
        <v>132550</v>
      </c>
      <c r="G294" s="996">
        <v>1.6</v>
      </c>
      <c r="H294" s="994">
        <v>28.13</v>
      </c>
      <c r="I294" s="994">
        <v>51.35</v>
      </c>
      <c r="J294" s="994">
        <v>65.25</v>
      </c>
      <c r="K294" s="994">
        <v>75.319999999999993</v>
      </c>
      <c r="L294" s="994">
        <v>92.23</v>
      </c>
      <c r="O294" s="997">
        <f t="shared" si="16"/>
        <v>66.458399999999997</v>
      </c>
      <c r="P294" s="997">
        <f t="shared" si="17"/>
        <v>70.486400000000003</v>
      </c>
      <c r="R294" s="963">
        <f t="shared" si="18"/>
        <v>54.13</v>
      </c>
      <c r="S294" s="963">
        <f t="shared" si="19"/>
        <v>59.69</v>
      </c>
    </row>
    <row r="295" spans="1:19" hidden="1" x14ac:dyDescent="0.25">
      <c r="A295" t="s">
        <v>744</v>
      </c>
      <c r="B295" t="s">
        <v>745</v>
      </c>
      <c r="C295" s="24" t="s">
        <v>1330</v>
      </c>
      <c r="D295" t="s">
        <v>1331</v>
      </c>
      <c r="E295" s="965">
        <v>78.33</v>
      </c>
      <c r="F295" s="966">
        <v>162920</v>
      </c>
      <c r="G295" s="967">
        <v>5.5</v>
      </c>
      <c r="H295" s="965">
        <v>35.89</v>
      </c>
      <c r="I295" s="965">
        <v>46.16</v>
      </c>
      <c r="J295" s="965">
        <v>83.05</v>
      </c>
      <c r="K295" s="965">
        <v>102.35</v>
      </c>
      <c r="L295" s="965" t="s">
        <v>748</v>
      </c>
      <c r="O295" s="963">
        <f t="shared" si="16"/>
        <v>67.925099999999986</v>
      </c>
      <c r="P295" s="963">
        <f t="shared" si="17"/>
        <v>78.992099999999994</v>
      </c>
      <c r="R295" s="963">
        <f t="shared" si="18"/>
        <v>45.132999999999996</v>
      </c>
      <c r="S295" s="963">
        <f t="shared" si="19"/>
        <v>53.538000000000004</v>
      </c>
    </row>
    <row r="296" spans="1:19" s="999" customFormat="1" hidden="1" x14ac:dyDescent="0.25">
      <c r="A296" s="999" t="s">
        <v>744</v>
      </c>
      <c r="B296" s="999" t="s">
        <v>745</v>
      </c>
      <c r="C296" s="1000" t="s">
        <v>1332</v>
      </c>
      <c r="D296" s="999" t="s">
        <v>401</v>
      </c>
      <c r="E296" s="1001">
        <v>45.36</v>
      </c>
      <c r="F296" s="1002">
        <v>94340</v>
      </c>
      <c r="G296" s="1003">
        <v>0.8</v>
      </c>
      <c r="H296" s="1001">
        <v>30.55</v>
      </c>
      <c r="I296" s="1001">
        <v>38</v>
      </c>
      <c r="J296" s="1001">
        <v>46.07</v>
      </c>
      <c r="K296" s="1001">
        <v>53.11</v>
      </c>
      <c r="L296" s="1001">
        <v>57.33</v>
      </c>
      <c r="O296" s="1004">
        <f t="shared" si="16"/>
        <v>46.9148</v>
      </c>
      <c r="P296" s="1004">
        <f t="shared" si="17"/>
        <v>49.730800000000002</v>
      </c>
      <c r="R296" s="963">
        <f t="shared" si="18"/>
        <v>39.614000000000004</v>
      </c>
      <c r="S296" s="963">
        <f t="shared" si="19"/>
        <v>42.841999999999999</v>
      </c>
    </row>
    <row r="297" spans="1:19" s="999" customFormat="1" hidden="1" x14ac:dyDescent="0.25">
      <c r="A297" s="999" t="s">
        <v>744</v>
      </c>
      <c r="B297" s="999" t="s">
        <v>745</v>
      </c>
      <c r="C297" s="1000" t="s">
        <v>1333</v>
      </c>
      <c r="D297" s="999" t="s">
        <v>404</v>
      </c>
      <c r="E297" s="1001">
        <v>47.93</v>
      </c>
      <c r="F297" s="1002">
        <v>99700</v>
      </c>
      <c r="G297" s="1003">
        <v>0.9</v>
      </c>
      <c r="H297" s="1001">
        <v>36.06</v>
      </c>
      <c r="I297" s="1001">
        <v>39.6</v>
      </c>
      <c r="J297" s="1001">
        <v>48.31</v>
      </c>
      <c r="K297" s="1001">
        <v>55.19</v>
      </c>
      <c r="L297" s="1001">
        <v>59.73</v>
      </c>
      <c r="O297" s="1004">
        <f t="shared" si="16"/>
        <v>49.135600000000004</v>
      </c>
      <c r="P297" s="1004">
        <f t="shared" si="17"/>
        <v>51.887599999999999</v>
      </c>
      <c r="R297" s="963">
        <f t="shared" si="18"/>
        <v>41.342000000000006</v>
      </c>
      <c r="S297" s="963">
        <f t="shared" si="19"/>
        <v>44.826000000000001</v>
      </c>
    </row>
    <row r="298" spans="1:19" hidden="1" x14ac:dyDescent="0.25">
      <c r="A298" t="s">
        <v>744</v>
      </c>
      <c r="B298" t="s">
        <v>745</v>
      </c>
      <c r="C298" s="24" t="s">
        <v>1334</v>
      </c>
      <c r="D298" t="s">
        <v>1335</v>
      </c>
      <c r="E298" s="965">
        <v>57.81</v>
      </c>
      <c r="F298" s="966">
        <v>120240</v>
      </c>
      <c r="G298" s="967">
        <v>2.8</v>
      </c>
      <c r="H298" s="965">
        <v>37.119999999999997</v>
      </c>
      <c r="I298" s="965">
        <v>39.14</v>
      </c>
      <c r="J298" s="965">
        <v>49.23</v>
      </c>
      <c r="K298" s="965">
        <v>62.57</v>
      </c>
      <c r="L298" s="965">
        <v>91.87</v>
      </c>
      <c r="O298" s="963">
        <f t="shared" si="16"/>
        <v>50.830799999999996</v>
      </c>
      <c r="P298" s="963">
        <f t="shared" si="17"/>
        <v>56.166799999999995</v>
      </c>
      <c r="R298" s="963">
        <f t="shared" si="18"/>
        <v>41.158000000000001</v>
      </c>
      <c r="S298" s="963">
        <f t="shared" si="19"/>
        <v>45.194000000000003</v>
      </c>
    </row>
    <row r="299" spans="1:19" hidden="1" x14ac:dyDescent="0.25">
      <c r="A299" t="s">
        <v>744</v>
      </c>
      <c r="B299" t="s">
        <v>745</v>
      </c>
      <c r="C299" s="24" t="s">
        <v>1336</v>
      </c>
      <c r="D299" t="s">
        <v>1337</v>
      </c>
      <c r="E299" s="965">
        <v>28.06</v>
      </c>
      <c r="F299" s="966">
        <v>58370</v>
      </c>
      <c r="G299" s="967">
        <v>2.6</v>
      </c>
      <c r="H299" s="965">
        <v>17.579999999999998</v>
      </c>
      <c r="I299" s="965">
        <v>21.54</v>
      </c>
      <c r="J299" s="965">
        <v>25.95</v>
      </c>
      <c r="K299" s="965">
        <v>33.409999999999997</v>
      </c>
      <c r="L299" s="965">
        <v>43.49</v>
      </c>
      <c r="O299" s="963">
        <f t="shared" si="16"/>
        <v>26.845199999999998</v>
      </c>
      <c r="P299" s="963">
        <f t="shared" si="17"/>
        <v>29.829199999999997</v>
      </c>
      <c r="R299" s="963">
        <f t="shared" si="18"/>
        <v>22.422000000000001</v>
      </c>
      <c r="S299" s="963">
        <f t="shared" si="19"/>
        <v>24.186</v>
      </c>
    </row>
    <row r="300" spans="1:19" hidden="1" x14ac:dyDescent="0.25">
      <c r="A300" t="s">
        <v>744</v>
      </c>
      <c r="B300" t="s">
        <v>745</v>
      </c>
      <c r="C300" s="24" t="s">
        <v>1338</v>
      </c>
      <c r="D300" t="s">
        <v>1339</v>
      </c>
      <c r="E300" s="965">
        <v>43.42</v>
      </c>
      <c r="F300" s="966">
        <v>90320</v>
      </c>
      <c r="G300" s="967">
        <v>0.6</v>
      </c>
      <c r="H300" s="965">
        <v>32.85</v>
      </c>
      <c r="I300" s="965">
        <v>37.950000000000003</v>
      </c>
      <c r="J300" s="965">
        <v>41.68</v>
      </c>
      <c r="K300" s="965">
        <v>48.37</v>
      </c>
      <c r="L300" s="965">
        <v>54.96</v>
      </c>
      <c r="O300" s="963">
        <f t="shared" si="16"/>
        <v>42.482799999999997</v>
      </c>
      <c r="P300" s="963">
        <f t="shared" si="17"/>
        <v>45.158799999999999</v>
      </c>
      <c r="R300" s="963">
        <f t="shared" si="18"/>
        <v>38.696000000000005</v>
      </c>
      <c r="S300" s="963">
        <f t="shared" si="19"/>
        <v>40.188000000000002</v>
      </c>
    </row>
    <row r="301" spans="1:19" s="999" customFormat="1" hidden="1" x14ac:dyDescent="0.25">
      <c r="A301" s="999" t="s">
        <v>744</v>
      </c>
      <c r="B301" s="999" t="s">
        <v>745</v>
      </c>
      <c r="C301" s="1000" t="s">
        <v>1340</v>
      </c>
      <c r="D301" s="999" t="s">
        <v>1341</v>
      </c>
      <c r="E301" s="1001">
        <v>46.59</v>
      </c>
      <c r="F301" s="1002">
        <v>96910</v>
      </c>
      <c r="G301" s="1003">
        <v>1.2</v>
      </c>
      <c r="H301" s="1001">
        <v>30.22</v>
      </c>
      <c r="I301" s="1001">
        <v>37.380000000000003</v>
      </c>
      <c r="J301" s="1001">
        <v>46.79</v>
      </c>
      <c r="K301" s="1001">
        <v>55.52</v>
      </c>
      <c r="L301" s="1001">
        <v>60.53</v>
      </c>
      <c r="O301" s="1004">
        <f t="shared" si="16"/>
        <v>47.837600000000002</v>
      </c>
      <c r="P301" s="1004">
        <f t="shared" si="17"/>
        <v>51.329599999999999</v>
      </c>
      <c r="R301" s="963">
        <f t="shared" si="18"/>
        <v>39.262</v>
      </c>
      <c r="S301" s="963">
        <f t="shared" si="19"/>
        <v>43.026000000000003</v>
      </c>
    </row>
    <row r="302" spans="1:19" hidden="1" x14ac:dyDescent="0.25">
      <c r="A302" t="s">
        <v>744</v>
      </c>
      <c r="B302" t="s">
        <v>745</v>
      </c>
      <c r="C302" s="24" t="s">
        <v>1342</v>
      </c>
      <c r="D302" t="s">
        <v>1343</v>
      </c>
      <c r="E302" s="965">
        <v>33.43</v>
      </c>
      <c r="F302" s="966">
        <v>69530</v>
      </c>
      <c r="G302" s="967">
        <v>0.4</v>
      </c>
      <c r="H302" s="965">
        <v>24.93</v>
      </c>
      <c r="I302" s="965">
        <v>28.79</v>
      </c>
      <c r="J302" s="965">
        <v>31.28</v>
      </c>
      <c r="K302" s="965">
        <v>38.29</v>
      </c>
      <c r="L302" s="965">
        <v>43.4</v>
      </c>
      <c r="O302" s="963">
        <f t="shared" si="16"/>
        <v>32.121200000000002</v>
      </c>
      <c r="P302" s="963">
        <f t="shared" si="17"/>
        <v>34.925200000000004</v>
      </c>
      <c r="R302" s="963">
        <f t="shared" si="18"/>
        <v>29.288</v>
      </c>
      <c r="S302" s="963">
        <f t="shared" si="19"/>
        <v>30.283999999999999</v>
      </c>
    </row>
    <row r="303" spans="1:19" s="999" customFormat="1" hidden="1" x14ac:dyDescent="0.25">
      <c r="A303" s="999" t="s">
        <v>744</v>
      </c>
      <c r="B303" s="999" t="s">
        <v>745</v>
      </c>
      <c r="C303" s="1000" t="s">
        <v>1344</v>
      </c>
      <c r="D303" s="999" t="s">
        <v>1345</v>
      </c>
      <c r="E303" s="1001">
        <v>33.26</v>
      </c>
      <c r="F303" s="1002">
        <v>69180</v>
      </c>
      <c r="G303" s="1003">
        <v>5.0999999999999996</v>
      </c>
      <c r="H303" s="1001">
        <v>23.99</v>
      </c>
      <c r="I303" s="1001">
        <v>24.4</v>
      </c>
      <c r="J303" s="1001">
        <v>29.58</v>
      </c>
      <c r="K303" s="1001">
        <v>34.4</v>
      </c>
      <c r="L303" s="1001">
        <v>50.24</v>
      </c>
      <c r="O303" s="1004">
        <f t="shared" si="16"/>
        <v>30.1584</v>
      </c>
      <c r="P303" s="1004">
        <f t="shared" si="17"/>
        <v>32.086399999999998</v>
      </c>
      <c r="R303" s="963">
        <f t="shared" si="18"/>
        <v>25.436</v>
      </c>
      <c r="S303" s="963">
        <f t="shared" si="19"/>
        <v>27.507999999999999</v>
      </c>
    </row>
    <row r="304" spans="1:19" hidden="1" x14ac:dyDescent="0.25">
      <c r="A304" t="s">
        <v>744</v>
      </c>
      <c r="B304" t="s">
        <v>745</v>
      </c>
      <c r="C304" s="24" t="s">
        <v>1346</v>
      </c>
      <c r="D304" t="s">
        <v>1347</v>
      </c>
      <c r="E304" s="965">
        <v>77.900000000000006</v>
      </c>
      <c r="F304" s="966">
        <v>162030</v>
      </c>
      <c r="G304" s="967">
        <v>4.5999999999999996</v>
      </c>
      <c r="H304" s="965">
        <v>43.02</v>
      </c>
      <c r="I304" s="965">
        <v>52.99</v>
      </c>
      <c r="J304" s="965">
        <v>62.75</v>
      </c>
      <c r="K304" s="965">
        <v>84.38</v>
      </c>
      <c r="L304" s="965">
        <v>109.84</v>
      </c>
      <c r="O304" s="963">
        <f t="shared" si="16"/>
        <v>65.345600000000005</v>
      </c>
      <c r="P304" s="963">
        <f t="shared" si="17"/>
        <v>73.997600000000006</v>
      </c>
      <c r="R304" s="963">
        <f t="shared" si="18"/>
        <v>54.942</v>
      </c>
      <c r="S304" s="963">
        <f t="shared" si="19"/>
        <v>58.846000000000004</v>
      </c>
    </row>
    <row r="305" spans="1:19" s="992" customFormat="1" hidden="1" x14ac:dyDescent="0.25">
      <c r="A305" s="992" t="s">
        <v>744</v>
      </c>
      <c r="B305" s="992" t="s">
        <v>745</v>
      </c>
      <c r="C305" s="993" t="s">
        <v>471</v>
      </c>
      <c r="D305" s="992" t="s">
        <v>1348</v>
      </c>
      <c r="E305" s="994">
        <v>52.33</v>
      </c>
      <c r="F305" s="995">
        <v>108850</v>
      </c>
      <c r="G305" s="996">
        <v>0.5</v>
      </c>
      <c r="H305" s="994">
        <v>35.58</v>
      </c>
      <c r="I305" s="994">
        <v>39.53</v>
      </c>
      <c r="J305" s="994">
        <v>47.95</v>
      </c>
      <c r="K305" s="994">
        <v>63.52</v>
      </c>
      <c r="L305" s="994">
        <v>79.849999999999994</v>
      </c>
      <c r="O305" s="997">
        <f t="shared" si="16"/>
        <v>49.818400000000004</v>
      </c>
      <c r="P305" s="997">
        <f t="shared" si="17"/>
        <v>56.046400000000006</v>
      </c>
      <c r="R305" s="963">
        <f t="shared" si="18"/>
        <v>41.214000000000006</v>
      </c>
      <c r="S305" s="963">
        <f t="shared" si="19"/>
        <v>44.582000000000001</v>
      </c>
    </row>
    <row r="306" spans="1:19" hidden="1" x14ac:dyDescent="0.25">
      <c r="A306" t="s">
        <v>744</v>
      </c>
      <c r="B306" t="s">
        <v>745</v>
      </c>
      <c r="C306" s="24" t="s">
        <v>1349</v>
      </c>
      <c r="D306" t="s">
        <v>1350</v>
      </c>
      <c r="E306" s="965">
        <v>131.01</v>
      </c>
      <c r="F306" s="966">
        <v>272510</v>
      </c>
      <c r="G306" s="967">
        <v>3.1</v>
      </c>
      <c r="H306" s="965">
        <v>106.06</v>
      </c>
      <c r="I306" s="965">
        <v>112.82</v>
      </c>
      <c r="J306" s="965">
        <v>112.98</v>
      </c>
      <c r="K306" s="965" t="s">
        <v>748</v>
      </c>
      <c r="L306" s="965" t="s">
        <v>748</v>
      </c>
      <c r="O306" s="963">
        <f t="shared" si="16"/>
        <v>112.8296</v>
      </c>
      <c r="P306" s="963">
        <f t="shared" si="17"/>
        <v>112.8616</v>
      </c>
      <c r="R306" s="963">
        <f t="shared" si="18"/>
        <v>110.116</v>
      </c>
      <c r="S306" s="963">
        <f t="shared" si="19"/>
        <v>111.46799999999999</v>
      </c>
    </row>
    <row r="307" spans="1:19" hidden="1" x14ac:dyDescent="0.25">
      <c r="A307" t="s">
        <v>744</v>
      </c>
      <c r="B307" t="s">
        <v>745</v>
      </c>
      <c r="C307" s="24" t="s">
        <v>1351</v>
      </c>
      <c r="D307" t="s">
        <v>1352</v>
      </c>
      <c r="E307" s="965">
        <v>74.08</v>
      </c>
      <c r="F307" s="966">
        <v>154080</v>
      </c>
      <c r="G307" s="967">
        <v>2</v>
      </c>
      <c r="H307" s="965">
        <v>56.17</v>
      </c>
      <c r="I307" s="965">
        <v>65.3</v>
      </c>
      <c r="J307" s="965">
        <v>69.489999999999995</v>
      </c>
      <c r="K307" s="965">
        <v>82.09</v>
      </c>
      <c r="L307" s="965">
        <v>98.3</v>
      </c>
      <c r="O307" s="963">
        <f t="shared" si="16"/>
        <v>71.001999999999995</v>
      </c>
      <c r="P307" s="963">
        <f t="shared" si="17"/>
        <v>76.042000000000002</v>
      </c>
      <c r="R307" s="963">
        <f t="shared" si="18"/>
        <v>66.137999999999991</v>
      </c>
      <c r="S307" s="963">
        <f t="shared" si="19"/>
        <v>67.813999999999993</v>
      </c>
    </row>
    <row r="308" spans="1:19" s="992" customFormat="1" hidden="1" x14ac:dyDescent="0.25">
      <c r="A308" s="992" t="s">
        <v>744</v>
      </c>
      <c r="B308" s="992" t="s">
        <v>745</v>
      </c>
      <c r="C308" s="993" t="s">
        <v>472</v>
      </c>
      <c r="D308" s="992" t="s">
        <v>1353</v>
      </c>
      <c r="E308" s="994">
        <v>69.239999999999995</v>
      </c>
      <c r="F308" s="995">
        <v>144010</v>
      </c>
      <c r="G308" s="996">
        <v>0.9</v>
      </c>
      <c r="H308" s="994">
        <v>51.54</v>
      </c>
      <c r="I308" s="994">
        <v>60.06</v>
      </c>
      <c r="J308" s="994">
        <v>66.62</v>
      </c>
      <c r="K308" s="994">
        <v>75.709999999999994</v>
      </c>
      <c r="L308" s="994">
        <v>89.35</v>
      </c>
      <c r="O308" s="997">
        <f t="shared" si="16"/>
        <v>67.710800000000006</v>
      </c>
      <c r="P308" s="997">
        <f t="shared" si="17"/>
        <v>71.346800000000002</v>
      </c>
      <c r="R308" s="963">
        <f t="shared" si="18"/>
        <v>61.372000000000007</v>
      </c>
      <c r="S308" s="963">
        <f t="shared" si="19"/>
        <v>63.996000000000002</v>
      </c>
    </row>
    <row r="309" spans="1:19" hidden="1" x14ac:dyDescent="0.25">
      <c r="A309" t="s">
        <v>744</v>
      </c>
      <c r="B309" t="s">
        <v>745</v>
      </c>
      <c r="C309" s="24" t="s">
        <v>1354</v>
      </c>
      <c r="D309" t="s">
        <v>1355</v>
      </c>
      <c r="E309" s="965">
        <v>45.92</v>
      </c>
      <c r="F309" s="966">
        <v>95510</v>
      </c>
      <c r="G309" s="967">
        <v>7.1</v>
      </c>
      <c r="H309" s="965">
        <v>21.59</v>
      </c>
      <c r="I309" s="965">
        <v>42.17</v>
      </c>
      <c r="J309" s="965">
        <v>49.07</v>
      </c>
      <c r="K309" s="965">
        <v>54.57</v>
      </c>
      <c r="L309" s="965">
        <v>57.92</v>
      </c>
      <c r="O309" s="963">
        <f t="shared" si="16"/>
        <v>49.730000000000004</v>
      </c>
      <c r="P309" s="963">
        <f t="shared" si="17"/>
        <v>51.93</v>
      </c>
      <c r="R309" s="963">
        <f t="shared" si="18"/>
        <v>43.550000000000004</v>
      </c>
      <c r="S309" s="963">
        <f t="shared" si="19"/>
        <v>46.31</v>
      </c>
    </row>
    <row r="310" spans="1:19" hidden="1" x14ac:dyDescent="0.25">
      <c r="A310" t="s">
        <v>744</v>
      </c>
      <c r="B310" t="s">
        <v>745</v>
      </c>
      <c r="C310" s="24" t="s">
        <v>1356</v>
      </c>
      <c r="D310" t="s">
        <v>1357</v>
      </c>
      <c r="E310" s="965" t="s">
        <v>719</v>
      </c>
      <c r="F310" s="966" t="s">
        <v>719</v>
      </c>
      <c r="G310" s="967" t="s">
        <v>719</v>
      </c>
      <c r="H310" s="965" t="s">
        <v>719</v>
      </c>
      <c r="I310" s="965" t="s">
        <v>719</v>
      </c>
      <c r="J310" s="965" t="s">
        <v>719</v>
      </c>
      <c r="K310" s="965" t="s">
        <v>719</v>
      </c>
      <c r="L310" s="965" t="s">
        <v>719</v>
      </c>
      <c r="O310" s="963" t="e">
        <f t="shared" si="16"/>
        <v>#NUM!</v>
      </c>
      <c r="P310" s="963" t="e">
        <f t="shared" si="17"/>
        <v>#NUM!</v>
      </c>
      <c r="R310" s="963" t="e">
        <f t="shared" si="18"/>
        <v>#NUM!</v>
      </c>
      <c r="S310" s="963" t="e">
        <f t="shared" si="19"/>
        <v>#NUM!</v>
      </c>
    </row>
    <row r="311" spans="1:19" hidden="1" x14ac:dyDescent="0.25">
      <c r="A311" t="s">
        <v>744</v>
      </c>
      <c r="B311" t="s">
        <v>745</v>
      </c>
      <c r="C311" s="24" t="s">
        <v>1358</v>
      </c>
      <c r="D311" t="s">
        <v>1359</v>
      </c>
      <c r="E311" s="965" t="s">
        <v>719</v>
      </c>
      <c r="F311" s="966" t="s">
        <v>719</v>
      </c>
      <c r="G311" s="967" t="s">
        <v>719</v>
      </c>
      <c r="H311" s="965" t="s">
        <v>719</v>
      </c>
      <c r="I311" s="965" t="s">
        <v>719</v>
      </c>
      <c r="J311" s="965" t="s">
        <v>719</v>
      </c>
      <c r="K311" s="965" t="s">
        <v>719</v>
      </c>
      <c r="L311" s="965" t="s">
        <v>719</v>
      </c>
      <c r="O311" s="963" t="e">
        <f t="shared" si="16"/>
        <v>#NUM!</v>
      </c>
      <c r="P311" s="963" t="e">
        <f t="shared" si="17"/>
        <v>#NUM!</v>
      </c>
      <c r="R311" s="963" t="e">
        <f t="shared" si="18"/>
        <v>#NUM!</v>
      </c>
      <c r="S311" s="963" t="e">
        <f t="shared" si="19"/>
        <v>#NUM!</v>
      </c>
    </row>
    <row r="312" spans="1:19" hidden="1" x14ac:dyDescent="0.25">
      <c r="A312" t="s">
        <v>744</v>
      </c>
      <c r="B312" t="s">
        <v>745</v>
      </c>
      <c r="C312" s="24" t="s">
        <v>1360</v>
      </c>
      <c r="D312" t="s">
        <v>1361</v>
      </c>
      <c r="E312" s="965" t="s">
        <v>719</v>
      </c>
      <c r="F312" s="966" t="s">
        <v>719</v>
      </c>
      <c r="G312" s="967" t="s">
        <v>719</v>
      </c>
      <c r="H312" s="965" t="s">
        <v>719</v>
      </c>
      <c r="I312" s="965" t="s">
        <v>719</v>
      </c>
      <c r="J312" s="965" t="s">
        <v>719</v>
      </c>
      <c r="K312" s="965" t="s">
        <v>719</v>
      </c>
      <c r="L312" s="965" t="s">
        <v>719</v>
      </c>
      <c r="O312" s="963" t="e">
        <f t="shared" si="16"/>
        <v>#NUM!</v>
      </c>
      <c r="P312" s="963" t="e">
        <f t="shared" si="17"/>
        <v>#NUM!</v>
      </c>
      <c r="R312" s="963" t="e">
        <f t="shared" si="18"/>
        <v>#NUM!</v>
      </c>
      <c r="S312" s="963" t="e">
        <f t="shared" si="19"/>
        <v>#NUM!</v>
      </c>
    </row>
    <row r="313" spans="1:19" hidden="1" x14ac:dyDescent="0.25">
      <c r="A313" t="s">
        <v>744</v>
      </c>
      <c r="B313" t="s">
        <v>745</v>
      </c>
      <c r="C313" s="24" t="s">
        <v>1362</v>
      </c>
      <c r="D313" t="s">
        <v>1363</v>
      </c>
      <c r="E313" s="965">
        <v>147.85</v>
      </c>
      <c r="F313" s="966">
        <v>307520</v>
      </c>
      <c r="G313" s="967">
        <v>3</v>
      </c>
      <c r="H313" s="965">
        <v>77.89</v>
      </c>
      <c r="I313" s="965" t="s">
        <v>748</v>
      </c>
      <c r="J313" s="965" t="s">
        <v>748</v>
      </c>
      <c r="K313" s="965" t="s">
        <v>748</v>
      </c>
      <c r="L313" s="965" t="s">
        <v>748</v>
      </c>
      <c r="O313" s="963">
        <f t="shared" si="16"/>
        <v>77.89</v>
      </c>
      <c r="P313" s="963">
        <f t="shared" si="17"/>
        <v>77.89</v>
      </c>
      <c r="R313" s="963">
        <f t="shared" si="18"/>
        <v>77.89</v>
      </c>
      <c r="S313" s="963">
        <f t="shared" si="19"/>
        <v>77.89</v>
      </c>
    </row>
    <row r="314" spans="1:19" hidden="1" x14ac:dyDescent="0.25">
      <c r="A314" t="s">
        <v>744</v>
      </c>
      <c r="B314" t="s">
        <v>745</v>
      </c>
      <c r="C314" s="24" t="s">
        <v>1364</v>
      </c>
      <c r="D314" t="s">
        <v>1365</v>
      </c>
      <c r="E314" s="965">
        <v>127.89</v>
      </c>
      <c r="F314" s="966">
        <v>266010</v>
      </c>
      <c r="G314" s="967">
        <v>5.7</v>
      </c>
      <c r="H314" s="965">
        <v>52.94</v>
      </c>
      <c r="I314" s="965">
        <v>81.84</v>
      </c>
      <c r="J314" s="965">
        <v>107.92</v>
      </c>
      <c r="K314" s="965" t="s">
        <v>748</v>
      </c>
      <c r="L314" s="965" t="s">
        <v>748</v>
      </c>
      <c r="O314" s="963">
        <f t="shared" si="16"/>
        <v>83.404800000000009</v>
      </c>
      <c r="P314" s="963">
        <f t="shared" si="17"/>
        <v>88.620800000000003</v>
      </c>
      <c r="R314" s="963">
        <f t="shared" si="18"/>
        <v>70.28</v>
      </c>
      <c r="S314" s="963">
        <f t="shared" si="19"/>
        <v>76.06</v>
      </c>
    </row>
    <row r="315" spans="1:19" hidden="1" x14ac:dyDescent="0.25">
      <c r="A315" t="s">
        <v>744</v>
      </c>
      <c r="B315" t="s">
        <v>745</v>
      </c>
      <c r="C315" s="24" t="s">
        <v>1366</v>
      </c>
      <c r="D315" t="s">
        <v>1367</v>
      </c>
      <c r="E315" s="965">
        <v>114.45</v>
      </c>
      <c r="F315" s="966">
        <v>238050</v>
      </c>
      <c r="G315" s="967">
        <v>18.100000000000001</v>
      </c>
      <c r="H315" s="965">
        <v>33.89</v>
      </c>
      <c r="I315" s="965">
        <v>37.72</v>
      </c>
      <c r="J315" s="965">
        <v>109.93</v>
      </c>
      <c r="K315" s="965" t="s">
        <v>748</v>
      </c>
      <c r="L315" s="965" t="s">
        <v>748</v>
      </c>
      <c r="O315" s="963">
        <f t="shared" si="16"/>
        <v>42.052600000000005</v>
      </c>
      <c r="P315" s="963">
        <f t="shared" si="17"/>
        <v>56.494599999999984</v>
      </c>
      <c r="R315" s="963">
        <f t="shared" si="18"/>
        <v>36.188000000000002</v>
      </c>
      <c r="S315" s="963">
        <f t="shared" si="19"/>
        <v>36.954000000000001</v>
      </c>
    </row>
    <row r="316" spans="1:19" hidden="1" x14ac:dyDescent="0.25">
      <c r="A316" t="s">
        <v>744</v>
      </c>
      <c r="B316" t="s">
        <v>745</v>
      </c>
      <c r="C316" s="24" t="s">
        <v>1368</v>
      </c>
      <c r="D316" t="s">
        <v>1369</v>
      </c>
      <c r="E316" s="965">
        <v>114.61</v>
      </c>
      <c r="F316" s="966">
        <v>238390</v>
      </c>
      <c r="G316" s="967">
        <v>3.6</v>
      </c>
      <c r="H316" s="965">
        <v>39.9</v>
      </c>
      <c r="I316" s="965">
        <v>62.19</v>
      </c>
      <c r="J316" s="965" t="s">
        <v>748</v>
      </c>
      <c r="K316" s="965" t="s">
        <v>748</v>
      </c>
      <c r="L316" s="965" t="s">
        <v>748</v>
      </c>
      <c r="O316" s="963">
        <f t="shared" si="16"/>
        <v>51.713700000000003</v>
      </c>
      <c r="P316" s="963">
        <f t="shared" si="17"/>
        <v>53.942699999999995</v>
      </c>
      <c r="R316" s="963">
        <f t="shared" si="18"/>
        <v>46.587000000000003</v>
      </c>
      <c r="S316" s="963">
        <f t="shared" si="19"/>
        <v>48.815999999999995</v>
      </c>
    </row>
    <row r="317" spans="1:19" hidden="1" x14ac:dyDescent="0.25">
      <c r="A317" t="s">
        <v>744</v>
      </c>
      <c r="B317" t="s">
        <v>745</v>
      </c>
      <c r="C317" s="24" t="s">
        <v>1370</v>
      </c>
      <c r="D317" t="s">
        <v>1371</v>
      </c>
      <c r="E317" s="965">
        <v>105.21</v>
      </c>
      <c r="F317" s="966">
        <v>218850</v>
      </c>
      <c r="G317" s="967">
        <v>9</v>
      </c>
      <c r="H317" s="965">
        <v>44.33</v>
      </c>
      <c r="I317" s="965">
        <v>77.62</v>
      </c>
      <c r="J317" s="965">
        <v>84.87</v>
      </c>
      <c r="K317" s="965" t="s">
        <v>748</v>
      </c>
      <c r="L317" s="965" t="s">
        <v>748</v>
      </c>
      <c r="O317" s="963">
        <f t="shared" si="16"/>
        <v>78.055000000000007</v>
      </c>
      <c r="P317" s="963">
        <f t="shared" si="17"/>
        <v>79.50500000000001</v>
      </c>
      <c r="R317" s="963">
        <f t="shared" si="18"/>
        <v>64.304000000000002</v>
      </c>
      <c r="S317" s="963">
        <f t="shared" si="19"/>
        <v>70.962000000000003</v>
      </c>
    </row>
    <row r="318" spans="1:19" hidden="1" x14ac:dyDescent="0.25">
      <c r="A318" t="s">
        <v>744</v>
      </c>
      <c r="B318" t="s">
        <v>745</v>
      </c>
      <c r="C318" s="24" t="s">
        <v>1372</v>
      </c>
      <c r="D318" t="s">
        <v>1373</v>
      </c>
      <c r="E318" s="965">
        <v>98.4</v>
      </c>
      <c r="F318" s="966">
        <v>204670</v>
      </c>
      <c r="G318" s="967">
        <v>3.6</v>
      </c>
      <c r="H318" s="965">
        <v>38.729999999999997</v>
      </c>
      <c r="I318" s="965">
        <v>78.19</v>
      </c>
      <c r="J318" s="965">
        <v>98.23</v>
      </c>
      <c r="K318" s="965">
        <v>110.34</v>
      </c>
      <c r="L318" s="965" t="s">
        <v>748</v>
      </c>
      <c r="O318" s="963">
        <f t="shared" si="16"/>
        <v>90.013599999999997</v>
      </c>
      <c r="P318" s="963">
        <f t="shared" si="17"/>
        <v>96.025599999999997</v>
      </c>
      <c r="R318" s="963">
        <f t="shared" si="18"/>
        <v>74.244</v>
      </c>
      <c r="S318" s="963">
        <f t="shared" si="19"/>
        <v>82.198000000000008</v>
      </c>
    </row>
    <row r="319" spans="1:19" hidden="1" x14ac:dyDescent="0.25">
      <c r="A319" t="s">
        <v>744</v>
      </c>
      <c r="B319" t="s">
        <v>745</v>
      </c>
      <c r="C319" s="24" t="s">
        <v>1374</v>
      </c>
      <c r="D319" t="s">
        <v>1375</v>
      </c>
      <c r="E319" s="965">
        <v>158.36000000000001</v>
      </c>
      <c r="F319" s="966">
        <v>329400</v>
      </c>
      <c r="G319" s="967">
        <v>10</v>
      </c>
      <c r="H319" s="965">
        <v>54.43</v>
      </c>
      <c r="I319" s="965">
        <v>104.29</v>
      </c>
      <c r="J319" s="965" t="s">
        <v>748</v>
      </c>
      <c r="K319" s="965" t="s">
        <v>748</v>
      </c>
      <c r="L319" s="965" t="s">
        <v>748</v>
      </c>
      <c r="O319" s="963">
        <f t="shared" si="16"/>
        <v>80.855800000000002</v>
      </c>
      <c r="P319" s="963">
        <f t="shared" si="17"/>
        <v>85.841800000000006</v>
      </c>
      <c r="R319" s="963">
        <f t="shared" si="18"/>
        <v>69.388000000000005</v>
      </c>
      <c r="S319" s="963">
        <f t="shared" si="19"/>
        <v>74.373999999999995</v>
      </c>
    </row>
    <row r="320" spans="1:19" x14ac:dyDescent="0.25">
      <c r="A320" t="s">
        <v>744</v>
      </c>
      <c r="B320" t="s">
        <v>745</v>
      </c>
      <c r="C320" s="24" t="s">
        <v>1376</v>
      </c>
      <c r="D320" t="s">
        <v>1377</v>
      </c>
      <c r="E320" s="965">
        <v>85.89</v>
      </c>
      <c r="F320" s="966">
        <v>178640</v>
      </c>
      <c r="G320" s="967">
        <v>3.2</v>
      </c>
      <c r="H320" s="965">
        <v>33.880000000000003</v>
      </c>
      <c r="I320" s="965">
        <v>38.090000000000003</v>
      </c>
      <c r="J320" s="965">
        <v>61.93</v>
      </c>
      <c r="K320" s="965" t="s">
        <v>748</v>
      </c>
      <c r="L320" s="965" t="s">
        <v>748</v>
      </c>
      <c r="O320" s="963">
        <f t="shared" si="16"/>
        <v>39.520400000000002</v>
      </c>
      <c r="P320" s="963">
        <f t="shared" si="17"/>
        <v>44.288399999999996</v>
      </c>
      <c r="R320" s="963">
        <f t="shared" si="18"/>
        <v>36.406000000000006</v>
      </c>
      <c r="S320" s="963">
        <f t="shared" si="19"/>
        <v>37.248000000000005</v>
      </c>
    </row>
    <row r="321" spans="1:19" hidden="1" x14ac:dyDescent="0.25">
      <c r="A321" t="s">
        <v>744</v>
      </c>
      <c r="B321" t="s">
        <v>745</v>
      </c>
      <c r="C321" s="24" t="s">
        <v>1378</v>
      </c>
      <c r="D321" t="s">
        <v>1379</v>
      </c>
      <c r="E321" s="965">
        <v>177.64</v>
      </c>
      <c r="F321" s="966">
        <v>369490</v>
      </c>
      <c r="G321" s="967">
        <v>6.7</v>
      </c>
      <c r="H321" s="965">
        <v>94.68</v>
      </c>
      <c r="I321" s="965" t="s">
        <v>748</v>
      </c>
      <c r="J321" s="965" t="s">
        <v>748</v>
      </c>
      <c r="K321" s="965" t="s">
        <v>748</v>
      </c>
      <c r="L321" s="965" t="s">
        <v>748</v>
      </c>
      <c r="O321" s="963">
        <f t="shared" si="16"/>
        <v>94.68</v>
      </c>
      <c r="P321" s="963">
        <f t="shared" si="17"/>
        <v>94.68</v>
      </c>
      <c r="R321" s="963">
        <f t="shared" si="18"/>
        <v>94.68</v>
      </c>
      <c r="S321" s="963">
        <f t="shared" si="19"/>
        <v>94.68</v>
      </c>
    </row>
    <row r="322" spans="1:19" hidden="1" x14ac:dyDescent="0.25">
      <c r="A322" t="s">
        <v>744</v>
      </c>
      <c r="B322" t="s">
        <v>745</v>
      </c>
      <c r="C322" s="24" t="s">
        <v>1380</v>
      </c>
      <c r="D322" t="s">
        <v>1381</v>
      </c>
      <c r="E322" s="965">
        <v>110.57</v>
      </c>
      <c r="F322" s="966">
        <v>229980</v>
      </c>
      <c r="G322" s="967">
        <v>1.9</v>
      </c>
      <c r="H322" s="965">
        <v>34.770000000000003</v>
      </c>
      <c r="I322" s="965">
        <v>38.299999999999997</v>
      </c>
      <c r="J322" s="965">
        <v>107.97</v>
      </c>
      <c r="K322" s="965" t="s">
        <v>748</v>
      </c>
      <c r="L322" s="965" t="s">
        <v>748</v>
      </c>
      <c r="O322" s="963">
        <f t="shared" ref="O322:O385" si="20">_xlfn.PERCENTILE.INC((H322:L322),$W$1)</f>
        <v>42.480200000000004</v>
      </c>
      <c r="P322" s="963">
        <f t="shared" ref="P322:P385" si="21">_xlfn.PERCENTILE.INC((H322:L322),$X$1)</f>
        <v>56.41419999999998</v>
      </c>
      <c r="R322" s="963">
        <f t="shared" si="18"/>
        <v>36.887999999999998</v>
      </c>
      <c r="S322" s="963">
        <f t="shared" si="19"/>
        <v>37.594000000000001</v>
      </c>
    </row>
    <row r="323" spans="1:19" hidden="1" x14ac:dyDescent="0.25">
      <c r="A323" t="s">
        <v>744</v>
      </c>
      <c r="B323" t="s">
        <v>745</v>
      </c>
      <c r="C323" s="24" t="s">
        <v>1382</v>
      </c>
      <c r="D323" t="s">
        <v>1383</v>
      </c>
      <c r="E323" s="965">
        <v>161.94</v>
      </c>
      <c r="F323" s="966">
        <v>336830</v>
      </c>
      <c r="G323" s="967">
        <v>6.7</v>
      </c>
      <c r="H323" s="965">
        <v>70.94</v>
      </c>
      <c r="I323" s="965" t="s">
        <v>748</v>
      </c>
      <c r="J323" s="965" t="s">
        <v>748</v>
      </c>
      <c r="K323" s="965" t="s">
        <v>748</v>
      </c>
      <c r="L323" s="965" t="s">
        <v>748</v>
      </c>
      <c r="O323" s="963">
        <f t="shared" si="20"/>
        <v>70.94</v>
      </c>
      <c r="P323" s="963">
        <f t="shared" si="21"/>
        <v>70.94</v>
      </c>
      <c r="R323" s="963">
        <f t="shared" ref="R323:R386" si="22">_xlfn.PERCENTILE.INC((H323:L323),$Y$1)</f>
        <v>70.94</v>
      </c>
      <c r="S323" s="963">
        <f t="shared" ref="S323:S386" si="23">_xlfn.PERCENTILE.INC((H323:L323),$Z$1)</f>
        <v>70.94</v>
      </c>
    </row>
    <row r="324" spans="1:19" hidden="1" x14ac:dyDescent="0.25">
      <c r="A324" t="s">
        <v>744</v>
      </c>
      <c r="B324" t="s">
        <v>745</v>
      </c>
      <c r="C324" s="24" t="s">
        <v>1384</v>
      </c>
      <c r="D324" t="s">
        <v>1385</v>
      </c>
      <c r="E324" s="965">
        <v>128.6</v>
      </c>
      <c r="F324" s="966">
        <v>267480</v>
      </c>
      <c r="G324" s="967">
        <v>2.8</v>
      </c>
      <c r="H324" s="965">
        <v>36.200000000000003</v>
      </c>
      <c r="I324" s="965">
        <v>38.29</v>
      </c>
      <c r="J324" s="965">
        <v>112.69</v>
      </c>
      <c r="K324" s="965" t="s">
        <v>748</v>
      </c>
      <c r="L324" s="965" t="s">
        <v>748</v>
      </c>
      <c r="O324" s="963">
        <f t="shared" si="20"/>
        <v>42.754000000000005</v>
      </c>
      <c r="P324" s="963">
        <f t="shared" si="21"/>
        <v>57.633999999999986</v>
      </c>
      <c r="R324" s="963">
        <f t="shared" si="22"/>
        <v>37.454000000000001</v>
      </c>
      <c r="S324" s="963">
        <f t="shared" si="23"/>
        <v>37.872</v>
      </c>
    </row>
    <row r="325" spans="1:19" hidden="1" x14ac:dyDescent="0.25">
      <c r="A325" t="s">
        <v>744</v>
      </c>
      <c r="B325" t="s">
        <v>745</v>
      </c>
      <c r="C325" s="24" t="s">
        <v>1386</v>
      </c>
      <c r="D325" t="s">
        <v>1387</v>
      </c>
      <c r="E325" s="965">
        <v>46.35</v>
      </c>
      <c r="F325" s="966">
        <v>96410</v>
      </c>
      <c r="G325" s="967">
        <v>1.5</v>
      </c>
      <c r="H325" s="965">
        <v>38.24</v>
      </c>
      <c r="I325" s="965">
        <v>45.12</v>
      </c>
      <c r="J325" s="965">
        <v>48.44</v>
      </c>
      <c r="K325" s="965">
        <v>49.42</v>
      </c>
      <c r="L325" s="965">
        <v>50.41</v>
      </c>
      <c r="O325" s="963">
        <f t="shared" si="20"/>
        <v>48.557600000000001</v>
      </c>
      <c r="P325" s="963">
        <f t="shared" si="21"/>
        <v>48.949599999999997</v>
      </c>
      <c r="R325" s="963">
        <f t="shared" si="22"/>
        <v>45.783999999999999</v>
      </c>
      <c r="S325" s="963">
        <f t="shared" si="23"/>
        <v>47.111999999999995</v>
      </c>
    </row>
    <row r="326" spans="1:19" hidden="1" x14ac:dyDescent="0.25">
      <c r="A326" t="s">
        <v>744</v>
      </c>
      <c r="B326" t="s">
        <v>745</v>
      </c>
      <c r="C326" s="24" t="s">
        <v>1388</v>
      </c>
      <c r="D326" t="s">
        <v>1389</v>
      </c>
      <c r="E326" s="965">
        <v>47.95</v>
      </c>
      <c r="F326" s="966">
        <v>99730</v>
      </c>
      <c r="G326" s="967">
        <v>2.2000000000000002</v>
      </c>
      <c r="H326" s="965">
        <v>28.62</v>
      </c>
      <c r="I326" s="965">
        <v>36.03</v>
      </c>
      <c r="J326" s="965">
        <v>46.09</v>
      </c>
      <c r="K326" s="965">
        <v>58.03</v>
      </c>
      <c r="L326" s="965">
        <v>73.17</v>
      </c>
      <c r="O326" s="963">
        <f t="shared" si="20"/>
        <v>47.522800000000004</v>
      </c>
      <c r="P326" s="963">
        <f t="shared" si="21"/>
        <v>52.2988</v>
      </c>
      <c r="R326" s="963">
        <f t="shared" si="22"/>
        <v>38.042000000000002</v>
      </c>
      <c r="S326" s="963">
        <f t="shared" si="23"/>
        <v>42.066000000000003</v>
      </c>
    </row>
    <row r="327" spans="1:19" hidden="1" x14ac:dyDescent="0.25">
      <c r="A327" t="s">
        <v>744</v>
      </c>
      <c r="B327" t="s">
        <v>745</v>
      </c>
      <c r="C327" s="24" t="s">
        <v>1390</v>
      </c>
      <c r="D327" t="s">
        <v>1391</v>
      </c>
      <c r="E327" s="965">
        <v>33.78</v>
      </c>
      <c r="F327" s="966">
        <v>70270</v>
      </c>
      <c r="G327" s="967">
        <v>0.7</v>
      </c>
      <c r="H327" s="965">
        <v>21.62</v>
      </c>
      <c r="I327" s="965">
        <v>24.28</v>
      </c>
      <c r="J327" s="965">
        <v>31.64</v>
      </c>
      <c r="K327" s="965">
        <v>40.520000000000003</v>
      </c>
      <c r="L327" s="965">
        <v>48.25</v>
      </c>
      <c r="O327" s="963">
        <f t="shared" si="20"/>
        <v>32.705600000000004</v>
      </c>
      <c r="P327" s="963">
        <f t="shared" si="21"/>
        <v>36.257600000000004</v>
      </c>
      <c r="R327" s="963">
        <f t="shared" si="22"/>
        <v>25.752000000000002</v>
      </c>
      <c r="S327" s="963">
        <f t="shared" si="23"/>
        <v>28.696000000000002</v>
      </c>
    </row>
    <row r="328" spans="1:19" hidden="1" x14ac:dyDescent="0.25">
      <c r="A328" t="s">
        <v>744</v>
      </c>
      <c r="B328" t="s">
        <v>745</v>
      </c>
      <c r="C328" s="24" t="s">
        <v>1392</v>
      </c>
      <c r="D328" t="s">
        <v>1393</v>
      </c>
      <c r="E328" s="965">
        <v>49.79</v>
      </c>
      <c r="F328" s="966">
        <v>103570</v>
      </c>
      <c r="G328" s="967">
        <v>10.199999999999999</v>
      </c>
      <c r="H328" s="965">
        <v>20.86</v>
      </c>
      <c r="I328" s="965">
        <v>29.3</v>
      </c>
      <c r="J328" s="965">
        <v>47.76</v>
      </c>
      <c r="K328" s="965">
        <v>59.24</v>
      </c>
      <c r="L328" s="965">
        <v>88.56</v>
      </c>
      <c r="O328" s="963">
        <f t="shared" si="20"/>
        <v>49.137599999999999</v>
      </c>
      <c r="P328" s="963">
        <f t="shared" si="21"/>
        <v>53.729599999999998</v>
      </c>
      <c r="R328" s="963">
        <f t="shared" si="22"/>
        <v>32.992000000000004</v>
      </c>
      <c r="S328" s="963">
        <f t="shared" si="23"/>
        <v>40.376000000000005</v>
      </c>
    </row>
    <row r="329" spans="1:19" hidden="1" x14ac:dyDescent="0.25">
      <c r="A329" t="s">
        <v>744</v>
      </c>
      <c r="B329" t="s">
        <v>745</v>
      </c>
      <c r="C329" s="24" t="s">
        <v>1394</v>
      </c>
      <c r="D329" t="s">
        <v>1395</v>
      </c>
      <c r="E329" s="965">
        <v>48.76</v>
      </c>
      <c r="F329" s="966">
        <v>101420</v>
      </c>
      <c r="G329" s="967">
        <v>0.6</v>
      </c>
      <c r="H329" s="965">
        <v>39.26</v>
      </c>
      <c r="I329" s="965">
        <v>44.06</v>
      </c>
      <c r="J329" s="965">
        <v>47.41</v>
      </c>
      <c r="K329" s="965">
        <v>54.35</v>
      </c>
      <c r="L329" s="965">
        <v>59.89</v>
      </c>
      <c r="O329" s="963">
        <f t="shared" si="20"/>
        <v>48.242799999999995</v>
      </c>
      <c r="P329" s="963">
        <f t="shared" si="21"/>
        <v>51.018799999999999</v>
      </c>
      <c r="R329" s="963">
        <f t="shared" si="22"/>
        <v>44.730000000000004</v>
      </c>
      <c r="S329" s="963">
        <f t="shared" si="23"/>
        <v>46.07</v>
      </c>
    </row>
    <row r="330" spans="1:19" hidden="1" x14ac:dyDescent="0.25">
      <c r="A330" t="s">
        <v>744</v>
      </c>
      <c r="B330" t="s">
        <v>745</v>
      </c>
      <c r="C330" s="24" t="s">
        <v>1396</v>
      </c>
      <c r="D330" t="s">
        <v>1397</v>
      </c>
      <c r="E330" s="965">
        <v>48.37</v>
      </c>
      <c r="F330" s="966">
        <v>100610</v>
      </c>
      <c r="G330" s="967">
        <v>0.5</v>
      </c>
      <c r="H330" s="965">
        <v>38.479999999999997</v>
      </c>
      <c r="I330" s="965">
        <v>42.56</v>
      </c>
      <c r="J330" s="965">
        <v>49.75</v>
      </c>
      <c r="K330" s="965">
        <v>52.52</v>
      </c>
      <c r="L330" s="965">
        <v>57.48</v>
      </c>
      <c r="O330" s="963">
        <f t="shared" si="20"/>
        <v>50.0824</v>
      </c>
      <c r="P330" s="963">
        <f t="shared" si="21"/>
        <v>51.190400000000004</v>
      </c>
      <c r="R330" s="963">
        <f t="shared" si="22"/>
        <v>43.998000000000005</v>
      </c>
      <c r="S330" s="963">
        <f t="shared" si="23"/>
        <v>46.874000000000002</v>
      </c>
    </row>
    <row r="331" spans="1:19" hidden="1" x14ac:dyDescent="0.25">
      <c r="A331" t="s">
        <v>744</v>
      </c>
      <c r="B331" t="s">
        <v>745</v>
      </c>
      <c r="C331" s="24" t="s">
        <v>1398</v>
      </c>
      <c r="D331" t="s">
        <v>1399</v>
      </c>
      <c r="E331" s="965">
        <v>44.84</v>
      </c>
      <c r="F331" s="966">
        <v>93270</v>
      </c>
      <c r="G331" s="967">
        <v>0.7</v>
      </c>
      <c r="H331" s="965">
        <v>30.12</v>
      </c>
      <c r="I331" s="965">
        <v>36.909999999999997</v>
      </c>
      <c r="J331" s="965">
        <v>43.25</v>
      </c>
      <c r="K331" s="965">
        <v>50.19</v>
      </c>
      <c r="L331" s="965">
        <v>59.24</v>
      </c>
      <c r="O331" s="963">
        <f t="shared" si="20"/>
        <v>44.082799999999999</v>
      </c>
      <c r="P331" s="963">
        <f t="shared" si="21"/>
        <v>46.858800000000002</v>
      </c>
      <c r="R331" s="963">
        <f t="shared" si="22"/>
        <v>38.177999999999997</v>
      </c>
      <c r="S331" s="963">
        <f t="shared" si="23"/>
        <v>40.713999999999999</v>
      </c>
    </row>
    <row r="332" spans="1:19" hidden="1" x14ac:dyDescent="0.25">
      <c r="A332" t="s">
        <v>744</v>
      </c>
      <c r="B332" t="s">
        <v>745</v>
      </c>
      <c r="C332" s="24" t="s">
        <v>1400</v>
      </c>
      <c r="D332" t="s">
        <v>1401</v>
      </c>
      <c r="E332" s="965" t="s">
        <v>719</v>
      </c>
      <c r="F332" s="966" t="s">
        <v>719</v>
      </c>
      <c r="G332" s="967" t="s">
        <v>719</v>
      </c>
      <c r="H332" s="965" t="s">
        <v>719</v>
      </c>
      <c r="I332" s="965" t="s">
        <v>719</v>
      </c>
      <c r="J332" s="965" t="s">
        <v>719</v>
      </c>
      <c r="K332" s="965" t="s">
        <v>719</v>
      </c>
      <c r="L332" s="965" t="s">
        <v>719</v>
      </c>
      <c r="O332" s="963" t="e">
        <f t="shared" si="20"/>
        <v>#NUM!</v>
      </c>
      <c r="P332" s="963" t="e">
        <f t="shared" si="21"/>
        <v>#NUM!</v>
      </c>
      <c r="R332" s="963" t="e">
        <f t="shared" si="22"/>
        <v>#NUM!</v>
      </c>
      <c r="S332" s="963" t="e">
        <f t="shared" si="23"/>
        <v>#NUM!</v>
      </c>
    </row>
    <row r="333" spans="1:19" hidden="1" x14ac:dyDescent="0.25">
      <c r="A333" t="s">
        <v>744</v>
      </c>
      <c r="B333" t="s">
        <v>745</v>
      </c>
      <c r="C333" s="24" t="s">
        <v>1402</v>
      </c>
      <c r="D333" t="s">
        <v>1403</v>
      </c>
      <c r="E333" s="965">
        <v>65.36</v>
      </c>
      <c r="F333" s="966">
        <v>135950</v>
      </c>
      <c r="G333" s="967">
        <v>0.2</v>
      </c>
      <c r="H333" s="965">
        <v>49.7</v>
      </c>
      <c r="I333" s="965">
        <v>60.81</v>
      </c>
      <c r="J333" s="965">
        <v>62.93</v>
      </c>
      <c r="K333" s="965">
        <v>74.95</v>
      </c>
      <c r="L333" s="965">
        <v>77.87</v>
      </c>
      <c r="O333" s="963">
        <f t="shared" si="20"/>
        <v>64.372399999999999</v>
      </c>
      <c r="P333" s="963">
        <f t="shared" si="21"/>
        <v>69.180400000000006</v>
      </c>
      <c r="R333" s="963">
        <f t="shared" si="22"/>
        <v>61.234000000000002</v>
      </c>
      <c r="S333" s="963">
        <f t="shared" si="23"/>
        <v>62.082000000000001</v>
      </c>
    </row>
    <row r="334" spans="1:19" hidden="1" x14ac:dyDescent="0.25">
      <c r="A334" t="s">
        <v>744</v>
      </c>
      <c r="B334" t="s">
        <v>745</v>
      </c>
      <c r="C334" s="24" t="s">
        <v>1404</v>
      </c>
      <c r="D334" t="s">
        <v>1405</v>
      </c>
      <c r="E334" s="965">
        <v>24.12</v>
      </c>
      <c r="F334" s="966">
        <v>50170</v>
      </c>
      <c r="G334" s="967">
        <v>1.3</v>
      </c>
      <c r="H334" s="965">
        <v>17.809999999999999</v>
      </c>
      <c r="I334" s="965">
        <v>18.39</v>
      </c>
      <c r="J334" s="965">
        <v>22.08</v>
      </c>
      <c r="K334" s="965">
        <v>26.99</v>
      </c>
      <c r="L334" s="965">
        <v>33.53</v>
      </c>
      <c r="O334" s="963">
        <f t="shared" si="20"/>
        <v>22.6692</v>
      </c>
      <c r="P334" s="963">
        <f t="shared" si="21"/>
        <v>24.633199999999999</v>
      </c>
      <c r="R334" s="963">
        <f t="shared" si="22"/>
        <v>19.128</v>
      </c>
      <c r="S334" s="963">
        <f t="shared" si="23"/>
        <v>20.603999999999999</v>
      </c>
    </row>
    <row r="335" spans="1:19" hidden="1" x14ac:dyDescent="0.25">
      <c r="A335" t="s">
        <v>744</v>
      </c>
      <c r="B335" t="s">
        <v>745</v>
      </c>
      <c r="C335" s="24" t="s">
        <v>1406</v>
      </c>
      <c r="D335" t="s">
        <v>1407</v>
      </c>
      <c r="E335" s="965">
        <v>32.03</v>
      </c>
      <c r="F335" s="966">
        <v>66620</v>
      </c>
      <c r="G335" s="967">
        <v>1.4</v>
      </c>
      <c r="H335" s="965">
        <v>25.09</v>
      </c>
      <c r="I335" s="965">
        <v>27.15</v>
      </c>
      <c r="J335" s="965">
        <v>29.68</v>
      </c>
      <c r="K335" s="965">
        <v>35.76</v>
      </c>
      <c r="L335" s="965">
        <v>42.15</v>
      </c>
      <c r="O335" s="963">
        <f t="shared" si="20"/>
        <v>30.409600000000001</v>
      </c>
      <c r="P335" s="963">
        <f t="shared" si="21"/>
        <v>32.8416</v>
      </c>
      <c r="R335" s="963">
        <f t="shared" si="22"/>
        <v>27.655999999999999</v>
      </c>
      <c r="S335" s="963">
        <f t="shared" si="23"/>
        <v>28.667999999999999</v>
      </c>
    </row>
    <row r="336" spans="1:19" hidden="1" x14ac:dyDescent="0.25">
      <c r="A336" t="s">
        <v>744</v>
      </c>
      <c r="B336" t="s">
        <v>745</v>
      </c>
      <c r="C336" s="24" t="s">
        <v>1408</v>
      </c>
      <c r="D336" t="s">
        <v>1409</v>
      </c>
      <c r="E336" s="965">
        <v>20.190000000000001</v>
      </c>
      <c r="F336" s="966">
        <v>42000</v>
      </c>
      <c r="G336" s="967">
        <v>1.2</v>
      </c>
      <c r="H336" s="965">
        <v>16.600000000000001</v>
      </c>
      <c r="I336" s="965">
        <v>17.579999999999998</v>
      </c>
      <c r="J336" s="965">
        <v>18.8</v>
      </c>
      <c r="K336" s="965">
        <v>22.62</v>
      </c>
      <c r="L336" s="965">
        <v>25.64</v>
      </c>
      <c r="O336" s="963">
        <f t="shared" si="20"/>
        <v>19.258400000000002</v>
      </c>
      <c r="P336" s="963">
        <f t="shared" si="21"/>
        <v>20.7864</v>
      </c>
      <c r="R336" s="963">
        <f t="shared" si="22"/>
        <v>17.823999999999998</v>
      </c>
      <c r="S336" s="963">
        <f t="shared" si="23"/>
        <v>18.312000000000001</v>
      </c>
    </row>
    <row r="337" spans="1:19" hidden="1" x14ac:dyDescent="0.25">
      <c r="A337" t="s">
        <v>744</v>
      </c>
      <c r="B337" t="s">
        <v>745</v>
      </c>
      <c r="C337" s="24" t="s">
        <v>1410</v>
      </c>
      <c r="D337" t="s">
        <v>1411</v>
      </c>
      <c r="E337" s="965">
        <v>22.33</v>
      </c>
      <c r="F337" s="966">
        <v>46450</v>
      </c>
      <c r="G337" s="967">
        <v>0.8</v>
      </c>
      <c r="H337" s="965">
        <v>17.440000000000001</v>
      </c>
      <c r="I337" s="965">
        <v>18.03</v>
      </c>
      <c r="J337" s="965">
        <v>21.74</v>
      </c>
      <c r="K337" s="965">
        <v>24.41</v>
      </c>
      <c r="L337" s="965">
        <v>30.87</v>
      </c>
      <c r="O337" s="963">
        <f t="shared" si="20"/>
        <v>22.060399999999998</v>
      </c>
      <c r="P337" s="963">
        <f t="shared" si="21"/>
        <v>23.128399999999999</v>
      </c>
      <c r="R337" s="963">
        <f t="shared" si="22"/>
        <v>18.772000000000002</v>
      </c>
      <c r="S337" s="963">
        <f t="shared" si="23"/>
        <v>20.256</v>
      </c>
    </row>
    <row r="338" spans="1:19" hidden="1" x14ac:dyDescent="0.25">
      <c r="A338" t="s">
        <v>744</v>
      </c>
      <c r="B338" t="s">
        <v>745</v>
      </c>
      <c r="C338" s="24" t="s">
        <v>1412</v>
      </c>
      <c r="D338" t="s">
        <v>1413</v>
      </c>
      <c r="E338" s="965">
        <v>22.96</v>
      </c>
      <c r="F338" s="966">
        <v>47750</v>
      </c>
      <c r="G338" s="967">
        <v>4</v>
      </c>
      <c r="H338" s="965">
        <v>16.68</v>
      </c>
      <c r="I338" s="965">
        <v>18.899999999999999</v>
      </c>
      <c r="J338" s="965">
        <v>22.39</v>
      </c>
      <c r="K338" s="965">
        <v>25.3</v>
      </c>
      <c r="L338" s="965">
        <v>30.57</v>
      </c>
      <c r="O338" s="963">
        <f t="shared" si="20"/>
        <v>22.7392</v>
      </c>
      <c r="P338" s="963">
        <f t="shared" si="21"/>
        <v>23.903200000000002</v>
      </c>
      <c r="R338" s="963">
        <f t="shared" si="22"/>
        <v>19.597999999999999</v>
      </c>
      <c r="S338" s="963">
        <f t="shared" si="23"/>
        <v>20.994</v>
      </c>
    </row>
    <row r="339" spans="1:19" hidden="1" x14ac:dyDescent="0.25">
      <c r="A339" t="s">
        <v>744</v>
      </c>
      <c r="B339" t="s">
        <v>745</v>
      </c>
      <c r="C339" s="24" t="s">
        <v>1414</v>
      </c>
      <c r="D339" t="s">
        <v>1415</v>
      </c>
      <c r="E339" s="965">
        <v>34.020000000000003</v>
      </c>
      <c r="F339" s="966">
        <v>70760</v>
      </c>
      <c r="G339" s="967">
        <v>0.9</v>
      </c>
      <c r="H339" s="965">
        <v>21.66</v>
      </c>
      <c r="I339" s="965">
        <v>28.38</v>
      </c>
      <c r="J339" s="965">
        <v>32.619999999999997</v>
      </c>
      <c r="K339" s="965">
        <v>39.26</v>
      </c>
      <c r="L339" s="965">
        <v>45.04</v>
      </c>
      <c r="O339" s="963">
        <f t="shared" si="20"/>
        <v>33.416799999999995</v>
      </c>
      <c r="P339" s="963">
        <f t="shared" si="21"/>
        <v>36.072800000000001</v>
      </c>
      <c r="R339" s="963">
        <f t="shared" si="22"/>
        <v>29.227999999999998</v>
      </c>
      <c r="S339" s="963">
        <f t="shared" si="23"/>
        <v>30.923999999999999</v>
      </c>
    </row>
    <row r="340" spans="1:19" hidden="1" x14ac:dyDescent="0.25">
      <c r="A340" t="s">
        <v>744</v>
      </c>
      <c r="B340" t="s">
        <v>745</v>
      </c>
      <c r="C340" s="24" t="s">
        <v>1416</v>
      </c>
      <c r="D340" t="s">
        <v>1417</v>
      </c>
      <c r="E340" s="965">
        <v>23.21</v>
      </c>
      <c r="F340" s="966">
        <v>48270</v>
      </c>
      <c r="G340" s="967">
        <v>1.6</v>
      </c>
      <c r="H340" s="965">
        <v>17.71</v>
      </c>
      <c r="I340" s="965">
        <v>18.87</v>
      </c>
      <c r="J340" s="965">
        <v>23.11</v>
      </c>
      <c r="K340" s="965">
        <v>24.45</v>
      </c>
      <c r="L340" s="965">
        <v>28.42</v>
      </c>
      <c r="O340" s="963">
        <f t="shared" si="20"/>
        <v>23.270800000000001</v>
      </c>
      <c r="P340" s="963">
        <f t="shared" si="21"/>
        <v>23.806799999999999</v>
      </c>
      <c r="R340" s="963">
        <f t="shared" si="22"/>
        <v>19.718</v>
      </c>
      <c r="S340" s="963">
        <f t="shared" si="23"/>
        <v>21.414000000000001</v>
      </c>
    </row>
    <row r="341" spans="1:19" hidden="1" x14ac:dyDescent="0.25">
      <c r="A341" t="s">
        <v>744</v>
      </c>
      <c r="B341" t="s">
        <v>745</v>
      </c>
      <c r="C341" s="24" t="s">
        <v>1418</v>
      </c>
      <c r="D341" t="s">
        <v>1419</v>
      </c>
      <c r="E341" s="965">
        <v>26.14</v>
      </c>
      <c r="F341" s="966">
        <v>54360</v>
      </c>
      <c r="G341" s="967">
        <v>2.8</v>
      </c>
      <c r="H341" s="965">
        <v>17.68</v>
      </c>
      <c r="I341" s="965">
        <v>22.6</v>
      </c>
      <c r="J341" s="965">
        <v>24.14</v>
      </c>
      <c r="K341" s="965">
        <v>30.01</v>
      </c>
      <c r="L341" s="965">
        <v>34.67</v>
      </c>
      <c r="O341" s="963">
        <f t="shared" si="20"/>
        <v>24.8444</v>
      </c>
      <c r="P341" s="963">
        <f t="shared" si="21"/>
        <v>27.192399999999999</v>
      </c>
      <c r="R341" s="963">
        <f t="shared" si="22"/>
        <v>22.908000000000001</v>
      </c>
      <c r="S341" s="963">
        <f t="shared" si="23"/>
        <v>23.524000000000001</v>
      </c>
    </row>
    <row r="342" spans="1:19" s="992" customFormat="1" hidden="1" x14ac:dyDescent="0.25">
      <c r="A342" s="992" t="s">
        <v>744</v>
      </c>
      <c r="B342" s="992" t="s">
        <v>745</v>
      </c>
      <c r="C342" s="993" t="s">
        <v>460</v>
      </c>
      <c r="D342" s="992" t="s">
        <v>1420</v>
      </c>
      <c r="E342" s="994">
        <v>35.29</v>
      </c>
      <c r="F342" s="995">
        <v>73400</v>
      </c>
      <c r="G342" s="996">
        <v>1.2</v>
      </c>
      <c r="H342" s="994">
        <v>29.92</v>
      </c>
      <c r="I342" s="994">
        <v>31.28</v>
      </c>
      <c r="J342" s="994">
        <v>35.28</v>
      </c>
      <c r="K342" s="994">
        <v>37.17</v>
      </c>
      <c r="L342" s="994">
        <v>39.83</v>
      </c>
      <c r="O342" s="997">
        <f t="shared" si="20"/>
        <v>35.506799999999998</v>
      </c>
      <c r="P342" s="997">
        <f t="shared" si="21"/>
        <v>36.262799999999999</v>
      </c>
      <c r="R342" s="963">
        <f t="shared" si="22"/>
        <v>32.08</v>
      </c>
      <c r="S342" s="963">
        <f t="shared" si="23"/>
        <v>33.68</v>
      </c>
    </row>
    <row r="343" spans="1:19" hidden="1" x14ac:dyDescent="0.25">
      <c r="A343" t="s">
        <v>744</v>
      </c>
      <c r="B343" t="s">
        <v>745</v>
      </c>
      <c r="C343" s="24" t="s">
        <v>1421</v>
      </c>
      <c r="D343" t="s">
        <v>1422</v>
      </c>
      <c r="E343" s="965">
        <v>28.31</v>
      </c>
      <c r="F343" s="966">
        <v>58890</v>
      </c>
      <c r="G343" s="967">
        <v>1</v>
      </c>
      <c r="H343" s="965">
        <v>18.829999999999998</v>
      </c>
      <c r="I343" s="965">
        <v>22.23</v>
      </c>
      <c r="J343" s="965">
        <v>25.16</v>
      </c>
      <c r="K343" s="965">
        <v>32.19</v>
      </c>
      <c r="L343" s="965">
        <v>40.31</v>
      </c>
      <c r="O343" s="963">
        <f t="shared" si="20"/>
        <v>26.003600000000002</v>
      </c>
      <c r="P343" s="963">
        <f t="shared" si="21"/>
        <v>28.8156</v>
      </c>
      <c r="R343" s="963">
        <f t="shared" si="22"/>
        <v>22.816000000000003</v>
      </c>
      <c r="S343" s="963">
        <f t="shared" si="23"/>
        <v>23.988</v>
      </c>
    </row>
    <row r="344" spans="1:19" hidden="1" x14ac:dyDescent="0.25">
      <c r="A344" t="s">
        <v>744</v>
      </c>
      <c r="B344" t="s">
        <v>745</v>
      </c>
      <c r="C344" s="24" t="s">
        <v>1423</v>
      </c>
      <c r="D344" t="s">
        <v>1424</v>
      </c>
      <c r="E344" s="965">
        <v>31.89</v>
      </c>
      <c r="F344" s="966">
        <v>66330</v>
      </c>
      <c r="G344" s="967">
        <v>2.2999999999999998</v>
      </c>
      <c r="H344" s="965">
        <v>21.69</v>
      </c>
      <c r="I344" s="965">
        <v>28.08</v>
      </c>
      <c r="J344" s="965">
        <v>30.7</v>
      </c>
      <c r="K344" s="965">
        <v>35.200000000000003</v>
      </c>
      <c r="L344" s="965">
        <v>41.59</v>
      </c>
      <c r="O344" s="963">
        <f t="shared" si="20"/>
        <v>31.240000000000002</v>
      </c>
      <c r="P344" s="963">
        <f t="shared" si="21"/>
        <v>33.04</v>
      </c>
      <c r="R344" s="963">
        <f t="shared" si="22"/>
        <v>28.603999999999999</v>
      </c>
      <c r="S344" s="963">
        <f t="shared" si="23"/>
        <v>29.651999999999997</v>
      </c>
    </row>
    <row r="345" spans="1:19" hidden="1" x14ac:dyDescent="0.25">
      <c r="A345" t="s">
        <v>744</v>
      </c>
      <c r="B345" t="s">
        <v>745</v>
      </c>
      <c r="C345" s="24" t="s">
        <v>1425</v>
      </c>
      <c r="D345" t="s">
        <v>1426</v>
      </c>
      <c r="E345" s="965">
        <v>41.95</v>
      </c>
      <c r="F345" s="966">
        <v>87260</v>
      </c>
      <c r="G345" s="967">
        <v>1.9</v>
      </c>
      <c r="H345" s="965">
        <v>34.68</v>
      </c>
      <c r="I345" s="965">
        <v>38.68</v>
      </c>
      <c r="J345" s="965">
        <v>41.43</v>
      </c>
      <c r="K345" s="965">
        <v>47.84</v>
      </c>
      <c r="L345" s="965">
        <v>49.32</v>
      </c>
      <c r="O345" s="963">
        <f t="shared" si="20"/>
        <v>42.199199999999998</v>
      </c>
      <c r="P345" s="963">
        <f t="shared" si="21"/>
        <v>44.763200000000005</v>
      </c>
      <c r="R345" s="963">
        <f t="shared" si="22"/>
        <v>39.229999999999997</v>
      </c>
      <c r="S345" s="963">
        <f t="shared" si="23"/>
        <v>40.33</v>
      </c>
    </row>
    <row r="346" spans="1:19" hidden="1" x14ac:dyDescent="0.25">
      <c r="A346" t="s">
        <v>744</v>
      </c>
      <c r="B346" t="s">
        <v>745</v>
      </c>
      <c r="C346" s="24" t="s">
        <v>1427</v>
      </c>
      <c r="D346" t="s">
        <v>1428</v>
      </c>
      <c r="E346" s="965">
        <v>27.85</v>
      </c>
      <c r="F346" s="966">
        <v>57920</v>
      </c>
      <c r="G346" s="967">
        <v>3.7</v>
      </c>
      <c r="H346" s="965">
        <v>16.59</v>
      </c>
      <c r="I346" s="965">
        <v>22.33</v>
      </c>
      <c r="J346" s="965">
        <v>29.43</v>
      </c>
      <c r="K346" s="965">
        <v>33.07</v>
      </c>
      <c r="L346" s="965">
        <v>38.04</v>
      </c>
      <c r="O346" s="963">
        <f t="shared" si="20"/>
        <v>29.866800000000001</v>
      </c>
      <c r="P346" s="963">
        <f t="shared" si="21"/>
        <v>31.322800000000001</v>
      </c>
      <c r="R346" s="963">
        <f t="shared" si="22"/>
        <v>23.75</v>
      </c>
      <c r="S346" s="963">
        <f t="shared" si="23"/>
        <v>26.59</v>
      </c>
    </row>
    <row r="347" spans="1:19" hidden="1" x14ac:dyDescent="0.25">
      <c r="A347" t="s">
        <v>744</v>
      </c>
      <c r="B347" t="s">
        <v>745</v>
      </c>
      <c r="C347" s="24" t="s">
        <v>1429</v>
      </c>
      <c r="D347" t="s">
        <v>1430</v>
      </c>
      <c r="E347" s="965">
        <v>33.28</v>
      </c>
      <c r="F347" s="966">
        <v>69230</v>
      </c>
      <c r="G347" s="967">
        <v>4</v>
      </c>
      <c r="H347" s="965">
        <v>19.79</v>
      </c>
      <c r="I347" s="965">
        <v>22.74</v>
      </c>
      <c r="J347" s="965">
        <v>26.53</v>
      </c>
      <c r="K347" s="965">
        <v>36.340000000000003</v>
      </c>
      <c r="L347" s="965">
        <v>72.55</v>
      </c>
      <c r="O347" s="963">
        <f t="shared" si="20"/>
        <v>27.707200000000004</v>
      </c>
      <c r="P347" s="963">
        <f t="shared" si="21"/>
        <v>31.631200000000003</v>
      </c>
      <c r="R347" s="963">
        <f t="shared" si="22"/>
        <v>23.498000000000001</v>
      </c>
      <c r="S347" s="963">
        <f t="shared" si="23"/>
        <v>25.013999999999999</v>
      </c>
    </row>
    <row r="348" spans="1:19" hidden="1" x14ac:dyDescent="0.25">
      <c r="A348" t="s">
        <v>744</v>
      </c>
      <c r="B348" t="s">
        <v>745</v>
      </c>
      <c r="C348" s="24" t="s">
        <v>1431</v>
      </c>
      <c r="D348" t="s">
        <v>1432</v>
      </c>
      <c r="E348" s="965">
        <v>41.22</v>
      </c>
      <c r="F348" s="966">
        <v>85740</v>
      </c>
      <c r="G348" s="967">
        <v>3.1</v>
      </c>
      <c r="H348" s="965">
        <v>24.74</v>
      </c>
      <c r="I348" s="965">
        <v>29.25</v>
      </c>
      <c r="J348" s="965">
        <v>37.729999999999997</v>
      </c>
      <c r="K348" s="965">
        <v>49.48</v>
      </c>
      <c r="L348" s="965">
        <v>59.32</v>
      </c>
      <c r="O348" s="963">
        <f t="shared" si="20"/>
        <v>39.14</v>
      </c>
      <c r="P348" s="963">
        <f t="shared" si="21"/>
        <v>43.839999999999996</v>
      </c>
      <c r="R348" s="963">
        <f t="shared" si="22"/>
        <v>30.946000000000002</v>
      </c>
      <c r="S348" s="963">
        <f t="shared" si="23"/>
        <v>34.338000000000001</v>
      </c>
    </row>
    <row r="349" spans="1:19" hidden="1" x14ac:dyDescent="0.25">
      <c r="A349" t="s">
        <v>744</v>
      </c>
      <c r="B349" t="s">
        <v>745</v>
      </c>
      <c r="C349" s="24" t="s">
        <v>1433</v>
      </c>
      <c r="D349" t="s">
        <v>1434</v>
      </c>
      <c r="E349" s="965" t="s">
        <v>719</v>
      </c>
      <c r="F349" s="966">
        <v>66550</v>
      </c>
      <c r="G349" s="967">
        <v>4.3</v>
      </c>
      <c r="H349" s="965" t="s">
        <v>719</v>
      </c>
      <c r="I349" s="965" t="s">
        <v>719</v>
      </c>
      <c r="J349" s="965" t="s">
        <v>719</v>
      </c>
      <c r="K349" s="965" t="s">
        <v>719</v>
      </c>
      <c r="L349" s="965" t="s">
        <v>719</v>
      </c>
      <c r="O349" s="963" t="e">
        <f t="shared" si="20"/>
        <v>#NUM!</v>
      </c>
      <c r="P349" s="963" t="e">
        <f t="shared" si="21"/>
        <v>#NUM!</v>
      </c>
      <c r="R349" s="963" t="e">
        <f t="shared" si="22"/>
        <v>#NUM!</v>
      </c>
      <c r="S349" s="963" t="e">
        <f t="shared" si="23"/>
        <v>#NUM!</v>
      </c>
    </row>
    <row r="350" spans="1:19" hidden="1" x14ac:dyDescent="0.25">
      <c r="A350" t="s">
        <v>744</v>
      </c>
      <c r="B350" t="s">
        <v>745</v>
      </c>
      <c r="C350" s="24" t="s">
        <v>1435</v>
      </c>
      <c r="D350" t="s">
        <v>1436</v>
      </c>
      <c r="E350" s="965">
        <v>47.99</v>
      </c>
      <c r="F350" s="966">
        <v>99810</v>
      </c>
      <c r="G350" s="967">
        <v>7.3</v>
      </c>
      <c r="H350" s="965">
        <v>31.8</v>
      </c>
      <c r="I350" s="965">
        <v>37.22</v>
      </c>
      <c r="J350" s="965">
        <v>46.1</v>
      </c>
      <c r="K350" s="965">
        <v>59.89</v>
      </c>
      <c r="L350" s="965">
        <v>65.709999999999994</v>
      </c>
      <c r="O350" s="963">
        <f t="shared" si="20"/>
        <v>47.754800000000003</v>
      </c>
      <c r="P350" s="963">
        <f t="shared" si="21"/>
        <v>53.270800000000001</v>
      </c>
      <c r="R350" s="963">
        <f t="shared" si="22"/>
        <v>38.996000000000002</v>
      </c>
      <c r="S350" s="963">
        <f t="shared" si="23"/>
        <v>42.548000000000002</v>
      </c>
    </row>
    <row r="351" spans="1:19" hidden="1" x14ac:dyDescent="0.25">
      <c r="A351" t="s">
        <v>744</v>
      </c>
      <c r="B351" t="s">
        <v>745</v>
      </c>
      <c r="C351" s="24" t="s">
        <v>1437</v>
      </c>
      <c r="D351" t="s">
        <v>1438</v>
      </c>
      <c r="E351" s="965">
        <v>26.18</v>
      </c>
      <c r="F351" s="966">
        <v>54460</v>
      </c>
      <c r="G351" s="967">
        <v>3.6</v>
      </c>
      <c r="H351" s="965">
        <v>18.399999999999999</v>
      </c>
      <c r="I351" s="965">
        <v>19.809999999999999</v>
      </c>
      <c r="J351" s="965">
        <v>26.75</v>
      </c>
      <c r="K351" s="965">
        <v>29.45</v>
      </c>
      <c r="L351" s="965">
        <v>35.659999999999997</v>
      </c>
      <c r="O351" s="963">
        <f t="shared" si="20"/>
        <v>27.074000000000002</v>
      </c>
      <c r="P351" s="963">
        <f t="shared" si="21"/>
        <v>28.154</v>
      </c>
      <c r="R351" s="963">
        <f t="shared" si="22"/>
        <v>21.198</v>
      </c>
      <c r="S351" s="963">
        <f t="shared" si="23"/>
        <v>23.974</v>
      </c>
    </row>
    <row r="352" spans="1:19" hidden="1" x14ac:dyDescent="0.25">
      <c r="A352" t="s">
        <v>744</v>
      </c>
      <c r="B352" t="s">
        <v>745</v>
      </c>
      <c r="C352" s="24" t="s">
        <v>1439</v>
      </c>
      <c r="D352" t="s">
        <v>1440</v>
      </c>
      <c r="E352" s="965">
        <v>36.31</v>
      </c>
      <c r="F352" s="966">
        <v>75520</v>
      </c>
      <c r="G352" s="967">
        <v>6</v>
      </c>
      <c r="H352" s="965">
        <v>18.95</v>
      </c>
      <c r="I352" s="965">
        <v>22</v>
      </c>
      <c r="J352" s="965">
        <v>34.76</v>
      </c>
      <c r="K352" s="965">
        <v>44.41</v>
      </c>
      <c r="L352" s="965">
        <v>62.14</v>
      </c>
      <c r="O352" s="963">
        <f t="shared" si="20"/>
        <v>35.917999999999999</v>
      </c>
      <c r="P352" s="963">
        <f t="shared" si="21"/>
        <v>39.777999999999999</v>
      </c>
      <c r="R352" s="963">
        <f t="shared" si="22"/>
        <v>24.552000000000003</v>
      </c>
      <c r="S352" s="963">
        <f t="shared" si="23"/>
        <v>29.655999999999999</v>
      </c>
    </row>
    <row r="353" spans="1:19" hidden="1" x14ac:dyDescent="0.25">
      <c r="A353" t="s">
        <v>744</v>
      </c>
      <c r="B353" t="s">
        <v>745</v>
      </c>
      <c r="C353" s="24" t="s">
        <v>1441</v>
      </c>
      <c r="D353" t="s">
        <v>1442</v>
      </c>
      <c r="E353" s="965">
        <v>20.66</v>
      </c>
      <c r="F353" s="966">
        <v>42970</v>
      </c>
      <c r="G353" s="967">
        <v>0.6</v>
      </c>
      <c r="H353" s="965">
        <v>17.510000000000002</v>
      </c>
      <c r="I353" s="965">
        <v>18</v>
      </c>
      <c r="J353" s="965">
        <v>18.22</v>
      </c>
      <c r="K353" s="965">
        <v>22.12</v>
      </c>
      <c r="L353" s="965">
        <v>26.74</v>
      </c>
      <c r="O353" s="963">
        <f t="shared" si="20"/>
        <v>18.687999999999999</v>
      </c>
      <c r="P353" s="963">
        <f t="shared" si="21"/>
        <v>20.248000000000001</v>
      </c>
      <c r="R353" s="963">
        <f t="shared" si="22"/>
        <v>18.044</v>
      </c>
      <c r="S353" s="963">
        <f t="shared" si="23"/>
        <v>18.131999999999998</v>
      </c>
    </row>
    <row r="354" spans="1:19" s="980" customFormat="1" hidden="1" x14ac:dyDescent="0.25">
      <c r="A354" s="980" t="s">
        <v>744</v>
      </c>
      <c r="B354" s="980" t="s">
        <v>745</v>
      </c>
      <c r="C354" s="981" t="s">
        <v>1443</v>
      </c>
      <c r="D354" s="980" t="s">
        <v>1444</v>
      </c>
      <c r="E354" s="982">
        <v>18.54</v>
      </c>
      <c r="F354" s="983">
        <v>38550</v>
      </c>
      <c r="G354" s="984">
        <v>0.3</v>
      </c>
      <c r="H354" s="982">
        <v>17.309999999999999</v>
      </c>
      <c r="I354" s="982">
        <v>18</v>
      </c>
      <c r="J354" s="982">
        <v>18</v>
      </c>
      <c r="K354" s="982">
        <v>18.22</v>
      </c>
      <c r="L354" s="982">
        <v>20.7</v>
      </c>
      <c r="O354" s="985">
        <f t="shared" si="20"/>
        <v>18.026399999999999</v>
      </c>
      <c r="P354" s="985">
        <f t="shared" si="21"/>
        <v>18.1144</v>
      </c>
      <c r="R354" s="963">
        <f t="shared" si="22"/>
        <v>18</v>
      </c>
      <c r="S354" s="963">
        <f t="shared" si="23"/>
        <v>18</v>
      </c>
    </row>
    <row r="355" spans="1:19" s="980" customFormat="1" hidden="1" x14ac:dyDescent="0.25">
      <c r="A355" s="980" t="s">
        <v>744</v>
      </c>
      <c r="B355" s="980" t="s">
        <v>745</v>
      </c>
      <c r="C355" s="981" t="s">
        <v>457</v>
      </c>
      <c r="D355" s="980" t="s">
        <v>1445</v>
      </c>
      <c r="E355" s="982">
        <v>21.51</v>
      </c>
      <c r="F355" s="983">
        <v>44750</v>
      </c>
      <c r="G355" s="984">
        <v>0.8</v>
      </c>
      <c r="H355" s="982">
        <v>17.71</v>
      </c>
      <c r="I355" s="982">
        <v>18.739999999999998</v>
      </c>
      <c r="J355" s="982">
        <v>21.25</v>
      </c>
      <c r="K355" s="982">
        <v>22.65</v>
      </c>
      <c r="L355" s="982">
        <v>25.62</v>
      </c>
      <c r="O355" s="985">
        <f t="shared" si="20"/>
        <v>21.417999999999999</v>
      </c>
      <c r="P355" s="985">
        <f t="shared" si="21"/>
        <v>21.977999999999998</v>
      </c>
      <c r="R355" s="963">
        <f t="shared" si="22"/>
        <v>19.242000000000001</v>
      </c>
      <c r="S355" s="963">
        <f t="shared" si="23"/>
        <v>20.245999999999999</v>
      </c>
    </row>
    <row r="356" spans="1:19" hidden="1" x14ac:dyDescent="0.25">
      <c r="A356" t="s">
        <v>744</v>
      </c>
      <c r="B356" t="s">
        <v>745</v>
      </c>
      <c r="C356" s="24" t="s">
        <v>1446</v>
      </c>
      <c r="D356" t="s">
        <v>1447</v>
      </c>
      <c r="E356" s="965">
        <v>19.52</v>
      </c>
      <c r="F356" s="966">
        <v>40610</v>
      </c>
      <c r="G356" s="967">
        <v>0.5</v>
      </c>
      <c r="H356" s="965">
        <v>16.62</v>
      </c>
      <c r="I356" s="965">
        <v>17.43</v>
      </c>
      <c r="J356" s="965">
        <v>18.39</v>
      </c>
      <c r="K356" s="965">
        <v>20.6</v>
      </c>
      <c r="L356" s="965">
        <v>22.87</v>
      </c>
      <c r="O356" s="963">
        <f t="shared" si="20"/>
        <v>18.655200000000001</v>
      </c>
      <c r="P356" s="963">
        <f t="shared" si="21"/>
        <v>19.539200000000001</v>
      </c>
      <c r="R356" s="963">
        <f t="shared" si="22"/>
        <v>17.622</v>
      </c>
      <c r="S356" s="963">
        <f t="shared" si="23"/>
        <v>18.006</v>
      </c>
    </row>
    <row r="357" spans="1:19" hidden="1" x14ac:dyDescent="0.25">
      <c r="A357" t="s">
        <v>744</v>
      </c>
      <c r="B357" t="s">
        <v>745</v>
      </c>
      <c r="C357" s="24" t="s">
        <v>1448</v>
      </c>
      <c r="D357" t="s">
        <v>1449</v>
      </c>
      <c r="E357" s="965">
        <v>24.04</v>
      </c>
      <c r="F357" s="966">
        <v>50010</v>
      </c>
      <c r="G357" s="967">
        <v>0.5</v>
      </c>
      <c r="H357" s="965">
        <v>19.82</v>
      </c>
      <c r="I357" s="965">
        <v>20.7</v>
      </c>
      <c r="J357" s="965">
        <v>23.29</v>
      </c>
      <c r="K357" s="965">
        <v>27.06</v>
      </c>
      <c r="L357" s="965">
        <v>29.7</v>
      </c>
      <c r="O357" s="963">
        <f t="shared" si="20"/>
        <v>23.7424</v>
      </c>
      <c r="P357" s="963">
        <f t="shared" si="21"/>
        <v>25.250399999999999</v>
      </c>
      <c r="R357" s="963">
        <f t="shared" si="22"/>
        <v>21.218</v>
      </c>
      <c r="S357" s="963">
        <f t="shared" si="23"/>
        <v>22.253999999999998</v>
      </c>
    </row>
    <row r="358" spans="1:19" s="999" customFormat="1" hidden="1" x14ac:dyDescent="0.25">
      <c r="A358" s="999" t="s">
        <v>744</v>
      </c>
      <c r="B358" s="999" t="s">
        <v>745</v>
      </c>
      <c r="C358" s="1000" t="s">
        <v>1450</v>
      </c>
      <c r="D358" s="999" t="s">
        <v>1451</v>
      </c>
      <c r="E358" s="1001">
        <v>33.130000000000003</v>
      </c>
      <c r="F358" s="1002">
        <v>68920</v>
      </c>
      <c r="G358" s="1003">
        <v>1.9</v>
      </c>
      <c r="H358" s="1001">
        <v>24.59</v>
      </c>
      <c r="I358" s="1001">
        <v>29.15</v>
      </c>
      <c r="J358" s="1001">
        <v>34.69</v>
      </c>
      <c r="K358" s="1001">
        <v>37.39</v>
      </c>
      <c r="L358" s="1001">
        <v>39.619999999999997</v>
      </c>
      <c r="O358" s="1004">
        <f t="shared" si="20"/>
        <v>35.013999999999996</v>
      </c>
      <c r="P358" s="1004">
        <f t="shared" si="21"/>
        <v>36.094000000000001</v>
      </c>
      <c r="R358" s="963">
        <f t="shared" si="22"/>
        <v>30.257999999999999</v>
      </c>
      <c r="S358" s="963">
        <f t="shared" si="23"/>
        <v>32.473999999999997</v>
      </c>
    </row>
    <row r="359" spans="1:19" hidden="1" x14ac:dyDescent="0.25">
      <c r="A359" t="s">
        <v>744</v>
      </c>
      <c r="B359" t="s">
        <v>745</v>
      </c>
      <c r="C359" s="24" t="s">
        <v>1452</v>
      </c>
      <c r="D359" t="s">
        <v>1453</v>
      </c>
      <c r="E359" s="965">
        <v>19.850000000000001</v>
      </c>
      <c r="F359" s="966">
        <v>41290</v>
      </c>
      <c r="G359" s="967">
        <v>7.6</v>
      </c>
      <c r="H359" s="965">
        <v>15.13</v>
      </c>
      <c r="I359" s="965">
        <v>15.13</v>
      </c>
      <c r="J359" s="965">
        <v>20.51</v>
      </c>
      <c r="K359" s="965">
        <v>23.42</v>
      </c>
      <c r="L359" s="965">
        <v>23.43</v>
      </c>
      <c r="O359" s="1005">
        <f t="shared" si="20"/>
        <v>20.859200000000001</v>
      </c>
      <c r="P359" s="1005">
        <f t="shared" si="21"/>
        <v>22.023200000000003</v>
      </c>
      <c r="R359" s="963">
        <f t="shared" si="22"/>
        <v>16.206000000000003</v>
      </c>
      <c r="S359" s="963">
        <f t="shared" si="23"/>
        <v>18.358000000000001</v>
      </c>
    </row>
    <row r="360" spans="1:19" s="999" customFormat="1" hidden="1" x14ac:dyDescent="0.25">
      <c r="A360" s="999" t="s">
        <v>744</v>
      </c>
      <c r="B360" s="999" t="s">
        <v>745</v>
      </c>
      <c r="C360" s="1000" t="s">
        <v>1454</v>
      </c>
      <c r="D360" s="999" t="s">
        <v>1455</v>
      </c>
      <c r="E360" s="1001">
        <v>34.29</v>
      </c>
      <c r="F360" s="1002">
        <v>71320</v>
      </c>
      <c r="G360" s="1003">
        <v>1.3</v>
      </c>
      <c r="H360" s="1001">
        <v>28.04</v>
      </c>
      <c r="I360" s="1001">
        <v>30.04</v>
      </c>
      <c r="J360" s="1001">
        <v>36.130000000000003</v>
      </c>
      <c r="K360" s="1001">
        <v>38.03</v>
      </c>
      <c r="L360" s="1001">
        <v>40.159999999999997</v>
      </c>
      <c r="O360" s="1004">
        <f t="shared" si="20"/>
        <v>36.358000000000004</v>
      </c>
      <c r="P360" s="1004">
        <f t="shared" si="21"/>
        <v>37.118000000000002</v>
      </c>
      <c r="R360" s="963">
        <f t="shared" si="22"/>
        <v>31.258000000000003</v>
      </c>
      <c r="S360" s="963">
        <f t="shared" si="23"/>
        <v>33.694000000000003</v>
      </c>
    </row>
    <row r="361" spans="1:19" s="980" customFormat="1" hidden="1" x14ac:dyDescent="0.25">
      <c r="A361" s="980" t="s">
        <v>744</v>
      </c>
      <c r="B361" s="980" t="s">
        <v>745</v>
      </c>
      <c r="C361" s="981" t="s">
        <v>1456</v>
      </c>
      <c r="D361" s="980" t="s">
        <v>1457</v>
      </c>
      <c r="E361" s="982">
        <v>19.59</v>
      </c>
      <c r="F361" s="983">
        <v>40740</v>
      </c>
      <c r="G361" s="984">
        <v>1.3</v>
      </c>
      <c r="H361" s="982">
        <v>15.02</v>
      </c>
      <c r="I361" s="982">
        <v>17.22</v>
      </c>
      <c r="J361" s="982">
        <v>18.059999999999999</v>
      </c>
      <c r="K361" s="982">
        <v>21.65</v>
      </c>
      <c r="L361" s="982">
        <v>25.13</v>
      </c>
      <c r="O361" s="985">
        <f t="shared" si="20"/>
        <v>18.4908</v>
      </c>
      <c r="P361" s="985">
        <f t="shared" si="21"/>
        <v>19.9268</v>
      </c>
      <c r="R361" s="963">
        <f t="shared" si="22"/>
        <v>17.387999999999998</v>
      </c>
      <c r="S361" s="963">
        <f t="shared" si="23"/>
        <v>17.724</v>
      </c>
    </row>
    <row r="362" spans="1:19" hidden="1" x14ac:dyDescent="0.25">
      <c r="A362" t="s">
        <v>744</v>
      </c>
      <c r="B362" t="s">
        <v>745</v>
      </c>
      <c r="C362" s="24" t="s">
        <v>1458</v>
      </c>
      <c r="D362" t="s">
        <v>1459</v>
      </c>
      <c r="E362" s="965">
        <v>32.21</v>
      </c>
      <c r="F362" s="966">
        <v>66990</v>
      </c>
      <c r="G362" s="967">
        <v>4</v>
      </c>
      <c r="H362" s="965">
        <v>16.57</v>
      </c>
      <c r="I362" s="965">
        <v>23.72</v>
      </c>
      <c r="J362" s="965">
        <v>29.46</v>
      </c>
      <c r="K362" s="965">
        <v>40.68</v>
      </c>
      <c r="L362" s="965">
        <v>48.64</v>
      </c>
      <c r="O362" s="963">
        <f t="shared" si="20"/>
        <v>30.806400000000004</v>
      </c>
      <c r="P362" s="963">
        <f t="shared" si="21"/>
        <v>35.294400000000003</v>
      </c>
      <c r="R362" s="963">
        <f t="shared" si="22"/>
        <v>24.868000000000002</v>
      </c>
      <c r="S362" s="963">
        <f t="shared" si="23"/>
        <v>27.164000000000001</v>
      </c>
    </row>
    <row r="363" spans="1:19" hidden="1" x14ac:dyDescent="0.25">
      <c r="A363" t="s">
        <v>744</v>
      </c>
      <c r="B363" t="s">
        <v>745</v>
      </c>
      <c r="C363" s="24" t="s">
        <v>1460</v>
      </c>
      <c r="D363" t="s">
        <v>1461</v>
      </c>
      <c r="E363" s="965">
        <v>27.31</v>
      </c>
      <c r="F363" s="966">
        <v>56810</v>
      </c>
      <c r="G363" s="967">
        <v>2.5</v>
      </c>
      <c r="H363" s="965">
        <v>22.25</v>
      </c>
      <c r="I363" s="965">
        <v>22.94</v>
      </c>
      <c r="J363" s="965">
        <v>28.3</v>
      </c>
      <c r="K363" s="965">
        <v>30.44</v>
      </c>
      <c r="L363" s="965">
        <v>34.56</v>
      </c>
      <c r="O363" s="963">
        <f t="shared" si="20"/>
        <v>28.556800000000003</v>
      </c>
      <c r="P363" s="963">
        <f t="shared" si="21"/>
        <v>29.412800000000001</v>
      </c>
      <c r="R363" s="963">
        <f t="shared" si="22"/>
        <v>24.012</v>
      </c>
      <c r="S363" s="963">
        <f t="shared" si="23"/>
        <v>26.156000000000002</v>
      </c>
    </row>
    <row r="364" spans="1:19" hidden="1" x14ac:dyDescent="0.25">
      <c r="A364" t="s">
        <v>744</v>
      </c>
      <c r="B364" t="s">
        <v>745</v>
      </c>
      <c r="C364" s="24" t="s">
        <v>1462</v>
      </c>
      <c r="D364" t="s">
        <v>1463</v>
      </c>
      <c r="E364" s="965">
        <v>23.35</v>
      </c>
      <c r="F364" s="966">
        <v>48570</v>
      </c>
      <c r="G364" s="967">
        <v>0.7</v>
      </c>
      <c r="H364" s="965">
        <v>18.649999999999999</v>
      </c>
      <c r="I364" s="965">
        <v>21.07</v>
      </c>
      <c r="J364" s="965">
        <v>22.97</v>
      </c>
      <c r="K364" s="965">
        <v>24.92</v>
      </c>
      <c r="L364" s="965">
        <v>28.51</v>
      </c>
      <c r="O364" s="963">
        <f t="shared" si="20"/>
        <v>23.204000000000001</v>
      </c>
      <c r="P364" s="963">
        <f t="shared" si="21"/>
        <v>23.984000000000002</v>
      </c>
      <c r="R364" s="963">
        <f t="shared" si="22"/>
        <v>21.45</v>
      </c>
      <c r="S364" s="963">
        <f t="shared" si="23"/>
        <v>22.21</v>
      </c>
    </row>
    <row r="365" spans="1:19" hidden="1" x14ac:dyDescent="0.25">
      <c r="A365" t="s">
        <v>744</v>
      </c>
      <c r="B365" t="s">
        <v>745</v>
      </c>
      <c r="C365" s="24" t="s">
        <v>1464</v>
      </c>
      <c r="D365" t="s">
        <v>1465</v>
      </c>
      <c r="E365" s="965">
        <v>25.03</v>
      </c>
      <c r="F365" s="966">
        <v>52070</v>
      </c>
      <c r="G365" s="967">
        <v>1.1000000000000001</v>
      </c>
      <c r="H365" s="965">
        <v>18.010000000000002</v>
      </c>
      <c r="I365" s="965">
        <v>20.77</v>
      </c>
      <c r="J365" s="965">
        <v>23.83</v>
      </c>
      <c r="K365" s="965">
        <v>28.86</v>
      </c>
      <c r="L365" s="965">
        <v>33.57</v>
      </c>
      <c r="O365" s="963">
        <f t="shared" si="20"/>
        <v>24.433599999999998</v>
      </c>
      <c r="P365" s="963">
        <f t="shared" si="21"/>
        <v>26.445599999999999</v>
      </c>
      <c r="R365" s="963">
        <f t="shared" si="22"/>
        <v>21.382000000000001</v>
      </c>
      <c r="S365" s="963">
        <f t="shared" si="23"/>
        <v>22.605999999999998</v>
      </c>
    </row>
    <row r="366" spans="1:19" hidden="1" x14ac:dyDescent="0.25">
      <c r="A366" t="s">
        <v>744</v>
      </c>
      <c r="B366" t="s">
        <v>745</v>
      </c>
      <c r="C366" s="24" t="s">
        <v>1466</v>
      </c>
      <c r="D366" t="s">
        <v>1467</v>
      </c>
      <c r="E366" s="965">
        <v>21.34</v>
      </c>
      <c r="F366" s="966">
        <v>44400</v>
      </c>
      <c r="G366" s="967">
        <v>2.2999999999999998</v>
      </c>
      <c r="H366" s="965">
        <v>17.07</v>
      </c>
      <c r="I366" s="965">
        <v>19.55</v>
      </c>
      <c r="J366" s="965">
        <v>20.76</v>
      </c>
      <c r="K366" s="965">
        <v>21.29</v>
      </c>
      <c r="L366" s="965">
        <v>26.41</v>
      </c>
      <c r="O366" s="963">
        <f t="shared" si="20"/>
        <v>20.823600000000003</v>
      </c>
      <c r="P366" s="963">
        <f t="shared" si="21"/>
        <v>21.035599999999999</v>
      </c>
      <c r="R366" s="963">
        <f t="shared" si="22"/>
        <v>19.792000000000002</v>
      </c>
      <c r="S366" s="963">
        <f t="shared" si="23"/>
        <v>20.276</v>
      </c>
    </row>
    <row r="367" spans="1:19" hidden="1" x14ac:dyDescent="0.25">
      <c r="A367" t="s">
        <v>744</v>
      </c>
      <c r="B367" t="s">
        <v>745</v>
      </c>
      <c r="C367" s="24" t="s">
        <v>1468</v>
      </c>
      <c r="D367" t="s">
        <v>1469</v>
      </c>
      <c r="E367" s="965">
        <v>19.48</v>
      </c>
      <c r="F367" s="966">
        <v>40520</v>
      </c>
      <c r="G367" s="967">
        <v>2.9</v>
      </c>
      <c r="H367" s="965">
        <v>16.39</v>
      </c>
      <c r="I367" s="965">
        <v>17.34</v>
      </c>
      <c r="J367" s="965">
        <v>18.02</v>
      </c>
      <c r="K367" s="965">
        <v>19.52</v>
      </c>
      <c r="L367" s="965">
        <v>26.07</v>
      </c>
      <c r="O367" s="963">
        <f t="shared" si="20"/>
        <v>18.2</v>
      </c>
      <c r="P367" s="963">
        <f t="shared" si="21"/>
        <v>18.8</v>
      </c>
      <c r="R367" s="963">
        <f t="shared" si="22"/>
        <v>17.475999999999999</v>
      </c>
      <c r="S367" s="963">
        <f t="shared" si="23"/>
        <v>17.748000000000001</v>
      </c>
    </row>
    <row r="368" spans="1:19" hidden="1" x14ac:dyDescent="0.25">
      <c r="A368" t="s">
        <v>744</v>
      </c>
      <c r="B368" t="s">
        <v>745</v>
      </c>
      <c r="C368" s="24" t="s">
        <v>1470</v>
      </c>
      <c r="D368" t="s">
        <v>1471</v>
      </c>
      <c r="E368" s="965">
        <v>23.12</v>
      </c>
      <c r="F368" s="966">
        <v>48090</v>
      </c>
      <c r="G368" s="967">
        <v>1.9</v>
      </c>
      <c r="H368" s="965">
        <v>17.53</v>
      </c>
      <c r="I368" s="965">
        <v>17.91</v>
      </c>
      <c r="J368" s="965">
        <v>21.37</v>
      </c>
      <c r="K368" s="965">
        <v>25.7</v>
      </c>
      <c r="L368" s="965">
        <v>30.28</v>
      </c>
      <c r="O368" s="963">
        <f t="shared" si="20"/>
        <v>21.889600000000002</v>
      </c>
      <c r="P368" s="963">
        <f t="shared" si="21"/>
        <v>23.621600000000001</v>
      </c>
      <c r="R368" s="963">
        <f t="shared" si="22"/>
        <v>18.602</v>
      </c>
      <c r="S368" s="963">
        <f t="shared" si="23"/>
        <v>19.986000000000001</v>
      </c>
    </row>
    <row r="369" spans="1:19" hidden="1" x14ac:dyDescent="0.25">
      <c r="A369" t="s">
        <v>744</v>
      </c>
      <c r="B369" t="s">
        <v>745</v>
      </c>
      <c r="C369" s="24" t="s">
        <v>1472</v>
      </c>
      <c r="D369" t="s">
        <v>1473</v>
      </c>
      <c r="E369" s="965">
        <v>23.34</v>
      </c>
      <c r="F369" s="966">
        <v>48540</v>
      </c>
      <c r="G369" s="967">
        <v>0.5</v>
      </c>
      <c r="H369" s="965">
        <v>18.809999999999999</v>
      </c>
      <c r="I369" s="965">
        <v>20.92</v>
      </c>
      <c r="J369" s="965">
        <v>22.7</v>
      </c>
      <c r="K369" s="965">
        <v>25.21</v>
      </c>
      <c r="L369" s="965">
        <v>28</v>
      </c>
      <c r="O369" s="963">
        <f t="shared" si="20"/>
        <v>23.001200000000001</v>
      </c>
      <c r="P369" s="963">
        <f t="shared" si="21"/>
        <v>24.005199999999999</v>
      </c>
      <c r="R369" s="963">
        <f t="shared" si="22"/>
        <v>21.276</v>
      </c>
      <c r="S369" s="963">
        <f t="shared" si="23"/>
        <v>21.988</v>
      </c>
    </row>
    <row r="370" spans="1:19" s="980" customFormat="1" hidden="1" x14ac:dyDescent="0.25">
      <c r="A370" s="980" t="s">
        <v>744</v>
      </c>
      <c r="B370" s="980" t="s">
        <v>745</v>
      </c>
      <c r="C370" s="981" t="s">
        <v>1474</v>
      </c>
      <c r="D370" s="980" t="s">
        <v>1475</v>
      </c>
      <c r="E370" s="982">
        <v>25.99</v>
      </c>
      <c r="F370" s="983">
        <v>54070</v>
      </c>
      <c r="G370" s="984">
        <v>2.8</v>
      </c>
      <c r="H370" s="982">
        <v>18.059999999999999</v>
      </c>
      <c r="I370" s="982">
        <v>20.32</v>
      </c>
      <c r="J370" s="982">
        <v>23.99</v>
      </c>
      <c r="K370" s="982">
        <v>29.33</v>
      </c>
      <c r="L370" s="982">
        <v>36.479999999999997</v>
      </c>
      <c r="O370" s="985">
        <f t="shared" si="20"/>
        <v>24.630800000000001</v>
      </c>
      <c r="P370" s="985">
        <f t="shared" si="21"/>
        <v>26.7668</v>
      </c>
      <c r="R370" s="963">
        <f t="shared" si="22"/>
        <v>21.054000000000002</v>
      </c>
      <c r="S370" s="963">
        <f t="shared" si="23"/>
        <v>22.521999999999998</v>
      </c>
    </row>
    <row r="371" spans="1:19" hidden="1" x14ac:dyDescent="0.25">
      <c r="A371" t="s">
        <v>744</v>
      </c>
      <c r="B371" t="s">
        <v>745</v>
      </c>
      <c r="C371" s="24" t="s">
        <v>1476</v>
      </c>
      <c r="D371" t="s">
        <v>1477</v>
      </c>
      <c r="E371" s="965">
        <v>32.11</v>
      </c>
      <c r="F371" s="966">
        <v>66780</v>
      </c>
      <c r="G371" s="967">
        <v>0.6</v>
      </c>
      <c r="H371" s="965">
        <v>17.7</v>
      </c>
      <c r="I371" s="965">
        <v>20.68</v>
      </c>
      <c r="J371" s="965">
        <v>30.8</v>
      </c>
      <c r="K371" s="965">
        <v>39.81</v>
      </c>
      <c r="L371" s="965">
        <v>49.19</v>
      </c>
      <c r="O371" s="963">
        <f t="shared" si="20"/>
        <v>31.881200000000003</v>
      </c>
      <c r="P371" s="963">
        <f t="shared" si="21"/>
        <v>35.485199999999999</v>
      </c>
      <c r="R371" s="963">
        <f t="shared" si="22"/>
        <v>22.704000000000001</v>
      </c>
      <c r="S371" s="963">
        <f t="shared" si="23"/>
        <v>26.752000000000002</v>
      </c>
    </row>
    <row r="372" spans="1:19" hidden="1" x14ac:dyDescent="0.25">
      <c r="A372" t="s">
        <v>744</v>
      </c>
      <c r="B372" t="s">
        <v>745</v>
      </c>
      <c r="C372" s="24" t="s">
        <v>1478</v>
      </c>
      <c r="D372" t="s">
        <v>1479</v>
      </c>
      <c r="E372" s="965">
        <v>45.91</v>
      </c>
      <c r="F372" s="966">
        <v>95490</v>
      </c>
      <c r="G372" s="967">
        <v>0.1</v>
      </c>
      <c r="H372" s="965">
        <v>37.770000000000003</v>
      </c>
      <c r="I372" s="965">
        <v>41.09</v>
      </c>
      <c r="J372" s="965">
        <v>46.37</v>
      </c>
      <c r="K372" s="965">
        <v>47.7</v>
      </c>
      <c r="L372" s="965">
        <v>56.94</v>
      </c>
      <c r="O372" s="963">
        <f t="shared" si="20"/>
        <v>46.529599999999995</v>
      </c>
      <c r="P372" s="963">
        <f t="shared" si="21"/>
        <v>47.061599999999999</v>
      </c>
      <c r="R372" s="963">
        <f t="shared" si="22"/>
        <v>42.146000000000001</v>
      </c>
      <c r="S372" s="963">
        <f t="shared" si="23"/>
        <v>44.258000000000003</v>
      </c>
    </row>
    <row r="373" spans="1:19" hidden="1" x14ac:dyDescent="0.25">
      <c r="A373" t="s">
        <v>744</v>
      </c>
      <c r="B373" t="s">
        <v>745</v>
      </c>
      <c r="C373" s="24" t="s">
        <v>1480</v>
      </c>
      <c r="D373" t="s">
        <v>1481</v>
      </c>
      <c r="E373" s="965">
        <v>51.91</v>
      </c>
      <c r="F373" s="966">
        <v>107960</v>
      </c>
      <c r="G373" s="967">
        <v>0.6</v>
      </c>
      <c r="H373" s="965">
        <v>36.26</v>
      </c>
      <c r="I373" s="965">
        <v>41.19</v>
      </c>
      <c r="J373" s="965">
        <v>46.82</v>
      </c>
      <c r="K373" s="965">
        <v>61.96</v>
      </c>
      <c r="L373" s="965">
        <v>71.12</v>
      </c>
      <c r="O373" s="963">
        <f t="shared" si="20"/>
        <v>48.636800000000001</v>
      </c>
      <c r="P373" s="963">
        <f t="shared" si="21"/>
        <v>54.692799999999998</v>
      </c>
      <c r="R373" s="963">
        <f t="shared" si="22"/>
        <v>42.316000000000003</v>
      </c>
      <c r="S373" s="963">
        <f t="shared" si="23"/>
        <v>44.567999999999998</v>
      </c>
    </row>
    <row r="374" spans="1:19" hidden="1" x14ac:dyDescent="0.25">
      <c r="A374" t="s">
        <v>744</v>
      </c>
      <c r="B374" t="s">
        <v>745</v>
      </c>
      <c r="C374" s="24" t="s">
        <v>1482</v>
      </c>
      <c r="D374" t="s">
        <v>1483</v>
      </c>
      <c r="E374" s="965">
        <v>48.9</v>
      </c>
      <c r="F374" s="966">
        <v>101700</v>
      </c>
      <c r="G374" s="967">
        <v>0.7</v>
      </c>
      <c r="H374" s="965">
        <v>37.14</v>
      </c>
      <c r="I374" s="965">
        <v>40.4</v>
      </c>
      <c r="J374" s="965">
        <v>46.75</v>
      </c>
      <c r="K374" s="965">
        <v>56.87</v>
      </c>
      <c r="L374" s="965">
        <v>67.59</v>
      </c>
      <c r="O374" s="963">
        <f t="shared" si="20"/>
        <v>47.964399999999998</v>
      </c>
      <c r="P374" s="963">
        <f t="shared" si="21"/>
        <v>52.0124</v>
      </c>
      <c r="R374" s="963">
        <f t="shared" si="22"/>
        <v>41.67</v>
      </c>
      <c r="S374" s="963">
        <f t="shared" si="23"/>
        <v>44.21</v>
      </c>
    </row>
    <row r="375" spans="1:19" hidden="1" x14ac:dyDescent="0.25">
      <c r="A375" t="s">
        <v>744</v>
      </c>
      <c r="B375" t="s">
        <v>745</v>
      </c>
      <c r="C375" s="24" t="s">
        <v>1484</v>
      </c>
      <c r="D375" t="s">
        <v>1485</v>
      </c>
      <c r="E375" s="965">
        <v>29.3</v>
      </c>
      <c r="F375" s="966">
        <v>60950</v>
      </c>
      <c r="G375" s="967">
        <v>2.6</v>
      </c>
      <c r="H375" s="965">
        <v>21.17</v>
      </c>
      <c r="I375" s="965">
        <v>22.78</v>
      </c>
      <c r="J375" s="965">
        <v>23.42</v>
      </c>
      <c r="K375" s="965">
        <v>32.07</v>
      </c>
      <c r="L375" s="965">
        <v>43.17</v>
      </c>
      <c r="O375" s="963">
        <f t="shared" si="20"/>
        <v>24.458000000000002</v>
      </c>
      <c r="P375" s="963">
        <f t="shared" si="21"/>
        <v>27.917999999999999</v>
      </c>
      <c r="R375" s="963">
        <f t="shared" si="22"/>
        <v>22.908000000000001</v>
      </c>
      <c r="S375" s="963">
        <f t="shared" si="23"/>
        <v>23.164000000000001</v>
      </c>
    </row>
    <row r="376" spans="1:19" hidden="1" x14ac:dyDescent="0.25">
      <c r="A376" t="s">
        <v>744</v>
      </c>
      <c r="B376" t="s">
        <v>745</v>
      </c>
      <c r="C376" s="24" t="s">
        <v>1486</v>
      </c>
      <c r="D376" t="s">
        <v>1487</v>
      </c>
      <c r="E376" s="965">
        <v>35.35</v>
      </c>
      <c r="F376" s="966">
        <v>73530</v>
      </c>
      <c r="G376" s="967">
        <v>14</v>
      </c>
      <c r="H376" s="965">
        <v>17.78</v>
      </c>
      <c r="I376" s="965">
        <v>19</v>
      </c>
      <c r="J376" s="965">
        <v>39.409999999999997</v>
      </c>
      <c r="K376" s="965">
        <v>46.9</v>
      </c>
      <c r="L376" s="965">
        <v>51.35</v>
      </c>
      <c r="O376" s="963">
        <f t="shared" si="20"/>
        <v>40.308799999999998</v>
      </c>
      <c r="P376" s="963">
        <f t="shared" si="21"/>
        <v>43.3048</v>
      </c>
      <c r="R376" s="963">
        <f t="shared" si="22"/>
        <v>23.082000000000001</v>
      </c>
      <c r="S376" s="963">
        <f t="shared" si="23"/>
        <v>31.246000000000002</v>
      </c>
    </row>
    <row r="377" spans="1:19" hidden="1" x14ac:dyDescent="0.25">
      <c r="A377" t="s">
        <v>744</v>
      </c>
      <c r="B377" t="s">
        <v>745</v>
      </c>
      <c r="C377" s="24" t="s">
        <v>1488</v>
      </c>
      <c r="D377" t="s">
        <v>1489</v>
      </c>
      <c r="E377" s="965">
        <v>34.78</v>
      </c>
      <c r="F377" s="966">
        <v>72330</v>
      </c>
      <c r="G377" s="967">
        <v>1</v>
      </c>
      <c r="H377" s="965">
        <v>24.33</v>
      </c>
      <c r="I377" s="965">
        <v>30.63</v>
      </c>
      <c r="J377" s="965">
        <v>33.78</v>
      </c>
      <c r="K377" s="965">
        <v>36.75</v>
      </c>
      <c r="L377" s="965">
        <v>46.95</v>
      </c>
      <c r="O377" s="963">
        <f t="shared" si="20"/>
        <v>34.136400000000002</v>
      </c>
      <c r="P377" s="963">
        <f t="shared" si="21"/>
        <v>35.324399999999997</v>
      </c>
      <c r="R377" s="963">
        <f t="shared" si="22"/>
        <v>31.26</v>
      </c>
      <c r="S377" s="963">
        <f t="shared" si="23"/>
        <v>32.520000000000003</v>
      </c>
    </row>
    <row r="378" spans="1:19" hidden="1" x14ac:dyDescent="0.25">
      <c r="A378" t="s">
        <v>744</v>
      </c>
      <c r="B378" t="s">
        <v>745</v>
      </c>
      <c r="C378" s="24" t="s">
        <v>1490</v>
      </c>
      <c r="D378" t="s">
        <v>1491</v>
      </c>
      <c r="E378" s="965">
        <v>35.78</v>
      </c>
      <c r="F378" s="966">
        <v>74420</v>
      </c>
      <c r="G378" s="967">
        <v>3.5</v>
      </c>
      <c r="H378" s="965">
        <v>23.01</v>
      </c>
      <c r="I378" s="965">
        <v>23.68</v>
      </c>
      <c r="J378" s="965">
        <v>33.700000000000003</v>
      </c>
      <c r="K378" s="965">
        <v>45.68</v>
      </c>
      <c r="L378" s="965">
        <v>52.68</v>
      </c>
      <c r="O378" s="963">
        <f t="shared" si="20"/>
        <v>35.137600000000006</v>
      </c>
      <c r="P378" s="963">
        <f t="shared" si="21"/>
        <v>39.929600000000001</v>
      </c>
      <c r="R378" s="963">
        <f t="shared" si="22"/>
        <v>25.684000000000001</v>
      </c>
      <c r="S378" s="963">
        <f t="shared" si="23"/>
        <v>29.692000000000004</v>
      </c>
    </row>
    <row r="379" spans="1:19" hidden="1" x14ac:dyDescent="0.25">
      <c r="A379" t="s">
        <v>744</v>
      </c>
      <c r="B379" t="s">
        <v>745</v>
      </c>
      <c r="C379" s="24" t="s">
        <v>1492</v>
      </c>
      <c r="D379" t="s">
        <v>1493</v>
      </c>
      <c r="E379" s="965">
        <v>34.89</v>
      </c>
      <c r="F379" s="966">
        <v>72560</v>
      </c>
      <c r="G379" s="967">
        <v>0</v>
      </c>
      <c r="H379" s="965">
        <v>23.25</v>
      </c>
      <c r="I379" s="965">
        <v>25.95</v>
      </c>
      <c r="J379" s="965">
        <v>34.6</v>
      </c>
      <c r="K379" s="965">
        <v>43.68</v>
      </c>
      <c r="L379" s="965">
        <v>43.68</v>
      </c>
      <c r="O379" s="963">
        <f t="shared" si="20"/>
        <v>35.689599999999999</v>
      </c>
      <c r="P379" s="963">
        <f t="shared" si="21"/>
        <v>39.321600000000004</v>
      </c>
      <c r="R379" s="963">
        <f t="shared" si="22"/>
        <v>27.68</v>
      </c>
      <c r="S379" s="963">
        <f t="shared" si="23"/>
        <v>31.14</v>
      </c>
    </row>
    <row r="380" spans="1:19" hidden="1" x14ac:dyDescent="0.25">
      <c r="A380" t="s">
        <v>744</v>
      </c>
      <c r="B380" t="s">
        <v>745</v>
      </c>
      <c r="C380" s="24" t="s">
        <v>1494</v>
      </c>
      <c r="D380" t="s">
        <v>1495</v>
      </c>
      <c r="E380" s="965">
        <v>37.14</v>
      </c>
      <c r="F380" s="966">
        <v>77260</v>
      </c>
      <c r="G380" s="967">
        <v>0</v>
      </c>
      <c r="H380" s="965">
        <v>28.62</v>
      </c>
      <c r="I380" s="965">
        <v>32.700000000000003</v>
      </c>
      <c r="J380" s="965">
        <v>37.89</v>
      </c>
      <c r="K380" s="965">
        <v>41.37</v>
      </c>
      <c r="L380" s="965">
        <v>43.53</v>
      </c>
      <c r="O380" s="963">
        <f t="shared" si="20"/>
        <v>38.307600000000001</v>
      </c>
      <c r="P380" s="963">
        <f t="shared" si="21"/>
        <v>39.699599999999997</v>
      </c>
      <c r="R380" s="963">
        <f t="shared" si="22"/>
        <v>33.738000000000007</v>
      </c>
      <c r="S380" s="963">
        <f t="shared" si="23"/>
        <v>35.814</v>
      </c>
    </row>
    <row r="381" spans="1:19" hidden="1" x14ac:dyDescent="0.25">
      <c r="A381" t="s">
        <v>744</v>
      </c>
      <c r="B381" t="s">
        <v>745</v>
      </c>
      <c r="C381" s="24" t="s">
        <v>1496</v>
      </c>
      <c r="D381" t="s">
        <v>1497</v>
      </c>
      <c r="E381" s="965">
        <v>54.08</v>
      </c>
      <c r="F381" s="966">
        <v>112480</v>
      </c>
      <c r="G381" s="967">
        <v>0.5</v>
      </c>
      <c r="H381" s="965">
        <v>32.15</v>
      </c>
      <c r="I381" s="965">
        <v>41.05</v>
      </c>
      <c r="J381" s="965">
        <v>48.82</v>
      </c>
      <c r="K381" s="965">
        <v>67.47</v>
      </c>
      <c r="L381" s="965">
        <v>82.12</v>
      </c>
      <c r="O381" s="963">
        <f t="shared" si="20"/>
        <v>51.058</v>
      </c>
      <c r="P381" s="963">
        <f t="shared" si="21"/>
        <v>58.518000000000001</v>
      </c>
      <c r="R381" s="963">
        <f t="shared" si="22"/>
        <v>42.603999999999999</v>
      </c>
      <c r="S381" s="963">
        <f t="shared" si="23"/>
        <v>45.712000000000003</v>
      </c>
    </row>
    <row r="382" spans="1:19" hidden="1" x14ac:dyDescent="0.25">
      <c r="A382" t="s">
        <v>744</v>
      </c>
      <c r="B382" t="s">
        <v>745</v>
      </c>
      <c r="C382" s="24" t="s">
        <v>1498</v>
      </c>
      <c r="D382" t="s">
        <v>1499</v>
      </c>
      <c r="E382" s="965">
        <v>27.11</v>
      </c>
      <c r="F382" s="966">
        <v>56400</v>
      </c>
      <c r="G382" s="967">
        <v>1.1000000000000001</v>
      </c>
      <c r="H382" s="965">
        <v>18.68</v>
      </c>
      <c r="I382" s="965">
        <v>23.04</v>
      </c>
      <c r="J382" s="965">
        <v>24.62</v>
      </c>
      <c r="K382" s="965">
        <v>31.64</v>
      </c>
      <c r="L382" s="965">
        <v>37.54</v>
      </c>
      <c r="O382" s="963">
        <f t="shared" si="20"/>
        <v>25.462400000000002</v>
      </c>
      <c r="P382" s="963">
        <f t="shared" si="21"/>
        <v>28.270400000000002</v>
      </c>
      <c r="R382" s="963">
        <f t="shared" si="22"/>
        <v>23.355999999999998</v>
      </c>
      <c r="S382" s="963">
        <f t="shared" si="23"/>
        <v>23.988</v>
      </c>
    </row>
    <row r="383" spans="1:19" hidden="1" x14ac:dyDescent="0.25">
      <c r="A383" t="s">
        <v>744</v>
      </c>
      <c r="B383" t="s">
        <v>745</v>
      </c>
      <c r="C383" s="24" t="s">
        <v>1500</v>
      </c>
      <c r="D383" t="s">
        <v>1501</v>
      </c>
      <c r="E383" s="965">
        <v>37.869999999999997</v>
      </c>
      <c r="F383" s="966">
        <v>78770</v>
      </c>
      <c r="G383" s="967">
        <v>0.6</v>
      </c>
      <c r="H383" s="965">
        <v>26.09</v>
      </c>
      <c r="I383" s="965">
        <v>31.98</v>
      </c>
      <c r="J383" s="965">
        <v>36.4</v>
      </c>
      <c r="K383" s="965">
        <v>43.14</v>
      </c>
      <c r="L383" s="965">
        <v>51.33</v>
      </c>
      <c r="O383" s="963">
        <f t="shared" si="20"/>
        <v>37.208799999999997</v>
      </c>
      <c r="P383" s="963">
        <f t="shared" si="21"/>
        <v>39.904800000000002</v>
      </c>
      <c r="R383" s="963">
        <f t="shared" si="22"/>
        <v>32.864000000000004</v>
      </c>
      <c r="S383" s="963">
        <f t="shared" si="23"/>
        <v>34.631999999999998</v>
      </c>
    </row>
    <row r="384" spans="1:19" hidden="1" x14ac:dyDescent="0.25">
      <c r="A384" t="s">
        <v>744</v>
      </c>
      <c r="B384" t="s">
        <v>745</v>
      </c>
      <c r="C384" s="24" t="s">
        <v>1502</v>
      </c>
      <c r="D384" t="s">
        <v>1503</v>
      </c>
      <c r="E384" s="965">
        <v>28.36</v>
      </c>
      <c r="F384" s="966">
        <v>58980</v>
      </c>
      <c r="G384" s="967">
        <v>1.4</v>
      </c>
      <c r="H384" s="965">
        <v>19.09</v>
      </c>
      <c r="I384" s="965">
        <v>21.08</v>
      </c>
      <c r="J384" s="965">
        <v>29.34</v>
      </c>
      <c r="K384" s="965">
        <v>32.659999999999997</v>
      </c>
      <c r="L384" s="965">
        <v>35.049999999999997</v>
      </c>
      <c r="O384" s="963">
        <f t="shared" si="20"/>
        <v>29.738399999999999</v>
      </c>
      <c r="P384" s="963">
        <f t="shared" si="21"/>
        <v>31.066399999999998</v>
      </c>
      <c r="R384" s="963">
        <f t="shared" si="22"/>
        <v>22.731999999999999</v>
      </c>
      <c r="S384" s="963">
        <f t="shared" si="23"/>
        <v>26.036000000000001</v>
      </c>
    </row>
    <row r="385" spans="1:19" hidden="1" x14ac:dyDescent="0.25">
      <c r="A385" t="s">
        <v>744</v>
      </c>
      <c r="B385" t="s">
        <v>745</v>
      </c>
      <c r="C385" s="24" t="s">
        <v>1504</v>
      </c>
      <c r="D385" t="s">
        <v>1505</v>
      </c>
      <c r="E385" s="965">
        <v>30.84</v>
      </c>
      <c r="F385" s="966">
        <v>64150</v>
      </c>
      <c r="G385" s="967">
        <v>5.7</v>
      </c>
      <c r="H385" s="965">
        <v>19.14</v>
      </c>
      <c r="I385" s="965">
        <v>21.82</v>
      </c>
      <c r="J385" s="965">
        <v>27.85</v>
      </c>
      <c r="K385" s="965">
        <v>32.76</v>
      </c>
      <c r="L385" s="965">
        <v>51.71</v>
      </c>
      <c r="O385" s="963">
        <f t="shared" si="20"/>
        <v>28.439200000000003</v>
      </c>
      <c r="P385" s="963">
        <f t="shared" si="21"/>
        <v>30.403199999999998</v>
      </c>
      <c r="R385" s="963">
        <f t="shared" si="22"/>
        <v>23.026000000000003</v>
      </c>
      <c r="S385" s="963">
        <f t="shared" si="23"/>
        <v>25.438000000000002</v>
      </c>
    </row>
    <row r="386" spans="1:19" hidden="1" x14ac:dyDescent="0.25">
      <c r="A386" t="s">
        <v>744</v>
      </c>
      <c r="B386" t="s">
        <v>745</v>
      </c>
      <c r="C386" s="24" t="s">
        <v>1506</v>
      </c>
      <c r="D386" t="s">
        <v>1507</v>
      </c>
      <c r="E386" s="965">
        <v>24.92</v>
      </c>
      <c r="F386" s="966">
        <v>51840</v>
      </c>
      <c r="G386" s="967">
        <v>0.7</v>
      </c>
      <c r="H386" s="965">
        <v>20.89</v>
      </c>
      <c r="I386" s="965">
        <v>21.2</v>
      </c>
      <c r="J386" s="965">
        <v>21.86</v>
      </c>
      <c r="K386" s="965">
        <v>28.33</v>
      </c>
      <c r="L386" s="965">
        <v>28.84</v>
      </c>
      <c r="O386" s="963">
        <f t="shared" ref="O386:O449" si="24">_xlfn.PERCENTILE.INC((H386:L386),$W$1)</f>
        <v>22.636399999999998</v>
      </c>
      <c r="P386" s="963">
        <f t="shared" ref="P386:P449" si="25">_xlfn.PERCENTILE.INC((H386:L386),$X$1)</f>
        <v>25.224399999999999</v>
      </c>
      <c r="R386" s="963">
        <f t="shared" si="22"/>
        <v>21.332000000000001</v>
      </c>
      <c r="S386" s="963">
        <f t="shared" si="23"/>
        <v>21.596</v>
      </c>
    </row>
    <row r="387" spans="1:19" hidden="1" x14ac:dyDescent="0.25">
      <c r="A387" t="s">
        <v>744</v>
      </c>
      <c r="B387" t="s">
        <v>745</v>
      </c>
      <c r="C387" s="24" t="s">
        <v>1508</v>
      </c>
      <c r="D387" t="s">
        <v>1509</v>
      </c>
      <c r="E387" s="965">
        <v>21.3</v>
      </c>
      <c r="F387" s="966">
        <v>44310</v>
      </c>
      <c r="G387" s="967">
        <v>1.2</v>
      </c>
      <c r="H387" s="965">
        <v>17.11</v>
      </c>
      <c r="I387" s="965">
        <v>18.440000000000001</v>
      </c>
      <c r="J387" s="965">
        <v>19.420000000000002</v>
      </c>
      <c r="K387" s="965">
        <v>22.39</v>
      </c>
      <c r="L387" s="965">
        <v>27.87</v>
      </c>
      <c r="O387" s="963">
        <f t="shared" si="24"/>
        <v>19.776400000000002</v>
      </c>
      <c r="P387" s="963">
        <f t="shared" si="25"/>
        <v>20.964400000000001</v>
      </c>
      <c r="R387" s="963">
        <f t="shared" ref="R387:R450" si="26">_xlfn.PERCENTILE.INC((H387:L387),$Y$1)</f>
        <v>18.636000000000003</v>
      </c>
      <c r="S387" s="963">
        <f t="shared" ref="S387:S450" si="27">_xlfn.PERCENTILE.INC((H387:L387),$Z$1)</f>
        <v>19.028000000000002</v>
      </c>
    </row>
    <row r="388" spans="1:19" hidden="1" x14ac:dyDescent="0.25">
      <c r="A388" t="s">
        <v>744</v>
      </c>
      <c r="B388" t="s">
        <v>745</v>
      </c>
      <c r="C388" s="24" t="s">
        <v>1510</v>
      </c>
      <c r="D388" t="s">
        <v>1511</v>
      </c>
      <c r="E388" s="965">
        <v>21.32</v>
      </c>
      <c r="F388" s="966">
        <v>44350</v>
      </c>
      <c r="G388" s="967">
        <v>0.6</v>
      </c>
      <c r="H388" s="965">
        <v>15.59</v>
      </c>
      <c r="I388" s="965">
        <v>16.260000000000002</v>
      </c>
      <c r="J388" s="965">
        <v>18.87</v>
      </c>
      <c r="K388" s="965">
        <v>25.1</v>
      </c>
      <c r="L388" s="965">
        <v>30.34</v>
      </c>
      <c r="O388" s="963">
        <f t="shared" si="24"/>
        <v>19.617600000000003</v>
      </c>
      <c r="P388" s="963">
        <f t="shared" si="25"/>
        <v>22.1096</v>
      </c>
      <c r="R388" s="963">
        <f t="shared" si="26"/>
        <v>16.782000000000004</v>
      </c>
      <c r="S388" s="963">
        <f t="shared" si="27"/>
        <v>17.826000000000001</v>
      </c>
    </row>
    <row r="389" spans="1:19" hidden="1" x14ac:dyDescent="0.25">
      <c r="A389" t="s">
        <v>744</v>
      </c>
      <c r="B389" t="s">
        <v>745</v>
      </c>
      <c r="C389" s="24" t="s">
        <v>1512</v>
      </c>
      <c r="D389" t="s">
        <v>1513</v>
      </c>
      <c r="E389" s="965">
        <v>17.010000000000002</v>
      </c>
      <c r="F389" s="966">
        <v>35380</v>
      </c>
      <c r="G389" s="967">
        <v>0.9</v>
      </c>
      <c r="H389" s="965">
        <v>15</v>
      </c>
      <c r="I389" s="965">
        <v>15.84</v>
      </c>
      <c r="J389" s="965">
        <v>16.920000000000002</v>
      </c>
      <c r="K389" s="965">
        <v>17.7</v>
      </c>
      <c r="L389" s="965">
        <v>18.489999999999998</v>
      </c>
      <c r="O389" s="963">
        <f t="shared" si="24"/>
        <v>17.0136</v>
      </c>
      <c r="P389" s="963">
        <f t="shared" si="25"/>
        <v>17.325600000000001</v>
      </c>
      <c r="R389" s="963">
        <f t="shared" si="26"/>
        <v>16.056000000000001</v>
      </c>
      <c r="S389" s="963">
        <f t="shared" si="27"/>
        <v>16.488</v>
      </c>
    </row>
    <row r="390" spans="1:19" hidden="1" x14ac:dyDescent="0.25">
      <c r="A390" t="s">
        <v>744</v>
      </c>
      <c r="B390" t="s">
        <v>745</v>
      </c>
      <c r="C390" s="24" t="s">
        <v>1514</v>
      </c>
      <c r="D390" t="s">
        <v>1515</v>
      </c>
      <c r="E390" s="965">
        <v>31.53</v>
      </c>
      <c r="F390" s="966">
        <v>65590</v>
      </c>
      <c r="G390" s="967">
        <v>0.2</v>
      </c>
      <c r="H390" s="965">
        <v>26.88</v>
      </c>
      <c r="I390" s="965">
        <v>26.88</v>
      </c>
      <c r="J390" s="965">
        <v>31.72</v>
      </c>
      <c r="K390" s="965">
        <v>34.35</v>
      </c>
      <c r="L390" s="965">
        <v>36.97</v>
      </c>
      <c r="O390" s="963">
        <f t="shared" si="24"/>
        <v>32.035600000000002</v>
      </c>
      <c r="P390" s="963">
        <f t="shared" si="25"/>
        <v>33.087600000000002</v>
      </c>
      <c r="R390" s="963">
        <f t="shared" si="26"/>
        <v>27.847999999999999</v>
      </c>
      <c r="S390" s="963">
        <f t="shared" si="27"/>
        <v>29.783999999999999</v>
      </c>
    </row>
    <row r="391" spans="1:19" hidden="1" x14ac:dyDescent="0.25">
      <c r="A391" t="s">
        <v>744</v>
      </c>
      <c r="B391" t="s">
        <v>745</v>
      </c>
      <c r="C391" s="24" t="s">
        <v>1516</v>
      </c>
      <c r="D391" t="s">
        <v>1517</v>
      </c>
      <c r="E391" s="965">
        <v>16.88</v>
      </c>
      <c r="F391" s="966">
        <v>35120</v>
      </c>
      <c r="G391" s="967">
        <v>0.6</v>
      </c>
      <c r="H391" s="965">
        <v>15</v>
      </c>
      <c r="I391" s="965">
        <v>15.97</v>
      </c>
      <c r="J391" s="965">
        <v>16.37</v>
      </c>
      <c r="K391" s="965">
        <v>17.64</v>
      </c>
      <c r="L391" s="965">
        <v>18.46</v>
      </c>
      <c r="O391" s="963">
        <f t="shared" si="24"/>
        <v>16.522400000000001</v>
      </c>
      <c r="P391" s="963">
        <f t="shared" si="25"/>
        <v>17.0304</v>
      </c>
      <c r="R391" s="963">
        <f t="shared" si="26"/>
        <v>16.05</v>
      </c>
      <c r="S391" s="963">
        <f t="shared" si="27"/>
        <v>16.21</v>
      </c>
    </row>
    <row r="392" spans="1:19" hidden="1" x14ac:dyDescent="0.25">
      <c r="A392" t="s">
        <v>744</v>
      </c>
      <c r="B392" t="s">
        <v>745</v>
      </c>
      <c r="C392" s="24" t="s">
        <v>1518</v>
      </c>
      <c r="D392" t="s">
        <v>1519</v>
      </c>
      <c r="E392" s="965">
        <v>24.45</v>
      </c>
      <c r="F392" s="966">
        <v>50850</v>
      </c>
      <c r="G392" s="967">
        <v>4.9000000000000004</v>
      </c>
      <c r="H392" s="965">
        <v>15</v>
      </c>
      <c r="I392" s="965">
        <v>15.89</v>
      </c>
      <c r="J392" s="965">
        <v>20.38</v>
      </c>
      <c r="K392" s="965">
        <v>26.45</v>
      </c>
      <c r="L392" s="965">
        <v>40.15</v>
      </c>
      <c r="O392" s="963">
        <f t="shared" si="24"/>
        <v>21.1084</v>
      </c>
      <c r="P392" s="963">
        <f t="shared" si="25"/>
        <v>23.5364</v>
      </c>
      <c r="R392" s="963">
        <f t="shared" si="26"/>
        <v>16.788</v>
      </c>
      <c r="S392" s="963">
        <f t="shared" si="27"/>
        <v>18.584</v>
      </c>
    </row>
    <row r="393" spans="1:19" hidden="1" x14ac:dyDescent="0.25">
      <c r="A393" t="s">
        <v>744</v>
      </c>
      <c r="B393" t="s">
        <v>745</v>
      </c>
      <c r="C393" s="24" t="s">
        <v>1520</v>
      </c>
      <c r="D393" t="s">
        <v>1521</v>
      </c>
      <c r="E393" s="965">
        <v>19.36</v>
      </c>
      <c r="F393" s="966">
        <v>40280</v>
      </c>
      <c r="G393" s="967">
        <v>0.9</v>
      </c>
      <c r="H393" s="965">
        <v>15.07</v>
      </c>
      <c r="I393" s="965">
        <v>16.37</v>
      </c>
      <c r="J393" s="965">
        <v>17.309999999999999</v>
      </c>
      <c r="K393" s="965">
        <v>21.05</v>
      </c>
      <c r="L393" s="965">
        <v>26.33</v>
      </c>
      <c r="O393" s="963">
        <f t="shared" si="24"/>
        <v>17.758800000000001</v>
      </c>
      <c r="P393" s="963">
        <f t="shared" si="25"/>
        <v>19.254799999999999</v>
      </c>
      <c r="R393" s="963">
        <f t="shared" si="26"/>
        <v>16.558</v>
      </c>
      <c r="S393" s="963">
        <f t="shared" si="27"/>
        <v>16.934000000000001</v>
      </c>
    </row>
    <row r="394" spans="1:19" hidden="1" x14ac:dyDescent="0.25">
      <c r="A394" t="s">
        <v>744</v>
      </c>
      <c r="B394" t="s">
        <v>745</v>
      </c>
      <c r="C394" s="24" t="s">
        <v>1522</v>
      </c>
      <c r="D394" t="s">
        <v>1523</v>
      </c>
      <c r="E394" s="965">
        <v>37.08</v>
      </c>
      <c r="F394" s="966">
        <v>77120</v>
      </c>
      <c r="G394" s="967">
        <v>3.2</v>
      </c>
      <c r="H394" s="965">
        <v>24.41</v>
      </c>
      <c r="I394" s="965">
        <v>28.79</v>
      </c>
      <c r="J394" s="965">
        <v>36.43</v>
      </c>
      <c r="K394" s="965">
        <v>43.03</v>
      </c>
      <c r="L394" s="965">
        <v>51.07</v>
      </c>
      <c r="O394" s="963">
        <f t="shared" si="24"/>
        <v>37.222000000000001</v>
      </c>
      <c r="P394" s="963">
        <f t="shared" si="25"/>
        <v>39.862000000000002</v>
      </c>
      <c r="R394" s="963">
        <f t="shared" si="26"/>
        <v>30.318000000000001</v>
      </c>
      <c r="S394" s="963">
        <f t="shared" si="27"/>
        <v>33.374000000000002</v>
      </c>
    </row>
    <row r="395" spans="1:19" hidden="1" x14ac:dyDescent="0.25">
      <c r="A395" t="s">
        <v>744</v>
      </c>
      <c r="B395" t="s">
        <v>745</v>
      </c>
      <c r="C395" s="24" t="s">
        <v>1524</v>
      </c>
      <c r="D395" t="s">
        <v>1525</v>
      </c>
      <c r="E395" s="965">
        <v>23.63</v>
      </c>
      <c r="F395" s="966">
        <v>49150</v>
      </c>
      <c r="G395" s="967">
        <v>1.5</v>
      </c>
      <c r="H395" s="965">
        <v>17.34</v>
      </c>
      <c r="I395" s="965">
        <v>18.25</v>
      </c>
      <c r="J395" s="965">
        <v>21.6</v>
      </c>
      <c r="K395" s="965">
        <v>27</v>
      </c>
      <c r="L395" s="965">
        <v>35.36</v>
      </c>
      <c r="O395" s="963">
        <f t="shared" si="24"/>
        <v>22.248000000000001</v>
      </c>
      <c r="P395" s="963">
        <f t="shared" si="25"/>
        <v>24.408000000000001</v>
      </c>
      <c r="R395" s="963">
        <f t="shared" si="26"/>
        <v>18.920000000000002</v>
      </c>
      <c r="S395" s="963">
        <f t="shared" si="27"/>
        <v>20.260000000000002</v>
      </c>
    </row>
    <row r="396" spans="1:19" hidden="1" x14ac:dyDescent="0.25">
      <c r="A396" t="s">
        <v>744</v>
      </c>
      <c r="B396" t="s">
        <v>745</v>
      </c>
      <c r="C396" s="24" t="s">
        <v>1526</v>
      </c>
      <c r="D396" t="s">
        <v>1527</v>
      </c>
      <c r="E396" s="965">
        <v>18.329999999999998</v>
      </c>
      <c r="F396" s="966">
        <v>38120</v>
      </c>
      <c r="G396" s="967">
        <v>2.2999999999999998</v>
      </c>
      <c r="H396" s="965">
        <v>16.07</v>
      </c>
      <c r="I396" s="965">
        <v>17.309999999999999</v>
      </c>
      <c r="J396" s="965">
        <v>17.73</v>
      </c>
      <c r="K396" s="965">
        <v>19.02</v>
      </c>
      <c r="L396" s="965">
        <v>20.61</v>
      </c>
      <c r="O396" s="963">
        <f t="shared" si="24"/>
        <v>17.884800000000002</v>
      </c>
      <c r="P396" s="963">
        <f t="shared" si="25"/>
        <v>18.4008</v>
      </c>
      <c r="R396" s="963">
        <f t="shared" si="26"/>
        <v>17.393999999999998</v>
      </c>
      <c r="S396" s="963">
        <f t="shared" si="27"/>
        <v>17.562000000000001</v>
      </c>
    </row>
    <row r="397" spans="1:19" hidden="1" x14ac:dyDescent="0.25">
      <c r="A397" t="s">
        <v>744</v>
      </c>
      <c r="B397" t="s">
        <v>745</v>
      </c>
      <c r="C397" s="24" t="s">
        <v>1528</v>
      </c>
      <c r="D397" t="s">
        <v>1529</v>
      </c>
      <c r="E397" s="965">
        <v>22.47</v>
      </c>
      <c r="F397" s="966">
        <v>46730</v>
      </c>
      <c r="G397" s="967">
        <v>1</v>
      </c>
      <c r="H397" s="965">
        <v>18.14</v>
      </c>
      <c r="I397" s="965">
        <v>18.95</v>
      </c>
      <c r="J397" s="965">
        <v>22.31</v>
      </c>
      <c r="K397" s="965">
        <v>23.74</v>
      </c>
      <c r="L397" s="965">
        <v>28.4</v>
      </c>
      <c r="O397" s="963">
        <f t="shared" si="24"/>
        <v>22.4816</v>
      </c>
      <c r="P397" s="963">
        <f t="shared" si="25"/>
        <v>23.053599999999999</v>
      </c>
      <c r="R397" s="963">
        <f t="shared" si="26"/>
        <v>19.622</v>
      </c>
      <c r="S397" s="963">
        <f t="shared" si="27"/>
        <v>20.966000000000001</v>
      </c>
    </row>
    <row r="398" spans="1:19" hidden="1" x14ac:dyDescent="0.25">
      <c r="A398" t="s">
        <v>744</v>
      </c>
      <c r="B398" t="s">
        <v>745</v>
      </c>
      <c r="C398" s="24" t="s">
        <v>1530</v>
      </c>
      <c r="D398" t="s">
        <v>1531</v>
      </c>
      <c r="E398" s="965">
        <v>20.88</v>
      </c>
      <c r="F398" s="966">
        <v>43420</v>
      </c>
      <c r="G398" s="967">
        <v>1.7</v>
      </c>
      <c r="H398" s="965">
        <v>16.95</v>
      </c>
      <c r="I398" s="965">
        <v>18.079999999999998</v>
      </c>
      <c r="J398" s="965">
        <v>20.94</v>
      </c>
      <c r="K398" s="965">
        <v>22.97</v>
      </c>
      <c r="L398" s="965">
        <v>26.5</v>
      </c>
      <c r="O398" s="963">
        <f t="shared" si="24"/>
        <v>21.183600000000002</v>
      </c>
      <c r="P398" s="963">
        <f t="shared" si="25"/>
        <v>21.9956</v>
      </c>
      <c r="R398" s="963">
        <f t="shared" si="26"/>
        <v>18.652000000000001</v>
      </c>
      <c r="S398" s="963">
        <f t="shared" si="27"/>
        <v>19.795999999999999</v>
      </c>
    </row>
    <row r="399" spans="1:19" hidden="1" x14ac:dyDescent="0.25">
      <c r="A399" t="s">
        <v>744</v>
      </c>
      <c r="B399" t="s">
        <v>745</v>
      </c>
      <c r="C399" s="24" t="s">
        <v>1532</v>
      </c>
      <c r="D399" t="s">
        <v>1533</v>
      </c>
      <c r="E399" s="965">
        <v>20.18</v>
      </c>
      <c r="F399" s="966">
        <v>41970</v>
      </c>
      <c r="G399" s="967">
        <v>4.0999999999999996</v>
      </c>
      <c r="H399" s="965">
        <v>16.88</v>
      </c>
      <c r="I399" s="965">
        <v>17.82</v>
      </c>
      <c r="J399" s="965">
        <v>19.18</v>
      </c>
      <c r="K399" s="965">
        <v>21.34</v>
      </c>
      <c r="L399" s="965">
        <v>26.62</v>
      </c>
      <c r="O399" s="963">
        <f t="shared" si="24"/>
        <v>19.4392</v>
      </c>
      <c r="P399" s="963">
        <f t="shared" si="25"/>
        <v>20.3032</v>
      </c>
      <c r="R399" s="963">
        <f t="shared" si="26"/>
        <v>18.091999999999999</v>
      </c>
      <c r="S399" s="963">
        <f t="shared" si="27"/>
        <v>18.635999999999999</v>
      </c>
    </row>
    <row r="400" spans="1:19" hidden="1" x14ac:dyDescent="0.25">
      <c r="A400" t="s">
        <v>744</v>
      </c>
      <c r="B400" t="s">
        <v>745</v>
      </c>
      <c r="C400" s="24" t="s">
        <v>1534</v>
      </c>
      <c r="D400" t="s">
        <v>1535</v>
      </c>
      <c r="E400" s="965">
        <v>25.94</v>
      </c>
      <c r="F400" s="966">
        <v>53950</v>
      </c>
      <c r="G400" s="967">
        <v>14.1</v>
      </c>
      <c r="H400" s="965">
        <v>17.98</v>
      </c>
      <c r="I400" s="965">
        <v>18.940000000000001</v>
      </c>
      <c r="J400" s="965">
        <v>27.61</v>
      </c>
      <c r="K400" s="965">
        <v>32.11</v>
      </c>
      <c r="L400" s="965">
        <v>32.11</v>
      </c>
      <c r="O400" s="963">
        <f t="shared" si="24"/>
        <v>28.15</v>
      </c>
      <c r="P400" s="963">
        <f t="shared" si="25"/>
        <v>29.95</v>
      </c>
      <c r="R400" s="963">
        <f t="shared" si="26"/>
        <v>20.674000000000003</v>
      </c>
      <c r="S400" s="963">
        <f t="shared" si="27"/>
        <v>24.142000000000003</v>
      </c>
    </row>
    <row r="401" spans="1:19" hidden="1" x14ac:dyDescent="0.25">
      <c r="A401" t="s">
        <v>744</v>
      </c>
      <c r="B401" t="s">
        <v>745</v>
      </c>
      <c r="C401" s="24" t="s">
        <v>1536</v>
      </c>
      <c r="D401" t="s">
        <v>1537</v>
      </c>
      <c r="E401" s="965">
        <v>18.760000000000002</v>
      </c>
      <c r="F401" s="966">
        <v>39010</v>
      </c>
      <c r="G401" s="967">
        <v>1.3</v>
      </c>
      <c r="H401" s="965">
        <v>15.63</v>
      </c>
      <c r="I401" s="965">
        <v>16.78</v>
      </c>
      <c r="J401" s="965">
        <v>17.559999999999999</v>
      </c>
      <c r="K401" s="965">
        <v>19.72</v>
      </c>
      <c r="L401" s="965">
        <v>23.37</v>
      </c>
      <c r="O401" s="963">
        <f t="shared" si="24"/>
        <v>17.819199999999999</v>
      </c>
      <c r="P401" s="963">
        <f t="shared" si="25"/>
        <v>18.683199999999999</v>
      </c>
      <c r="R401" s="963">
        <f t="shared" si="26"/>
        <v>16.936</v>
      </c>
      <c r="S401" s="963">
        <f t="shared" si="27"/>
        <v>17.248000000000001</v>
      </c>
    </row>
    <row r="402" spans="1:19" hidden="1" x14ac:dyDescent="0.25">
      <c r="A402" t="s">
        <v>744</v>
      </c>
      <c r="B402" t="s">
        <v>745</v>
      </c>
      <c r="C402" s="24" t="s">
        <v>1538</v>
      </c>
      <c r="D402" t="s">
        <v>1539</v>
      </c>
      <c r="E402" s="965">
        <v>18.920000000000002</v>
      </c>
      <c r="F402" s="966">
        <v>39350</v>
      </c>
      <c r="G402" s="967">
        <v>1.9</v>
      </c>
      <c r="H402" s="965">
        <v>15</v>
      </c>
      <c r="I402" s="965">
        <v>15.27</v>
      </c>
      <c r="J402" s="965">
        <v>16.809999999999999</v>
      </c>
      <c r="K402" s="965">
        <v>19.28</v>
      </c>
      <c r="L402" s="965">
        <v>26.74</v>
      </c>
      <c r="O402" s="963">
        <f t="shared" si="24"/>
        <v>17.106400000000001</v>
      </c>
      <c r="P402" s="963">
        <f t="shared" si="25"/>
        <v>18.0944</v>
      </c>
      <c r="R402" s="963">
        <f t="shared" si="26"/>
        <v>15.577999999999999</v>
      </c>
      <c r="S402" s="963">
        <f t="shared" si="27"/>
        <v>16.193999999999999</v>
      </c>
    </row>
    <row r="403" spans="1:19" hidden="1" x14ac:dyDescent="0.25">
      <c r="A403" t="s">
        <v>744</v>
      </c>
      <c r="B403" t="s">
        <v>745</v>
      </c>
      <c r="C403" s="24" t="s">
        <v>1540</v>
      </c>
      <c r="D403" t="s">
        <v>1541</v>
      </c>
      <c r="E403" s="965">
        <v>17.059999999999999</v>
      </c>
      <c r="F403" s="966">
        <v>35490</v>
      </c>
      <c r="G403" s="967">
        <v>0.9</v>
      </c>
      <c r="H403" s="965">
        <v>15</v>
      </c>
      <c r="I403" s="965">
        <v>16.010000000000002</v>
      </c>
      <c r="J403" s="965">
        <v>16.75</v>
      </c>
      <c r="K403" s="965">
        <v>17.32</v>
      </c>
      <c r="L403" s="965">
        <v>19.77</v>
      </c>
      <c r="O403" s="963">
        <f t="shared" si="24"/>
        <v>16.8184</v>
      </c>
      <c r="P403" s="963">
        <f t="shared" si="25"/>
        <v>17.046399999999998</v>
      </c>
      <c r="R403" s="963">
        <f t="shared" si="26"/>
        <v>16.158000000000001</v>
      </c>
      <c r="S403" s="963">
        <f t="shared" si="27"/>
        <v>16.454000000000001</v>
      </c>
    </row>
    <row r="404" spans="1:19" hidden="1" x14ac:dyDescent="0.25">
      <c r="A404" t="s">
        <v>744</v>
      </c>
      <c r="B404" t="s">
        <v>745</v>
      </c>
      <c r="C404" s="24" t="s">
        <v>1542</v>
      </c>
      <c r="D404" t="s">
        <v>1543</v>
      </c>
      <c r="E404" s="965">
        <v>19.63</v>
      </c>
      <c r="F404" s="966">
        <v>40830</v>
      </c>
      <c r="G404" s="967">
        <v>2.8</v>
      </c>
      <c r="H404" s="965">
        <v>15.01</v>
      </c>
      <c r="I404" s="965">
        <v>16.13</v>
      </c>
      <c r="J404" s="965">
        <v>16.86</v>
      </c>
      <c r="K404" s="965">
        <v>21.79</v>
      </c>
      <c r="L404" s="965">
        <v>30.9</v>
      </c>
      <c r="O404" s="963">
        <f t="shared" si="24"/>
        <v>17.451599999999999</v>
      </c>
      <c r="P404" s="963">
        <f t="shared" si="25"/>
        <v>19.4236</v>
      </c>
      <c r="R404" s="963">
        <f t="shared" si="26"/>
        <v>16.276</v>
      </c>
      <c r="S404" s="963">
        <f t="shared" si="27"/>
        <v>16.567999999999998</v>
      </c>
    </row>
    <row r="405" spans="1:19" hidden="1" x14ac:dyDescent="0.25">
      <c r="A405" t="s">
        <v>744</v>
      </c>
      <c r="B405" t="s">
        <v>745</v>
      </c>
      <c r="C405" s="24" t="s">
        <v>1544</v>
      </c>
      <c r="D405" t="s">
        <v>1545</v>
      </c>
      <c r="E405" s="965">
        <v>17.899999999999999</v>
      </c>
      <c r="F405" s="966">
        <v>37230</v>
      </c>
      <c r="G405" s="967">
        <v>2</v>
      </c>
      <c r="H405" s="965">
        <v>15.36</v>
      </c>
      <c r="I405" s="965">
        <v>16.38</v>
      </c>
      <c r="J405" s="965">
        <v>17.2</v>
      </c>
      <c r="K405" s="965">
        <v>17.98</v>
      </c>
      <c r="L405" s="965">
        <v>21.26</v>
      </c>
      <c r="O405" s="963">
        <f t="shared" si="24"/>
        <v>17.293599999999998</v>
      </c>
      <c r="P405" s="963">
        <f t="shared" si="25"/>
        <v>17.605599999999999</v>
      </c>
      <c r="R405" s="963">
        <f t="shared" si="26"/>
        <v>16.544</v>
      </c>
      <c r="S405" s="963">
        <f t="shared" si="27"/>
        <v>16.872</v>
      </c>
    </row>
    <row r="406" spans="1:19" hidden="1" x14ac:dyDescent="0.25">
      <c r="A406" t="s">
        <v>744</v>
      </c>
      <c r="B406" t="s">
        <v>745</v>
      </c>
      <c r="C406" s="24" t="s">
        <v>1546</v>
      </c>
      <c r="D406" t="s">
        <v>1547</v>
      </c>
      <c r="E406" s="965">
        <v>18.52</v>
      </c>
      <c r="F406" s="966">
        <v>38520</v>
      </c>
      <c r="G406" s="967">
        <v>1.8</v>
      </c>
      <c r="H406" s="965">
        <v>15.15</v>
      </c>
      <c r="I406" s="965">
        <v>15.86</v>
      </c>
      <c r="J406" s="965">
        <v>17.309999999999999</v>
      </c>
      <c r="K406" s="965">
        <v>19.66</v>
      </c>
      <c r="L406" s="965">
        <v>23.91</v>
      </c>
      <c r="O406" s="963">
        <f t="shared" si="24"/>
        <v>17.591999999999999</v>
      </c>
      <c r="P406" s="963">
        <f t="shared" si="25"/>
        <v>18.532</v>
      </c>
      <c r="R406" s="963">
        <f t="shared" si="26"/>
        <v>16.149999999999999</v>
      </c>
      <c r="S406" s="963">
        <f t="shared" si="27"/>
        <v>16.73</v>
      </c>
    </row>
    <row r="407" spans="1:19" hidden="1" x14ac:dyDescent="0.25">
      <c r="A407" t="s">
        <v>744</v>
      </c>
      <c r="B407" t="s">
        <v>745</v>
      </c>
      <c r="C407" s="24" t="s">
        <v>1548</v>
      </c>
      <c r="D407" t="s">
        <v>1549</v>
      </c>
      <c r="E407" s="965">
        <v>17.920000000000002</v>
      </c>
      <c r="F407" s="966">
        <v>37270</v>
      </c>
      <c r="G407" s="967">
        <v>1.1000000000000001</v>
      </c>
      <c r="H407" s="965">
        <v>15.84</v>
      </c>
      <c r="I407" s="965">
        <v>16.75</v>
      </c>
      <c r="J407" s="965">
        <v>17.39</v>
      </c>
      <c r="K407" s="965">
        <v>17.96</v>
      </c>
      <c r="L407" s="965">
        <v>21.68</v>
      </c>
      <c r="O407" s="963">
        <f t="shared" si="24"/>
        <v>17.458400000000001</v>
      </c>
      <c r="P407" s="963">
        <f t="shared" si="25"/>
        <v>17.686399999999999</v>
      </c>
      <c r="R407" s="963">
        <f t="shared" si="26"/>
        <v>16.878</v>
      </c>
      <c r="S407" s="963">
        <f t="shared" si="27"/>
        <v>17.134</v>
      </c>
    </row>
    <row r="408" spans="1:19" hidden="1" x14ac:dyDescent="0.25">
      <c r="A408" t="s">
        <v>744</v>
      </c>
      <c r="B408" t="s">
        <v>745</v>
      </c>
      <c r="C408" s="24" t="s">
        <v>1550</v>
      </c>
      <c r="D408" t="s">
        <v>1551</v>
      </c>
      <c r="E408" s="965">
        <v>17.16</v>
      </c>
      <c r="F408" s="966">
        <v>35690</v>
      </c>
      <c r="G408" s="967">
        <v>2.2000000000000002</v>
      </c>
      <c r="H408" s="965">
        <v>15</v>
      </c>
      <c r="I408" s="965">
        <v>15.6</v>
      </c>
      <c r="J408" s="965">
        <v>16.97</v>
      </c>
      <c r="K408" s="965">
        <v>17.55</v>
      </c>
      <c r="L408" s="965">
        <v>18.940000000000001</v>
      </c>
      <c r="O408" s="963">
        <f t="shared" si="24"/>
        <v>17.0396</v>
      </c>
      <c r="P408" s="963">
        <f t="shared" si="25"/>
        <v>17.271599999999999</v>
      </c>
      <c r="R408" s="963">
        <f t="shared" si="26"/>
        <v>15.874000000000001</v>
      </c>
      <c r="S408" s="963">
        <f t="shared" si="27"/>
        <v>16.422000000000001</v>
      </c>
    </row>
    <row r="409" spans="1:19" s="1006" customFormat="1" hidden="1" x14ac:dyDescent="0.25">
      <c r="A409" s="1006" t="s">
        <v>744</v>
      </c>
      <c r="B409" s="1006" t="s">
        <v>745</v>
      </c>
      <c r="C409" s="1007" t="s">
        <v>1552</v>
      </c>
      <c r="D409" s="1006" t="s">
        <v>1553</v>
      </c>
      <c r="E409" s="1008">
        <v>22.23</v>
      </c>
      <c r="F409" s="1009">
        <v>46250</v>
      </c>
      <c r="G409" s="1010">
        <v>0.8</v>
      </c>
      <c r="H409" s="1008">
        <v>16.48</v>
      </c>
      <c r="I409" s="1008">
        <v>17.489999999999998</v>
      </c>
      <c r="J409" s="1008">
        <v>21.23</v>
      </c>
      <c r="K409" s="1008">
        <v>23.99</v>
      </c>
      <c r="L409" s="1008">
        <v>29.39</v>
      </c>
      <c r="O409" s="1011">
        <f t="shared" si="24"/>
        <v>21.561199999999999</v>
      </c>
      <c r="P409" s="1011">
        <f t="shared" si="25"/>
        <v>22.665199999999999</v>
      </c>
      <c r="R409" s="963">
        <f t="shared" si="26"/>
        <v>18.238</v>
      </c>
      <c r="S409" s="963">
        <f t="shared" si="27"/>
        <v>19.734000000000002</v>
      </c>
    </row>
    <row r="410" spans="1:19" hidden="1" x14ac:dyDescent="0.25">
      <c r="A410" t="s">
        <v>744</v>
      </c>
      <c r="B410" t="s">
        <v>745</v>
      </c>
      <c r="C410" s="24" t="s">
        <v>1554</v>
      </c>
      <c r="D410" t="s">
        <v>1555</v>
      </c>
      <c r="E410" s="965">
        <v>28.1</v>
      </c>
      <c r="F410" s="966">
        <v>58440</v>
      </c>
      <c r="G410" s="967">
        <v>1.3</v>
      </c>
      <c r="H410" s="965">
        <v>18.760000000000002</v>
      </c>
      <c r="I410" s="965">
        <v>22.85</v>
      </c>
      <c r="J410" s="965">
        <v>27.12</v>
      </c>
      <c r="K410" s="965">
        <v>31.91</v>
      </c>
      <c r="L410" s="965">
        <v>37.950000000000003</v>
      </c>
      <c r="O410" s="963">
        <f t="shared" si="24"/>
        <v>27.694800000000001</v>
      </c>
      <c r="P410" s="963">
        <f t="shared" si="25"/>
        <v>29.610800000000001</v>
      </c>
      <c r="R410" s="963">
        <f t="shared" si="26"/>
        <v>23.704000000000001</v>
      </c>
      <c r="S410" s="963">
        <f t="shared" si="27"/>
        <v>25.412000000000003</v>
      </c>
    </row>
    <row r="411" spans="1:19" hidden="1" x14ac:dyDescent="0.25">
      <c r="A411" t="s">
        <v>744</v>
      </c>
      <c r="B411" t="s">
        <v>745</v>
      </c>
      <c r="C411" s="24" t="s">
        <v>1556</v>
      </c>
      <c r="D411" t="s">
        <v>1557</v>
      </c>
      <c r="E411" s="965">
        <v>34.36</v>
      </c>
      <c r="F411" s="966">
        <v>71480</v>
      </c>
      <c r="G411" s="967">
        <v>3.6</v>
      </c>
      <c r="H411" s="965">
        <v>24.93</v>
      </c>
      <c r="I411" s="965">
        <v>29.71</v>
      </c>
      <c r="J411" s="965">
        <v>32.159999999999997</v>
      </c>
      <c r="K411" s="965">
        <v>36.340000000000003</v>
      </c>
      <c r="L411" s="965">
        <v>47.39</v>
      </c>
      <c r="O411" s="963">
        <f t="shared" si="24"/>
        <v>32.6616</v>
      </c>
      <c r="P411" s="963">
        <f t="shared" si="25"/>
        <v>34.333599999999997</v>
      </c>
      <c r="R411" s="963">
        <f t="shared" si="26"/>
        <v>30.2</v>
      </c>
      <c r="S411" s="963">
        <f t="shared" si="27"/>
        <v>31.18</v>
      </c>
    </row>
    <row r="412" spans="1:19" hidden="1" x14ac:dyDescent="0.25">
      <c r="A412" t="s">
        <v>744</v>
      </c>
      <c r="B412" t="s">
        <v>745</v>
      </c>
      <c r="C412" s="24" t="s">
        <v>1558</v>
      </c>
      <c r="D412" t="s">
        <v>1559</v>
      </c>
      <c r="E412" s="965">
        <v>20.23</v>
      </c>
      <c r="F412" s="966">
        <v>42080</v>
      </c>
      <c r="G412" s="967">
        <v>0.6</v>
      </c>
      <c r="H412" s="965">
        <v>16.239999999999998</v>
      </c>
      <c r="I412" s="965">
        <v>17.04</v>
      </c>
      <c r="J412" s="965">
        <v>18.73</v>
      </c>
      <c r="K412" s="965">
        <v>22.37</v>
      </c>
      <c r="L412" s="965">
        <v>26.11</v>
      </c>
      <c r="O412" s="963">
        <f t="shared" si="24"/>
        <v>19.166800000000002</v>
      </c>
      <c r="P412" s="963">
        <f t="shared" si="25"/>
        <v>20.622800000000002</v>
      </c>
      <c r="R412" s="963">
        <f t="shared" si="26"/>
        <v>17.378</v>
      </c>
      <c r="S412" s="963">
        <f t="shared" si="27"/>
        <v>18.053999999999998</v>
      </c>
    </row>
    <row r="413" spans="1:19" hidden="1" x14ac:dyDescent="0.25">
      <c r="A413" t="s">
        <v>744</v>
      </c>
      <c r="B413" t="s">
        <v>745</v>
      </c>
      <c r="C413" s="24" t="s">
        <v>1560</v>
      </c>
      <c r="D413" t="s">
        <v>1561</v>
      </c>
      <c r="E413" s="965">
        <v>20.05</v>
      </c>
      <c r="F413" s="966">
        <v>41700</v>
      </c>
      <c r="G413" s="967">
        <v>1.4</v>
      </c>
      <c r="H413" s="965">
        <v>16.73</v>
      </c>
      <c r="I413" s="965">
        <v>17.579999999999998</v>
      </c>
      <c r="J413" s="965">
        <v>18.29</v>
      </c>
      <c r="K413" s="965">
        <v>21.88</v>
      </c>
      <c r="L413" s="965">
        <v>27.22</v>
      </c>
      <c r="O413" s="963">
        <f t="shared" si="24"/>
        <v>18.720800000000001</v>
      </c>
      <c r="P413" s="963">
        <f t="shared" si="25"/>
        <v>20.1568</v>
      </c>
      <c r="R413" s="963">
        <f t="shared" si="26"/>
        <v>17.721999999999998</v>
      </c>
      <c r="S413" s="963">
        <f t="shared" si="27"/>
        <v>18.006</v>
      </c>
    </row>
    <row r="414" spans="1:19" hidden="1" x14ac:dyDescent="0.25">
      <c r="A414" t="s">
        <v>744</v>
      </c>
      <c r="B414" t="s">
        <v>745</v>
      </c>
      <c r="C414" s="24" t="s">
        <v>1562</v>
      </c>
      <c r="D414" t="s">
        <v>1563</v>
      </c>
      <c r="E414" s="965">
        <v>25.86</v>
      </c>
      <c r="F414" s="966">
        <v>53790</v>
      </c>
      <c r="G414" s="967">
        <v>1.5</v>
      </c>
      <c r="H414" s="965">
        <v>19.97</v>
      </c>
      <c r="I414" s="965">
        <v>22.02</v>
      </c>
      <c r="J414" s="965">
        <v>23.57</v>
      </c>
      <c r="K414" s="965">
        <v>29.09</v>
      </c>
      <c r="L414" s="965">
        <v>30.33</v>
      </c>
      <c r="O414" s="963">
        <f t="shared" si="24"/>
        <v>24.232400000000002</v>
      </c>
      <c r="P414" s="963">
        <f t="shared" si="25"/>
        <v>26.4404</v>
      </c>
      <c r="R414" s="963">
        <f t="shared" si="26"/>
        <v>22.33</v>
      </c>
      <c r="S414" s="963">
        <f t="shared" si="27"/>
        <v>22.95</v>
      </c>
    </row>
    <row r="415" spans="1:19" hidden="1" x14ac:dyDescent="0.25">
      <c r="A415" t="s">
        <v>744</v>
      </c>
      <c r="B415" t="s">
        <v>745</v>
      </c>
      <c r="C415" s="24" t="s">
        <v>1564</v>
      </c>
      <c r="D415" t="s">
        <v>1565</v>
      </c>
      <c r="E415" s="965">
        <v>23.44</v>
      </c>
      <c r="F415" s="966">
        <v>48760</v>
      </c>
      <c r="G415" s="967">
        <v>1.5</v>
      </c>
      <c r="H415" s="965">
        <v>17.3</v>
      </c>
      <c r="I415" s="965">
        <v>19.309999999999999</v>
      </c>
      <c r="J415" s="965">
        <v>22.41</v>
      </c>
      <c r="K415" s="965">
        <v>26.29</v>
      </c>
      <c r="L415" s="965">
        <v>29.43</v>
      </c>
      <c r="O415" s="963">
        <f t="shared" si="24"/>
        <v>22.875600000000002</v>
      </c>
      <c r="P415" s="963">
        <f t="shared" si="25"/>
        <v>24.427599999999998</v>
      </c>
      <c r="R415" s="963">
        <f t="shared" si="26"/>
        <v>19.93</v>
      </c>
      <c r="S415" s="963">
        <f t="shared" si="27"/>
        <v>21.17</v>
      </c>
    </row>
    <row r="416" spans="1:19" hidden="1" x14ac:dyDescent="0.25">
      <c r="A416" t="s">
        <v>744</v>
      </c>
      <c r="B416" t="s">
        <v>745</v>
      </c>
      <c r="C416" s="24" t="s">
        <v>1566</v>
      </c>
      <c r="D416" t="s">
        <v>1567</v>
      </c>
      <c r="E416" s="965">
        <v>29.06</v>
      </c>
      <c r="F416" s="966">
        <v>60440</v>
      </c>
      <c r="G416" s="967">
        <v>6.8</v>
      </c>
      <c r="H416" s="965">
        <v>24.3</v>
      </c>
      <c r="I416" s="965">
        <v>27.13</v>
      </c>
      <c r="J416" s="965">
        <v>27.27</v>
      </c>
      <c r="K416" s="965">
        <v>33.409999999999997</v>
      </c>
      <c r="L416" s="965">
        <v>33.409999999999997</v>
      </c>
      <c r="O416" s="963">
        <f t="shared" si="24"/>
        <v>28.006799999999998</v>
      </c>
      <c r="P416" s="963">
        <f t="shared" si="25"/>
        <v>30.462799999999998</v>
      </c>
      <c r="R416" s="963">
        <f t="shared" si="26"/>
        <v>27.157999999999998</v>
      </c>
      <c r="S416" s="963">
        <f t="shared" si="27"/>
        <v>27.213999999999999</v>
      </c>
    </row>
    <row r="417" spans="1:19" hidden="1" x14ac:dyDescent="0.25">
      <c r="A417" t="s">
        <v>744</v>
      </c>
      <c r="B417" t="s">
        <v>745</v>
      </c>
      <c r="C417" s="24" t="s">
        <v>1568</v>
      </c>
      <c r="D417" t="s">
        <v>1569</v>
      </c>
      <c r="E417" s="965">
        <v>28.56</v>
      </c>
      <c r="F417" s="966">
        <v>59400</v>
      </c>
      <c r="G417" s="967">
        <v>3.4</v>
      </c>
      <c r="H417" s="965">
        <v>21.4</v>
      </c>
      <c r="I417" s="965">
        <v>22.86</v>
      </c>
      <c r="J417" s="965">
        <v>27.68</v>
      </c>
      <c r="K417" s="965">
        <v>36.94</v>
      </c>
      <c r="L417" s="965">
        <v>36.94</v>
      </c>
      <c r="O417" s="963">
        <f t="shared" si="24"/>
        <v>28.7912</v>
      </c>
      <c r="P417" s="963">
        <f t="shared" si="25"/>
        <v>32.495199999999997</v>
      </c>
      <c r="R417" s="963">
        <f t="shared" si="26"/>
        <v>23.824000000000002</v>
      </c>
      <c r="S417" s="963">
        <f t="shared" si="27"/>
        <v>25.751999999999999</v>
      </c>
    </row>
    <row r="418" spans="1:19" hidden="1" x14ac:dyDescent="0.25">
      <c r="A418" t="s">
        <v>744</v>
      </c>
      <c r="B418" t="s">
        <v>745</v>
      </c>
      <c r="C418" s="24" t="s">
        <v>1570</v>
      </c>
      <c r="D418" t="s">
        <v>1571</v>
      </c>
      <c r="E418" s="965">
        <v>21.58</v>
      </c>
      <c r="F418" s="966">
        <v>44880</v>
      </c>
      <c r="G418" s="967">
        <v>1.4</v>
      </c>
      <c r="H418" s="965">
        <v>15.18</v>
      </c>
      <c r="I418" s="965">
        <v>16.670000000000002</v>
      </c>
      <c r="J418" s="965">
        <v>18.37</v>
      </c>
      <c r="K418" s="965">
        <v>23.26</v>
      </c>
      <c r="L418" s="965">
        <v>30.22</v>
      </c>
      <c r="O418" s="963">
        <f t="shared" si="24"/>
        <v>18.956800000000001</v>
      </c>
      <c r="P418" s="963">
        <f t="shared" si="25"/>
        <v>20.912800000000001</v>
      </c>
      <c r="R418" s="963">
        <f t="shared" si="26"/>
        <v>17.010000000000002</v>
      </c>
      <c r="S418" s="963">
        <f t="shared" si="27"/>
        <v>17.690000000000001</v>
      </c>
    </row>
    <row r="419" spans="1:19" hidden="1" x14ac:dyDescent="0.25">
      <c r="A419" t="s">
        <v>744</v>
      </c>
      <c r="B419" t="s">
        <v>745</v>
      </c>
      <c r="C419" s="24" t="s">
        <v>1572</v>
      </c>
      <c r="D419" t="s">
        <v>1573</v>
      </c>
      <c r="E419" s="965">
        <v>38.770000000000003</v>
      </c>
      <c r="F419" s="966">
        <v>80650</v>
      </c>
      <c r="G419" s="967">
        <v>0.6</v>
      </c>
      <c r="H419" s="965">
        <v>29.96</v>
      </c>
      <c r="I419" s="965">
        <v>35.520000000000003</v>
      </c>
      <c r="J419" s="965">
        <v>40.76</v>
      </c>
      <c r="K419" s="965">
        <v>40.76</v>
      </c>
      <c r="L419" s="965">
        <v>40.76</v>
      </c>
      <c r="O419" s="963">
        <f t="shared" si="24"/>
        <v>40.76</v>
      </c>
      <c r="P419" s="963">
        <f t="shared" si="25"/>
        <v>40.76</v>
      </c>
      <c r="R419" s="963">
        <f t="shared" si="26"/>
        <v>36.568000000000005</v>
      </c>
      <c r="S419" s="963">
        <f t="shared" si="27"/>
        <v>38.664000000000001</v>
      </c>
    </row>
    <row r="420" spans="1:19" hidden="1" x14ac:dyDescent="0.25">
      <c r="A420" t="s">
        <v>744</v>
      </c>
      <c r="B420" t="s">
        <v>745</v>
      </c>
      <c r="C420" s="24" t="s">
        <v>1574</v>
      </c>
      <c r="D420" t="s">
        <v>1575</v>
      </c>
      <c r="E420" s="965">
        <v>28.24</v>
      </c>
      <c r="F420" s="966">
        <v>58730</v>
      </c>
      <c r="G420" s="967">
        <v>1.8</v>
      </c>
      <c r="H420" s="965">
        <v>18.600000000000001</v>
      </c>
      <c r="I420" s="965">
        <v>21.68</v>
      </c>
      <c r="J420" s="965">
        <v>26.21</v>
      </c>
      <c r="K420" s="965">
        <v>31.34</v>
      </c>
      <c r="L420" s="965">
        <v>40.44</v>
      </c>
      <c r="O420" s="963">
        <f t="shared" si="24"/>
        <v>26.825600000000001</v>
      </c>
      <c r="P420" s="963">
        <f t="shared" si="25"/>
        <v>28.877600000000001</v>
      </c>
      <c r="R420" s="963">
        <f t="shared" si="26"/>
        <v>22.586000000000002</v>
      </c>
      <c r="S420" s="963">
        <f t="shared" si="27"/>
        <v>24.398</v>
      </c>
    </row>
    <row r="421" spans="1:19" s="980" customFormat="1" hidden="1" x14ac:dyDescent="0.25">
      <c r="A421" s="980" t="s">
        <v>744</v>
      </c>
      <c r="B421" s="980" t="s">
        <v>745</v>
      </c>
      <c r="C421" s="981" t="s">
        <v>1576</v>
      </c>
      <c r="D421" s="980" t="s">
        <v>1577</v>
      </c>
      <c r="E421" s="982">
        <v>27.08</v>
      </c>
      <c r="F421" s="983">
        <v>56330</v>
      </c>
      <c r="G421" s="984">
        <v>3.7</v>
      </c>
      <c r="H421" s="982">
        <v>18.09</v>
      </c>
      <c r="I421" s="982">
        <v>21.44</v>
      </c>
      <c r="J421" s="982">
        <v>27.73</v>
      </c>
      <c r="K421" s="982">
        <v>29.29</v>
      </c>
      <c r="L421" s="982">
        <v>36.58</v>
      </c>
      <c r="O421" s="985">
        <f t="shared" si="24"/>
        <v>27.917200000000001</v>
      </c>
      <c r="P421" s="985">
        <f t="shared" si="25"/>
        <v>28.5412</v>
      </c>
      <c r="R421" s="963">
        <f t="shared" si="26"/>
        <v>22.698</v>
      </c>
      <c r="S421" s="963">
        <f t="shared" si="27"/>
        <v>25.214000000000002</v>
      </c>
    </row>
    <row r="422" spans="1:19" hidden="1" x14ac:dyDescent="0.25">
      <c r="A422" t="s">
        <v>744</v>
      </c>
      <c r="B422" t="s">
        <v>745</v>
      </c>
      <c r="C422" s="24" t="s">
        <v>1578</v>
      </c>
      <c r="D422" t="s">
        <v>1579</v>
      </c>
      <c r="E422" s="965" t="s">
        <v>719</v>
      </c>
      <c r="F422" s="966" t="s">
        <v>719</v>
      </c>
      <c r="G422" s="967" t="s">
        <v>719</v>
      </c>
      <c r="H422" s="965" t="s">
        <v>719</v>
      </c>
      <c r="I422" s="965" t="s">
        <v>719</v>
      </c>
      <c r="J422" s="965" t="s">
        <v>719</v>
      </c>
      <c r="K422" s="965" t="s">
        <v>719</v>
      </c>
      <c r="L422" s="965" t="s">
        <v>719</v>
      </c>
      <c r="O422" s="963" t="e">
        <f t="shared" si="24"/>
        <v>#NUM!</v>
      </c>
      <c r="P422" s="963" t="e">
        <f t="shared" si="25"/>
        <v>#NUM!</v>
      </c>
      <c r="R422" s="963" t="e">
        <f t="shared" si="26"/>
        <v>#NUM!</v>
      </c>
      <c r="S422" s="963" t="e">
        <f t="shared" si="27"/>
        <v>#NUM!</v>
      </c>
    </row>
    <row r="423" spans="1:19" hidden="1" x14ac:dyDescent="0.25">
      <c r="A423" t="s">
        <v>744</v>
      </c>
      <c r="B423" t="s">
        <v>745</v>
      </c>
      <c r="C423" s="24" t="s">
        <v>1580</v>
      </c>
      <c r="D423" t="s">
        <v>1581</v>
      </c>
      <c r="E423" s="965">
        <v>18.079999999999998</v>
      </c>
      <c r="F423" s="966">
        <v>37600</v>
      </c>
      <c r="G423" s="967">
        <v>1.7</v>
      </c>
      <c r="H423" s="965">
        <v>15.14</v>
      </c>
      <c r="I423" s="965">
        <v>16.59</v>
      </c>
      <c r="J423" s="965">
        <v>17.25</v>
      </c>
      <c r="K423" s="965">
        <v>18.45</v>
      </c>
      <c r="L423" s="965">
        <v>21.39</v>
      </c>
      <c r="O423" s="963">
        <f t="shared" si="24"/>
        <v>17.393999999999998</v>
      </c>
      <c r="P423" s="963">
        <f t="shared" si="25"/>
        <v>17.873999999999999</v>
      </c>
      <c r="R423" s="963">
        <f t="shared" si="26"/>
        <v>16.722000000000001</v>
      </c>
      <c r="S423" s="963">
        <f t="shared" si="27"/>
        <v>16.986000000000001</v>
      </c>
    </row>
    <row r="424" spans="1:19" hidden="1" x14ac:dyDescent="0.25">
      <c r="A424" t="s">
        <v>744</v>
      </c>
      <c r="B424" t="s">
        <v>745</v>
      </c>
      <c r="C424" s="24" t="s">
        <v>1582</v>
      </c>
      <c r="D424" t="s">
        <v>1583</v>
      </c>
      <c r="E424" s="965">
        <v>16.95</v>
      </c>
      <c r="F424" s="966">
        <v>35260</v>
      </c>
      <c r="G424" s="967">
        <v>1.2</v>
      </c>
      <c r="H424" s="965">
        <v>15.22</v>
      </c>
      <c r="I424" s="965">
        <v>16.32</v>
      </c>
      <c r="J424" s="965">
        <v>16.940000000000001</v>
      </c>
      <c r="K424" s="965">
        <v>17.260000000000002</v>
      </c>
      <c r="L424" s="965">
        <v>18.5</v>
      </c>
      <c r="O424" s="963">
        <f t="shared" si="24"/>
        <v>16.978400000000001</v>
      </c>
      <c r="P424" s="963">
        <f t="shared" si="25"/>
        <v>17.106400000000001</v>
      </c>
      <c r="R424" s="963">
        <f t="shared" si="26"/>
        <v>16.443999999999999</v>
      </c>
      <c r="S424" s="963">
        <f t="shared" si="27"/>
        <v>16.692</v>
      </c>
    </row>
    <row r="425" spans="1:19" hidden="1" x14ac:dyDescent="0.25">
      <c r="A425" t="s">
        <v>744</v>
      </c>
      <c r="B425" t="s">
        <v>745</v>
      </c>
      <c r="C425" s="24" t="s">
        <v>1584</v>
      </c>
      <c r="D425" t="s">
        <v>1585</v>
      </c>
      <c r="E425" s="965">
        <v>16.73</v>
      </c>
      <c r="F425" s="966">
        <v>34800</v>
      </c>
      <c r="G425" s="967">
        <v>1.4</v>
      </c>
      <c r="H425" s="965">
        <v>15</v>
      </c>
      <c r="I425" s="965">
        <v>15.2</v>
      </c>
      <c r="J425" s="965">
        <v>16.100000000000001</v>
      </c>
      <c r="K425" s="965">
        <v>17.11</v>
      </c>
      <c r="L425" s="965">
        <v>19.100000000000001</v>
      </c>
      <c r="O425" s="963">
        <f t="shared" si="24"/>
        <v>16.2212</v>
      </c>
      <c r="P425" s="963">
        <f t="shared" si="25"/>
        <v>16.6252</v>
      </c>
      <c r="R425" s="963">
        <f t="shared" si="26"/>
        <v>15.379999999999999</v>
      </c>
      <c r="S425" s="963">
        <f t="shared" si="27"/>
        <v>15.74</v>
      </c>
    </row>
    <row r="426" spans="1:19" hidden="1" x14ac:dyDescent="0.25">
      <c r="A426" t="s">
        <v>744</v>
      </c>
      <c r="B426" t="s">
        <v>745</v>
      </c>
      <c r="C426" s="24" t="s">
        <v>1586</v>
      </c>
      <c r="D426" t="s">
        <v>1587</v>
      </c>
      <c r="E426" s="965">
        <v>25.77</v>
      </c>
      <c r="F426" s="966">
        <v>53610</v>
      </c>
      <c r="G426" s="967">
        <v>14.5</v>
      </c>
      <c r="H426" s="965">
        <v>16.510000000000002</v>
      </c>
      <c r="I426" s="965">
        <v>18.62</v>
      </c>
      <c r="J426" s="965">
        <v>22.38</v>
      </c>
      <c r="K426" s="965">
        <v>30.02</v>
      </c>
      <c r="L426" s="965">
        <v>44.77</v>
      </c>
      <c r="O426" s="963">
        <f t="shared" si="24"/>
        <v>23.296800000000001</v>
      </c>
      <c r="P426" s="963">
        <f t="shared" si="25"/>
        <v>26.352799999999998</v>
      </c>
      <c r="R426" s="963">
        <f t="shared" si="26"/>
        <v>19.372</v>
      </c>
      <c r="S426" s="963">
        <f t="shared" si="27"/>
        <v>20.876000000000001</v>
      </c>
    </row>
    <row r="427" spans="1:19" hidden="1" x14ac:dyDescent="0.25">
      <c r="A427" t="s">
        <v>744</v>
      </c>
      <c r="B427" t="s">
        <v>745</v>
      </c>
      <c r="C427" s="24" t="s">
        <v>1588</v>
      </c>
      <c r="D427" t="s">
        <v>1589</v>
      </c>
      <c r="E427" s="965">
        <v>17.91</v>
      </c>
      <c r="F427" s="966">
        <v>37250</v>
      </c>
      <c r="G427" s="967">
        <v>4.5</v>
      </c>
      <c r="H427" s="965">
        <v>15</v>
      </c>
      <c r="I427" s="965">
        <v>15.49</v>
      </c>
      <c r="J427" s="965">
        <v>16.97</v>
      </c>
      <c r="K427" s="965">
        <v>19.37</v>
      </c>
      <c r="L427" s="965">
        <v>23.12</v>
      </c>
      <c r="O427" s="963">
        <f t="shared" si="24"/>
        <v>17.257999999999999</v>
      </c>
      <c r="P427" s="963">
        <f t="shared" si="25"/>
        <v>18.218</v>
      </c>
      <c r="R427" s="963">
        <f t="shared" si="26"/>
        <v>15.786</v>
      </c>
      <c r="S427" s="963">
        <f t="shared" si="27"/>
        <v>16.378</v>
      </c>
    </row>
    <row r="428" spans="1:19" hidden="1" x14ac:dyDescent="0.25">
      <c r="A428" t="s">
        <v>744</v>
      </c>
      <c r="B428" t="s">
        <v>745</v>
      </c>
      <c r="C428" s="24" t="s">
        <v>1590</v>
      </c>
      <c r="D428" t="s">
        <v>1591</v>
      </c>
      <c r="E428" s="965">
        <v>21.5</v>
      </c>
      <c r="F428" s="966">
        <v>44710</v>
      </c>
      <c r="G428" s="967">
        <v>5.4</v>
      </c>
      <c r="H428" s="965">
        <v>17.14</v>
      </c>
      <c r="I428" s="965">
        <v>17.53</v>
      </c>
      <c r="J428" s="965">
        <v>21.01</v>
      </c>
      <c r="K428" s="965">
        <v>23.12</v>
      </c>
      <c r="L428" s="965">
        <v>28.75</v>
      </c>
      <c r="O428" s="963">
        <f t="shared" si="24"/>
        <v>21.263200000000001</v>
      </c>
      <c r="P428" s="963">
        <f t="shared" si="25"/>
        <v>22.107200000000002</v>
      </c>
      <c r="R428" s="963">
        <f t="shared" si="26"/>
        <v>18.226000000000003</v>
      </c>
      <c r="S428" s="963">
        <f t="shared" si="27"/>
        <v>19.618000000000002</v>
      </c>
    </row>
    <row r="429" spans="1:19" hidden="1" x14ac:dyDescent="0.25">
      <c r="A429" t="s">
        <v>744</v>
      </c>
      <c r="B429" t="s">
        <v>745</v>
      </c>
      <c r="C429" s="24" t="s">
        <v>1592</v>
      </c>
      <c r="D429" t="s">
        <v>1593</v>
      </c>
      <c r="E429" s="965">
        <v>32.83</v>
      </c>
      <c r="F429" s="966">
        <v>68280</v>
      </c>
      <c r="G429" s="967">
        <v>7.6</v>
      </c>
      <c r="H429" s="965">
        <v>18.72</v>
      </c>
      <c r="I429" s="965">
        <v>21.1</v>
      </c>
      <c r="J429" s="965">
        <v>22.87</v>
      </c>
      <c r="K429" s="965">
        <v>36.909999999999997</v>
      </c>
      <c r="L429" s="965">
        <v>45.91</v>
      </c>
      <c r="O429" s="963">
        <f t="shared" si="24"/>
        <v>24.5548</v>
      </c>
      <c r="P429" s="963">
        <f t="shared" si="25"/>
        <v>30.1708</v>
      </c>
      <c r="R429" s="963">
        <f t="shared" si="26"/>
        <v>21.454000000000001</v>
      </c>
      <c r="S429" s="963">
        <f t="shared" si="27"/>
        <v>22.162000000000003</v>
      </c>
    </row>
    <row r="430" spans="1:19" hidden="1" x14ac:dyDescent="0.25">
      <c r="A430" t="s">
        <v>744</v>
      </c>
      <c r="B430" t="s">
        <v>745</v>
      </c>
      <c r="C430" s="24" t="s">
        <v>1594</v>
      </c>
      <c r="D430" t="s">
        <v>1595</v>
      </c>
      <c r="E430" s="965">
        <v>25.17</v>
      </c>
      <c r="F430" s="966">
        <v>52360</v>
      </c>
      <c r="G430" s="967">
        <v>5.0999999999999996</v>
      </c>
      <c r="H430" s="965">
        <v>16.32</v>
      </c>
      <c r="I430" s="965">
        <v>17.350000000000001</v>
      </c>
      <c r="J430" s="965">
        <v>22.31</v>
      </c>
      <c r="K430" s="965">
        <v>29.25</v>
      </c>
      <c r="L430" s="965">
        <v>39.42</v>
      </c>
      <c r="O430" s="963">
        <f t="shared" si="24"/>
        <v>23.142800000000001</v>
      </c>
      <c r="P430" s="963">
        <f t="shared" si="25"/>
        <v>25.918800000000001</v>
      </c>
      <c r="R430" s="963">
        <f t="shared" si="26"/>
        <v>18.342000000000002</v>
      </c>
      <c r="S430" s="963">
        <f t="shared" si="27"/>
        <v>20.326000000000001</v>
      </c>
    </row>
    <row r="431" spans="1:19" hidden="1" x14ac:dyDescent="0.25">
      <c r="A431" t="s">
        <v>744</v>
      </c>
      <c r="B431" t="s">
        <v>745</v>
      </c>
      <c r="C431" s="24" t="s">
        <v>1596</v>
      </c>
      <c r="D431" t="s">
        <v>1597</v>
      </c>
      <c r="E431" s="965">
        <v>16.93</v>
      </c>
      <c r="F431" s="966">
        <v>35200</v>
      </c>
      <c r="G431" s="967">
        <v>2</v>
      </c>
      <c r="H431" s="965">
        <v>15</v>
      </c>
      <c r="I431" s="965">
        <v>15.01</v>
      </c>
      <c r="J431" s="965">
        <v>16.27</v>
      </c>
      <c r="K431" s="965">
        <v>17.010000000000002</v>
      </c>
      <c r="L431" s="965">
        <v>21.28</v>
      </c>
      <c r="O431" s="963">
        <f t="shared" si="24"/>
        <v>16.358799999999999</v>
      </c>
      <c r="P431" s="963">
        <f t="shared" si="25"/>
        <v>16.654800000000002</v>
      </c>
      <c r="R431" s="963">
        <f t="shared" si="26"/>
        <v>15.262</v>
      </c>
      <c r="S431" s="963">
        <f t="shared" si="27"/>
        <v>15.766</v>
      </c>
    </row>
    <row r="432" spans="1:19" hidden="1" x14ac:dyDescent="0.25">
      <c r="A432" t="s">
        <v>744</v>
      </c>
      <c r="B432" t="s">
        <v>745</v>
      </c>
      <c r="C432" s="24" t="s">
        <v>1598</v>
      </c>
      <c r="D432" t="s">
        <v>1599</v>
      </c>
      <c r="E432" s="965">
        <v>25.23</v>
      </c>
      <c r="F432" s="966">
        <v>52480</v>
      </c>
      <c r="G432" s="967">
        <v>3.9</v>
      </c>
      <c r="H432" s="965">
        <v>16.309999999999999</v>
      </c>
      <c r="I432" s="965">
        <v>17.38</v>
      </c>
      <c r="J432" s="965">
        <v>23.3</v>
      </c>
      <c r="K432" s="965">
        <v>29.25</v>
      </c>
      <c r="L432" s="965">
        <v>38.770000000000003</v>
      </c>
      <c r="O432" s="963">
        <f t="shared" si="24"/>
        <v>24.014000000000003</v>
      </c>
      <c r="P432" s="963">
        <f t="shared" si="25"/>
        <v>26.394000000000002</v>
      </c>
      <c r="R432" s="963">
        <f t="shared" si="26"/>
        <v>18.564</v>
      </c>
      <c r="S432" s="963">
        <f t="shared" si="27"/>
        <v>20.932000000000002</v>
      </c>
    </row>
    <row r="433" spans="1:19" hidden="1" x14ac:dyDescent="0.25">
      <c r="A433" t="s">
        <v>744</v>
      </c>
      <c r="B433" t="s">
        <v>745</v>
      </c>
      <c r="C433" s="24" t="s">
        <v>1600</v>
      </c>
      <c r="D433" t="s">
        <v>1601</v>
      </c>
      <c r="E433" s="965">
        <v>18.96</v>
      </c>
      <c r="F433" s="966">
        <v>39430</v>
      </c>
      <c r="G433" s="967">
        <v>1.2</v>
      </c>
      <c r="H433" s="965">
        <v>15.62</v>
      </c>
      <c r="I433" s="965">
        <v>16.88</v>
      </c>
      <c r="J433" s="965">
        <v>18.95</v>
      </c>
      <c r="K433" s="965">
        <v>20.010000000000002</v>
      </c>
      <c r="L433" s="965">
        <v>22.28</v>
      </c>
      <c r="O433" s="963">
        <f t="shared" si="24"/>
        <v>19.077200000000001</v>
      </c>
      <c r="P433" s="963">
        <f t="shared" si="25"/>
        <v>19.501200000000001</v>
      </c>
      <c r="R433" s="963">
        <f t="shared" si="26"/>
        <v>17.294</v>
      </c>
      <c r="S433" s="963">
        <f t="shared" si="27"/>
        <v>18.122</v>
      </c>
    </row>
    <row r="434" spans="1:19" hidden="1" x14ac:dyDescent="0.25">
      <c r="A434" t="s">
        <v>744</v>
      </c>
      <c r="B434" t="s">
        <v>745</v>
      </c>
      <c r="C434" s="24" t="s">
        <v>1602</v>
      </c>
      <c r="D434" t="s">
        <v>1603</v>
      </c>
      <c r="E434" s="965">
        <v>20.67</v>
      </c>
      <c r="F434" s="966">
        <v>42990</v>
      </c>
      <c r="G434" s="967">
        <v>4</v>
      </c>
      <c r="H434" s="965">
        <v>16.14</v>
      </c>
      <c r="I434" s="965">
        <v>16.14</v>
      </c>
      <c r="J434" s="965">
        <v>18.440000000000001</v>
      </c>
      <c r="K434" s="965">
        <v>22.53</v>
      </c>
      <c r="L434" s="965">
        <v>29.1</v>
      </c>
      <c r="O434" s="963">
        <f t="shared" si="24"/>
        <v>18.930800000000001</v>
      </c>
      <c r="P434" s="963">
        <f t="shared" si="25"/>
        <v>20.566800000000001</v>
      </c>
      <c r="R434" s="963">
        <f t="shared" si="26"/>
        <v>16.600000000000001</v>
      </c>
      <c r="S434" s="963">
        <f t="shared" si="27"/>
        <v>17.52</v>
      </c>
    </row>
    <row r="435" spans="1:19" hidden="1" x14ac:dyDescent="0.25">
      <c r="A435" t="s">
        <v>744</v>
      </c>
      <c r="B435" t="s">
        <v>745</v>
      </c>
      <c r="C435" s="24" t="s">
        <v>1604</v>
      </c>
      <c r="D435" t="s">
        <v>1605</v>
      </c>
      <c r="E435" s="965">
        <v>19.73</v>
      </c>
      <c r="F435" s="966">
        <v>41040</v>
      </c>
      <c r="G435" s="967">
        <v>3.1</v>
      </c>
      <c r="H435" s="965">
        <v>15</v>
      </c>
      <c r="I435" s="965">
        <v>15.89</v>
      </c>
      <c r="J435" s="965">
        <v>18.14</v>
      </c>
      <c r="K435" s="965">
        <v>21.58</v>
      </c>
      <c r="L435" s="965">
        <v>25.8</v>
      </c>
      <c r="O435" s="963">
        <f t="shared" si="24"/>
        <v>18.552800000000001</v>
      </c>
      <c r="P435" s="963">
        <f t="shared" si="25"/>
        <v>19.928799999999999</v>
      </c>
      <c r="R435" s="963">
        <f t="shared" si="26"/>
        <v>16.34</v>
      </c>
      <c r="S435" s="963">
        <f t="shared" si="27"/>
        <v>17.240000000000002</v>
      </c>
    </row>
    <row r="436" spans="1:19" hidden="1" x14ac:dyDescent="0.25">
      <c r="A436" t="s">
        <v>744</v>
      </c>
      <c r="B436" t="s">
        <v>745</v>
      </c>
      <c r="C436" s="24" t="s">
        <v>1606</v>
      </c>
      <c r="D436" t="s">
        <v>1607</v>
      </c>
      <c r="E436" s="965">
        <v>19.52</v>
      </c>
      <c r="F436" s="966">
        <v>40600</v>
      </c>
      <c r="G436" s="967">
        <v>1.2</v>
      </c>
      <c r="H436" s="965">
        <v>16.100000000000001</v>
      </c>
      <c r="I436" s="965">
        <v>17.53</v>
      </c>
      <c r="J436" s="965">
        <v>18.72</v>
      </c>
      <c r="K436" s="965">
        <v>21.3</v>
      </c>
      <c r="L436" s="965">
        <v>23.03</v>
      </c>
      <c r="O436" s="963">
        <f t="shared" si="24"/>
        <v>19.029599999999999</v>
      </c>
      <c r="P436" s="963">
        <f t="shared" si="25"/>
        <v>20.061599999999999</v>
      </c>
      <c r="R436" s="963">
        <f t="shared" si="26"/>
        <v>17.768000000000001</v>
      </c>
      <c r="S436" s="963">
        <f t="shared" si="27"/>
        <v>18.244</v>
      </c>
    </row>
    <row r="437" spans="1:19" hidden="1" x14ac:dyDescent="0.25">
      <c r="A437" t="s">
        <v>744</v>
      </c>
      <c r="B437" t="s">
        <v>745</v>
      </c>
      <c r="C437" s="24" t="s">
        <v>1608</v>
      </c>
      <c r="D437" t="s">
        <v>1609</v>
      </c>
      <c r="E437" s="965">
        <v>27.58</v>
      </c>
      <c r="F437" s="966">
        <v>57360</v>
      </c>
      <c r="G437" s="967">
        <v>5</v>
      </c>
      <c r="H437" s="965">
        <v>15.32</v>
      </c>
      <c r="I437" s="965">
        <v>18.059999999999999</v>
      </c>
      <c r="J437" s="965">
        <v>26.95</v>
      </c>
      <c r="K437" s="965">
        <v>34.69</v>
      </c>
      <c r="L437" s="965">
        <v>43.18</v>
      </c>
      <c r="O437" s="963">
        <f t="shared" si="24"/>
        <v>27.878799999999998</v>
      </c>
      <c r="P437" s="963">
        <f t="shared" si="25"/>
        <v>30.974799999999998</v>
      </c>
      <c r="R437" s="963">
        <f t="shared" si="26"/>
        <v>19.838000000000001</v>
      </c>
      <c r="S437" s="963">
        <f t="shared" si="27"/>
        <v>23.393999999999998</v>
      </c>
    </row>
    <row r="438" spans="1:19" hidden="1" x14ac:dyDescent="0.25">
      <c r="A438" t="s">
        <v>744</v>
      </c>
      <c r="B438" t="s">
        <v>745</v>
      </c>
      <c r="C438" s="24" t="s">
        <v>1610</v>
      </c>
      <c r="D438" t="s">
        <v>1611</v>
      </c>
      <c r="E438" s="965">
        <v>19.489999999999998</v>
      </c>
      <c r="F438" s="966">
        <v>40540</v>
      </c>
      <c r="G438" s="967">
        <v>1</v>
      </c>
      <c r="H438" s="965">
        <v>15.2</v>
      </c>
      <c r="I438" s="965">
        <v>16.43</v>
      </c>
      <c r="J438" s="965">
        <v>17.760000000000002</v>
      </c>
      <c r="K438" s="965">
        <v>21.26</v>
      </c>
      <c r="L438" s="965">
        <v>26.01</v>
      </c>
      <c r="O438" s="963">
        <f t="shared" si="24"/>
        <v>18.180000000000003</v>
      </c>
      <c r="P438" s="963">
        <f t="shared" si="25"/>
        <v>19.580000000000002</v>
      </c>
      <c r="R438" s="963">
        <f t="shared" si="26"/>
        <v>16.696000000000002</v>
      </c>
      <c r="S438" s="963">
        <f t="shared" si="27"/>
        <v>17.228000000000002</v>
      </c>
    </row>
    <row r="439" spans="1:19" hidden="1" x14ac:dyDescent="0.25">
      <c r="A439" t="s">
        <v>744</v>
      </c>
      <c r="B439" t="s">
        <v>745</v>
      </c>
      <c r="C439" s="24" t="s">
        <v>1612</v>
      </c>
      <c r="D439" t="s">
        <v>1613</v>
      </c>
      <c r="E439" s="965">
        <v>22.88</v>
      </c>
      <c r="F439" s="966">
        <v>47580</v>
      </c>
      <c r="G439" s="967">
        <v>1.4</v>
      </c>
      <c r="H439" s="965">
        <v>17.05</v>
      </c>
      <c r="I439" s="965">
        <v>18.899999999999999</v>
      </c>
      <c r="J439" s="965">
        <v>22.35</v>
      </c>
      <c r="K439" s="965">
        <v>25.06</v>
      </c>
      <c r="L439" s="965">
        <v>29.91</v>
      </c>
      <c r="O439" s="963">
        <f t="shared" si="24"/>
        <v>22.6752</v>
      </c>
      <c r="P439" s="963">
        <f t="shared" si="25"/>
        <v>23.7592</v>
      </c>
      <c r="R439" s="963">
        <f t="shared" si="26"/>
        <v>19.59</v>
      </c>
      <c r="S439" s="963">
        <f t="shared" si="27"/>
        <v>20.97</v>
      </c>
    </row>
    <row r="440" spans="1:19" hidden="1" x14ac:dyDescent="0.25">
      <c r="A440" t="s">
        <v>744</v>
      </c>
      <c r="B440" t="s">
        <v>745</v>
      </c>
      <c r="C440" s="24" t="s">
        <v>1614</v>
      </c>
      <c r="D440" t="s">
        <v>1615</v>
      </c>
      <c r="E440" s="965">
        <v>20.440000000000001</v>
      </c>
      <c r="F440" s="966">
        <v>42520</v>
      </c>
      <c r="G440" s="967">
        <v>7</v>
      </c>
      <c r="H440" s="965">
        <v>18</v>
      </c>
      <c r="I440" s="965">
        <v>18.14</v>
      </c>
      <c r="J440" s="965">
        <v>18.420000000000002</v>
      </c>
      <c r="K440" s="965">
        <v>20.02</v>
      </c>
      <c r="L440" s="965">
        <v>26.45</v>
      </c>
      <c r="O440" s="963">
        <f t="shared" si="24"/>
        <v>18.612000000000002</v>
      </c>
      <c r="P440" s="963">
        <f t="shared" si="25"/>
        <v>19.252000000000002</v>
      </c>
      <c r="R440" s="963">
        <f t="shared" si="26"/>
        <v>18.196000000000002</v>
      </c>
      <c r="S440" s="963">
        <f t="shared" si="27"/>
        <v>18.308</v>
      </c>
    </row>
    <row r="441" spans="1:19" hidden="1" x14ac:dyDescent="0.25">
      <c r="A441" t="s">
        <v>744</v>
      </c>
      <c r="B441" t="s">
        <v>745</v>
      </c>
      <c r="C441" s="24" t="s">
        <v>1616</v>
      </c>
      <c r="D441" t="s">
        <v>1617</v>
      </c>
      <c r="E441" s="965">
        <v>29.36</v>
      </c>
      <c r="F441" s="966">
        <v>61060</v>
      </c>
      <c r="G441" s="967">
        <v>1.1000000000000001</v>
      </c>
      <c r="H441" s="965">
        <v>15.6</v>
      </c>
      <c r="I441" s="965">
        <v>16.61</v>
      </c>
      <c r="J441" s="965">
        <v>19.309999999999999</v>
      </c>
      <c r="K441" s="965">
        <v>34.15</v>
      </c>
      <c r="L441" s="965">
        <v>57.92</v>
      </c>
      <c r="O441" s="963">
        <f t="shared" si="24"/>
        <v>21.090800000000002</v>
      </c>
      <c r="P441" s="963">
        <f t="shared" si="25"/>
        <v>27.026799999999998</v>
      </c>
      <c r="R441" s="963">
        <f t="shared" si="26"/>
        <v>17.149999999999999</v>
      </c>
      <c r="S441" s="963">
        <f t="shared" si="27"/>
        <v>18.23</v>
      </c>
    </row>
    <row r="442" spans="1:19" hidden="1" x14ac:dyDescent="0.25">
      <c r="A442" t="s">
        <v>744</v>
      </c>
      <c r="B442" t="s">
        <v>745</v>
      </c>
      <c r="C442" s="24" t="s">
        <v>1618</v>
      </c>
      <c r="D442" t="s">
        <v>1619</v>
      </c>
      <c r="E442" s="965">
        <v>27.51</v>
      </c>
      <c r="F442" s="966">
        <v>57210</v>
      </c>
      <c r="G442" s="967">
        <v>0.9</v>
      </c>
      <c r="H442" s="965">
        <v>17.940000000000001</v>
      </c>
      <c r="I442" s="965">
        <v>21.13</v>
      </c>
      <c r="J442" s="965">
        <v>24.35</v>
      </c>
      <c r="K442" s="965">
        <v>30.69</v>
      </c>
      <c r="L442" s="965">
        <v>38.54</v>
      </c>
      <c r="O442" s="963">
        <f t="shared" si="24"/>
        <v>25.110800000000001</v>
      </c>
      <c r="P442" s="963">
        <f t="shared" si="25"/>
        <v>27.646800000000002</v>
      </c>
      <c r="R442" s="963">
        <f t="shared" si="26"/>
        <v>21.774000000000001</v>
      </c>
      <c r="S442" s="963">
        <f t="shared" si="27"/>
        <v>23.062000000000001</v>
      </c>
    </row>
    <row r="443" spans="1:19" hidden="1" x14ac:dyDescent="0.25">
      <c r="A443" t="s">
        <v>744</v>
      </c>
      <c r="B443" t="s">
        <v>745</v>
      </c>
      <c r="C443" s="24" t="s">
        <v>1620</v>
      </c>
      <c r="D443" t="s">
        <v>1621</v>
      </c>
      <c r="E443" s="965">
        <v>58.03</v>
      </c>
      <c r="F443" s="966">
        <v>120710</v>
      </c>
      <c r="G443" s="967">
        <v>2</v>
      </c>
      <c r="H443" s="965">
        <v>29.7</v>
      </c>
      <c r="I443" s="965">
        <v>38.159999999999997</v>
      </c>
      <c r="J443" s="965">
        <v>53.05</v>
      </c>
      <c r="K443" s="965">
        <v>71.319999999999993</v>
      </c>
      <c r="L443" s="965">
        <v>89.69</v>
      </c>
      <c r="O443" s="963">
        <f t="shared" si="24"/>
        <v>55.242399999999996</v>
      </c>
      <c r="P443" s="963">
        <f t="shared" si="25"/>
        <v>62.550399999999996</v>
      </c>
      <c r="R443" s="963">
        <f t="shared" si="26"/>
        <v>41.137999999999998</v>
      </c>
      <c r="S443" s="963">
        <f t="shared" si="27"/>
        <v>47.093999999999994</v>
      </c>
    </row>
    <row r="444" spans="1:19" hidden="1" x14ac:dyDescent="0.25">
      <c r="A444" t="s">
        <v>744</v>
      </c>
      <c r="B444" t="s">
        <v>745</v>
      </c>
      <c r="C444" s="24" t="s">
        <v>1622</v>
      </c>
      <c r="D444" t="s">
        <v>1623</v>
      </c>
      <c r="E444" s="965">
        <v>16.8</v>
      </c>
      <c r="F444" s="966">
        <v>34950</v>
      </c>
      <c r="G444" s="967">
        <v>0.5</v>
      </c>
      <c r="H444" s="965">
        <v>15</v>
      </c>
      <c r="I444" s="965">
        <v>15.78</v>
      </c>
      <c r="J444" s="965">
        <v>16.34</v>
      </c>
      <c r="K444" s="965">
        <v>17.059999999999999</v>
      </c>
      <c r="L444" s="965">
        <v>18.45</v>
      </c>
      <c r="O444" s="963">
        <f t="shared" si="24"/>
        <v>16.426400000000001</v>
      </c>
      <c r="P444" s="963">
        <f t="shared" si="25"/>
        <v>16.714399999999998</v>
      </c>
      <c r="R444" s="963">
        <f t="shared" si="26"/>
        <v>15.891999999999999</v>
      </c>
      <c r="S444" s="963">
        <f t="shared" si="27"/>
        <v>16.116</v>
      </c>
    </row>
    <row r="445" spans="1:19" hidden="1" x14ac:dyDescent="0.25">
      <c r="A445" t="s">
        <v>744</v>
      </c>
      <c r="B445" t="s">
        <v>745</v>
      </c>
      <c r="C445" s="24" t="s">
        <v>1624</v>
      </c>
      <c r="D445" t="s">
        <v>1625</v>
      </c>
      <c r="E445" s="965">
        <v>17.52</v>
      </c>
      <c r="F445" s="966">
        <v>36430</v>
      </c>
      <c r="G445" s="967">
        <v>0.5</v>
      </c>
      <c r="H445" s="965">
        <v>15</v>
      </c>
      <c r="I445" s="965">
        <v>15</v>
      </c>
      <c r="J445" s="965">
        <v>17.55</v>
      </c>
      <c r="K445" s="965">
        <v>18.739999999999998</v>
      </c>
      <c r="L445" s="965">
        <v>22.12</v>
      </c>
      <c r="O445" s="963">
        <f t="shared" si="24"/>
        <v>17.692800000000002</v>
      </c>
      <c r="P445" s="963">
        <f t="shared" si="25"/>
        <v>18.168800000000001</v>
      </c>
      <c r="R445" s="963">
        <f t="shared" si="26"/>
        <v>15.51</v>
      </c>
      <c r="S445" s="963">
        <f t="shared" si="27"/>
        <v>16.53</v>
      </c>
    </row>
    <row r="446" spans="1:19" hidden="1" x14ac:dyDescent="0.25">
      <c r="A446" t="s">
        <v>744</v>
      </c>
      <c r="B446" t="s">
        <v>745</v>
      </c>
      <c r="C446" s="24" t="s">
        <v>1626</v>
      </c>
      <c r="D446" t="s">
        <v>1627</v>
      </c>
      <c r="E446" s="965">
        <v>21.47</v>
      </c>
      <c r="F446" s="966">
        <v>44650</v>
      </c>
      <c r="G446" s="967">
        <v>1.7</v>
      </c>
      <c r="H446" s="965">
        <v>16.48</v>
      </c>
      <c r="I446" s="965">
        <v>17.68</v>
      </c>
      <c r="J446" s="965">
        <v>20.88</v>
      </c>
      <c r="K446" s="965">
        <v>23.84</v>
      </c>
      <c r="L446" s="965">
        <v>28.35</v>
      </c>
      <c r="O446" s="963">
        <f t="shared" si="24"/>
        <v>21.235199999999999</v>
      </c>
      <c r="P446" s="963">
        <f t="shared" si="25"/>
        <v>22.4192</v>
      </c>
      <c r="R446" s="963">
        <f t="shared" si="26"/>
        <v>18.32</v>
      </c>
      <c r="S446" s="963">
        <f t="shared" si="27"/>
        <v>19.600000000000001</v>
      </c>
    </row>
    <row r="447" spans="1:19" hidden="1" x14ac:dyDescent="0.25">
      <c r="A447" t="s">
        <v>744</v>
      </c>
      <c r="B447" t="s">
        <v>745</v>
      </c>
      <c r="C447" s="24" t="s">
        <v>1628</v>
      </c>
      <c r="D447" t="s">
        <v>1629</v>
      </c>
      <c r="E447" s="965">
        <v>21.68</v>
      </c>
      <c r="F447" s="966">
        <v>45100</v>
      </c>
      <c r="G447" s="967">
        <v>2.2999999999999998</v>
      </c>
      <c r="H447" s="965">
        <v>16.75</v>
      </c>
      <c r="I447" s="965">
        <v>17.41</v>
      </c>
      <c r="J447" s="965">
        <v>18.89</v>
      </c>
      <c r="K447" s="965">
        <v>24.04</v>
      </c>
      <c r="L447" s="965">
        <v>30.23</v>
      </c>
      <c r="O447" s="963">
        <f t="shared" si="24"/>
        <v>19.508000000000003</v>
      </c>
      <c r="P447" s="963">
        <f t="shared" si="25"/>
        <v>21.568000000000001</v>
      </c>
      <c r="R447" s="963">
        <f t="shared" si="26"/>
        <v>17.706</v>
      </c>
      <c r="S447" s="963">
        <f t="shared" si="27"/>
        <v>18.298000000000002</v>
      </c>
    </row>
    <row r="448" spans="1:19" hidden="1" x14ac:dyDescent="0.25">
      <c r="A448" t="s">
        <v>744</v>
      </c>
      <c r="B448" t="s">
        <v>745</v>
      </c>
      <c r="C448" s="24" t="s">
        <v>1630</v>
      </c>
      <c r="D448" t="s">
        <v>1631</v>
      </c>
      <c r="E448" s="965">
        <v>19.47</v>
      </c>
      <c r="F448" s="966">
        <v>40490</v>
      </c>
      <c r="G448" s="967">
        <v>1.2</v>
      </c>
      <c r="H448" s="965">
        <v>15.29</v>
      </c>
      <c r="I448" s="965">
        <v>16.399999999999999</v>
      </c>
      <c r="J448" s="965">
        <v>17.260000000000002</v>
      </c>
      <c r="K448" s="965">
        <v>19</v>
      </c>
      <c r="L448" s="965">
        <v>23.65</v>
      </c>
      <c r="O448" s="963">
        <f t="shared" si="24"/>
        <v>17.468800000000002</v>
      </c>
      <c r="P448" s="963">
        <f t="shared" si="25"/>
        <v>18.1648</v>
      </c>
      <c r="R448" s="963">
        <f t="shared" si="26"/>
        <v>16.571999999999999</v>
      </c>
      <c r="S448" s="963">
        <f t="shared" si="27"/>
        <v>16.916</v>
      </c>
    </row>
    <row r="449" spans="1:19" hidden="1" x14ac:dyDescent="0.25">
      <c r="A449" t="s">
        <v>744</v>
      </c>
      <c r="B449" t="s">
        <v>745</v>
      </c>
      <c r="C449" s="24" t="s">
        <v>1632</v>
      </c>
      <c r="D449" t="s">
        <v>1633</v>
      </c>
      <c r="E449" s="965">
        <v>37.57</v>
      </c>
      <c r="F449" s="966">
        <v>78140</v>
      </c>
      <c r="G449" s="967">
        <v>6.5</v>
      </c>
      <c r="H449" s="965">
        <v>22.85</v>
      </c>
      <c r="I449" s="965">
        <v>26.35</v>
      </c>
      <c r="J449" s="965">
        <v>34.700000000000003</v>
      </c>
      <c r="K449" s="965">
        <v>40.35</v>
      </c>
      <c r="L449" s="965">
        <v>55.32</v>
      </c>
      <c r="O449" s="963">
        <f t="shared" si="24"/>
        <v>35.378</v>
      </c>
      <c r="P449" s="963">
        <f t="shared" si="25"/>
        <v>37.638000000000005</v>
      </c>
      <c r="R449" s="963">
        <f t="shared" si="26"/>
        <v>28.020000000000003</v>
      </c>
      <c r="S449" s="963">
        <f t="shared" si="27"/>
        <v>31.360000000000003</v>
      </c>
    </row>
    <row r="450" spans="1:19" hidden="1" x14ac:dyDescent="0.25">
      <c r="A450" t="s">
        <v>744</v>
      </c>
      <c r="B450" t="s">
        <v>745</v>
      </c>
      <c r="C450" s="24" t="s">
        <v>1634</v>
      </c>
      <c r="D450" t="s">
        <v>1635</v>
      </c>
      <c r="E450" s="965">
        <v>48.36</v>
      </c>
      <c r="F450" s="966">
        <v>100590</v>
      </c>
      <c r="G450" s="967">
        <v>8.6</v>
      </c>
      <c r="H450" s="965">
        <v>17.649999999999999</v>
      </c>
      <c r="I450" s="965">
        <v>25.42</v>
      </c>
      <c r="J450" s="965">
        <v>37.17</v>
      </c>
      <c r="K450" s="965">
        <v>60.09</v>
      </c>
      <c r="L450" s="965">
        <v>96.22</v>
      </c>
      <c r="O450" s="963">
        <f t="shared" ref="O450:O513" si="28">_xlfn.PERCENTILE.INC((H450:L450),$W$1)</f>
        <v>39.920400000000001</v>
      </c>
      <c r="P450" s="963">
        <f t="shared" ref="P450:P513" si="29">_xlfn.PERCENTILE.INC((H450:L450),$X$1)</f>
        <v>49.088400000000007</v>
      </c>
      <c r="R450" s="963">
        <f t="shared" si="26"/>
        <v>27.770000000000003</v>
      </c>
      <c r="S450" s="963">
        <f t="shared" si="27"/>
        <v>32.47</v>
      </c>
    </row>
    <row r="451" spans="1:19" hidden="1" x14ac:dyDescent="0.25">
      <c r="A451" t="s">
        <v>744</v>
      </c>
      <c r="B451" t="s">
        <v>745</v>
      </c>
      <c r="C451" s="24" t="s">
        <v>1636</v>
      </c>
      <c r="D451" t="s">
        <v>1637</v>
      </c>
      <c r="E451" s="965">
        <v>53.13</v>
      </c>
      <c r="F451" s="966">
        <v>110510</v>
      </c>
      <c r="G451" s="967">
        <v>4.0999999999999996</v>
      </c>
      <c r="H451" s="965">
        <v>24.06</v>
      </c>
      <c r="I451" s="965">
        <v>29.64</v>
      </c>
      <c r="J451" s="965">
        <v>47.03</v>
      </c>
      <c r="K451" s="965">
        <v>64.709999999999994</v>
      </c>
      <c r="L451" s="965">
        <v>95.51</v>
      </c>
      <c r="O451" s="963">
        <f t="shared" si="28"/>
        <v>49.151600000000002</v>
      </c>
      <c r="P451" s="963">
        <f t="shared" si="29"/>
        <v>56.223599999999998</v>
      </c>
      <c r="R451" s="963">
        <f t="shared" ref="R451:R514" si="30">_xlfn.PERCENTILE.INC((H451:L451),$Y$1)</f>
        <v>33.118000000000002</v>
      </c>
      <c r="S451" s="963">
        <f t="shared" ref="S451:S514" si="31">_xlfn.PERCENTILE.INC((H451:L451),$Z$1)</f>
        <v>40.073999999999998</v>
      </c>
    </row>
    <row r="452" spans="1:19" hidden="1" x14ac:dyDescent="0.25">
      <c r="A452" t="s">
        <v>744</v>
      </c>
      <c r="B452" t="s">
        <v>745</v>
      </c>
      <c r="C452" s="24" t="s">
        <v>1638</v>
      </c>
      <c r="D452" t="s">
        <v>1639</v>
      </c>
      <c r="E452" s="965">
        <v>27.85</v>
      </c>
      <c r="F452" s="966">
        <v>57920</v>
      </c>
      <c r="G452" s="967">
        <v>1.3</v>
      </c>
      <c r="H452" s="965">
        <v>18.32</v>
      </c>
      <c r="I452" s="965">
        <v>22.8</v>
      </c>
      <c r="J452" s="965">
        <v>24.22</v>
      </c>
      <c r="K452" s="965">
        <v>29.51</v>
      </c>
      <c r="L452" s="965">
        <v>39.81</v>
      </c>
      <c r="O452" s="963">
        <f t="shared" si="28"/>
        <v>24.854800000000001</v>
      </c>
      <c r="P452" s="963">
        <f t="shared" si="29"/>
        <v>26.970800000000001</v>
      </c>
      <c r="R452" s="963">
        <f t="shared" si="30"/>
        <v>23.084</v>
      </c>
      <c r="S452" s="963">
        <f t="shared" si="31"/>
        <v>23.652000000000001</v>
      </c>
    </row>
    <row r="453" spans="1:19" hidden="1" x14ac:dyDescent="0.25">
      <c r="A453" t="s">
        <v>744</v>
      </c>
      <c r="B453" t="s">
        <v>745</v>
      </c>
      <c r="C453" s="24" t="s">
        <v>1640</v>
      </c>
      <c r="D453" t="s">
        <v>1641</v>
      </c>
      <c r="E453" s="965">
        <v>42.84</v>
      </c>
      <c r="F453" s="966">
        <v>89110</v>
      </c>
      <c r="G453" s="967">
        <v>2</v>
      </c>
      <c r="H453" s="965">
        <v>22.14</v>
      </c>
      <c r="I453" s="965">
        <v>27.38</v>
      </c>
      <c r="J453" s="965">
        <v>36.94</v>
      </c>
      <c r="K453" s="965">
        <v>49.54</v>
      </c>
      <c r="L453" s="965">
        <v>73.040000000000006</v>
      </c>
      <c r="O453" s="963">
        <f t="shared" si="28"/>
        <v>38.451999999999998</v>
      </c>
      <c r="P453" s="963">
        <f t="shared" si="29"/>
        <v>43.491999999999997</v>
      </c>
      <c r="R453" s="963">
        <f t="shared" si="30"/>
        <v>29.292000000000002</v>
      </c>
      <c r="S453" s="963">
        <f t="shared" si="31"/>
        <v>33.116</v>
      </c>
    </row>
    <row r="454" spans="1:19" hidden="1" x14ac:dyDescent="0.25">
      <c r="A454" t="s">
        <v>744</v>
      </c>
      <c r="B454" t="s">
        <v>745</v>
      </c>
      <c r="C454" s="24" t="s">
        <v>1642</v>
      </c>
      <c r="D454" t="s">
        <v>1643</v>
      </c>
      <c r="E454" s="965">
        <v>55.15</v>
      </c>
      <c r="F454" s="966">
        <v>114720</v>
      </c>
      <c r="G454" s="967">
        <v>3.7</v>
      </c>
      <c r="H454" s="965">
        <v>26.52</v>
      </c>
      <c r="I454" s="965">
        <v>34.159999999999997</v>
      </c>
      <c r="J454" s="965">
        <v>47.92</v>
      </c>
      <c r="K454" s="965">
        <v>77.7</v>
      </c>
      <c r="L454" s="965">
        <v>86.97</v>
      </c>
      <c r="O454" s="963">
        <f t="shared" si="28"/>
        <v>51.493600000000008</v>
      </c>
      <c r="P454" s="963">
        <f t="shared" si="29"/>
        <v>63.405600000000007</v>
      </c>
      <c r="R454" s="963">
        <f t="shared" si="30"/>
        <v>36.911999999999999</v>
      </c>
      <c r="S454" s="963">
        <f t="shared" si="31"/>
        <v>42.415999999999997</v>
      </c>
    </row>
    <row r="455" spans="1:19" hidden="1" x14ac:dyDescent="0.25">
      <c r="A455" t="s">
        <v>744</v>
      </c>
      <c r="B455" t="s">
        <v>745</v>
      </c>
      <c r="C455" s="24" t="s">
        <v>1644</v>
      </c>
      <c r="D455" t="s">
        <v>1645</v>
      </c>
      <c r="E455" s="965">
        <v>40.96</v>
      </c>
      <c r="F455" s="966">
        <v>85190</v>
      </c>
      <c r="G455" s="967">
        <v>1.9</v>
      </c>
      <c r="H455" s="965">
        <v>19.23</v>
      </c>
      <c r="I455" s="965">
        <v>27.45</v>
      </c>
      <c r="J455" s="965">
        <v>36.119999999999997</v>
      </c>
      <c r="K455" s="965">
        <v>48.17</v>
      </c>
      <c r="L455" s="965">
        <v>70.08</v>
      </c>
      <c r="O455" s="963">
        <f t="shared" si="28"/>
        <v>37.566000000000003</v>
      </c>
      <c r="P455" s="963">
        <f t="shared" si="29"/>
        <v>42.386000000000003</v>
      </c>
      <c r="R455" s="963">
        <f t="shared" si="30"/>
        <v>29.184000000000001</v>
      </c>
      <c r="S455" s="963">
        <f t="shared" si="31"/>
        <v>32.652000000000001</v>
      </c>
    </row>
    <row r="456" spans="1:19" hidden="1" x14ac:dyDescent="0.25">
      <c r="A456" t="s">
        <v>744</v>
      </c>
      <c r="B456" t="s">
        <v>745</v>
      </c>
      <c r="C456" s="24" t="s">
        <v>1646</v>
      </c>
      <c r="D456" t="s">
        <v>1647</v>
      </c>
      <c r="E456" s="965">
        <v>19.260000000000002</v>
      </c>
      <c r="F456" s="966">
        <v>40060</v>
      </c>
      <c r="G456" s="967">
        <v>8.8000000000000007</v>
      </c>
      <c r="H456" s="965">
        <v>15.55</v>
      </c>
      <c r="I456" s="965">
        <v>15.55</v>
      </c>
      <c r="J456" s="965">
        <v>18.11</v>
      </c>
      <c r="K456" s="965">
        <v>19.11</v>
      </c>
      <c r="L456" s="965">
        <v>24.61</v>
      </c>
      <c r="O456" s="963">
        <f t="shared" si="28"/>
        <v>18.23</v>
      </c>
      <c r="P456" s="963">
        <f t="shared" si="29"/>
        <v>18.63</v>
      </c>
      <c r="R456" s="963">
        <f t="shared" si="30"/>
        <v>16.062000000000001</v>
      </c>
      <c r="S456" s="963">
        <f t="shared" si="31"/>
        <v>17.085999999999999</v>
      </c>
    </row>
    <row r="457" spans="1:19" hidden="1" x14ac:dyDescent="0.25">
      <c r="A457" t="s">
        <v>744</v>
      </c>
      <c r="B457" t="s">
        <v>745</v>
      </c>
      <c r="C457" s="24" t="s">
        <v>1648</v>
      </c>
      <c r="D457" t="s">
        <v>1649</v>
      </c>
      <c r="E457" s="965">
        <v>61.45</v>
      </c>
      <c r="F457" s="966">
        <v>127810</v>
      </c>
      <c r="G457" s="967">
        <v>11.2</v>
      </c>
      <c r="H457" s="965">
        <v>23.04</v>
      </c>
      <c r="I457" s="965">
        <v>30.76</v>
      </c>
      <c r="J457" s="965">
        <v>61.04</v>
      </c>
      <c r="K457" s="965">
        <v>92.73</v>
      </c>
      <c r="L457" s="965">
        <v>92.73</v>
      </c>
      <c r="O457" s="963">
        <f t="shared" si="28"/>
        <v>64.842799999999997</v>
      </c>
      <c r="P457" s="963">
        <f t="shared" si="29"/>
        <v>77.518799999999999</v>
      </c>
      <c r="R457" s="963">
        <f t="shared" si="30"/>
        <v>36.816000000000003</v>
      </c>
      <c r="S457" s="963">
        <f t="shared" si="31"/>
        <v>48.928000000000004</v>
      </c>
    </row>
    <row r="458" spans="1:19" hidden="1" x14ac:dyDescent="0.25">
      <c r="A458" t="s">
        <v>744</v>
      </c>
      <c r="B458" t="s">
        <v>745</v>
      </c>
      <c r="C458" s="24" t="s">
        <v>1650</v>
      </c>
      <c r="D458" t="s">
        <v>1651</v>
      </c>
      <c r="E458" s="965">
        <v>60.81</v>
      </c>
      <c r="F458" s="966">
        <v>126490</v>
      </c>
      <c r="G458" s="967">
        <v>2</v>
      </c>
      <c r="H458" s="965">
        <v>36.57</v>
      </c>
      <c r="I458" s="965">
        <v>44.34</v>
      </c>
      <c r="J458" s="965">
        <v>59.54</v>
      </c>
      <c r="K458" s="965">
        <v>71.94</v>
      </c>
      <c r="L458" s="965">
        <v>88.24</v>
      </c>
      <c r="O458" s="963">
        <f t="shared" si="28"/>
        <v>61.027999999999999</v>
      </c>
      <c r="P458" s="963">
        <f t="shared" si="29"/>
        <v>65.988</v>
      </c>
      <c r="R458" s="963">
        <f t="shared" si="30"/>
        <v>47.38</v>
      </c>
      <c r="S458" s="963">
        <f t="shared" si="31"/>
        <v>53.46</v>
      </c>
    </row>
    <row r="459" spans="1:19" hidden="1" x14ac:dyDescent="0.25">
      <c r="A459" t="s">
        <v>744</v>
      </c>
      <c r="B459" t="s">
        <v>745</v>
      </c>
      <c r="C459" s="24" t="s">
        <v>1652</v>
      </c>
      <c r="D459" t="s">
        <v>1653</v>
      </c>
      <c r="E459" s="965">
        <v>18.940000000000001</v>
      </c>
      <c r="F459" s="966">
        <v>39400</v>
      </c>
      <c r="G459" s="967">
        <v>6.6</v>
      </c>
      <c r="H459" s="965">
        <v>15.12</v>
      </c>
      <c r="I459" s="965">
        <v>15.81</v>
      </c>
      <c r="J459" s="965">
        <v>17.09</v>
      </c>
      <c r="K459" s="965">
        <v>20.2</v>
      </c>
      <c r="L459" s="965">
        <v>25.35</v>
      </c>
      <c r="O459" s="963">
        <f t="shared" si="28"/>
        <v>17.463200000000001</v>
      </c>
      <c r="P459" s="963">
        <f t="shared" si="29"/>
        <v>18.7072</v>
      </c>
      <c r="R459" s="963">
        <f t="shared" si="30"/>
        <v>16.065999999999999</v>
      </c>
      <c r="S459" s="963">
        <f t="shared" si="31"/>
        <v>16.577999999999999</v>
      </c>
    </row>
    <row r="460" spans="1:19" hidden="1" x14ac:dyDescent="0.25">
      <c r="A460" t="s">
        <v>744</v>
      </c>
      <c r="B460" t="s">
        <v>745</v>
      </c>
      <c r="C460" s="24" t="s">
        <v>1654</v>
      </c>
      <c r="D460" t="s">
        <v>1655</v>
      </c>
      <c r="E460" s="965">
        <v>25.87</v>
      </c>
      <c r="F460" s="966">
        <v>53800</v>
      </c>
      <c r="G460" s="967">
        <v>4.9000000000000004</v>
      </c>
      <c r="H460" s="965">
        <v>16.53</v>
      </c>
      <c r="I460" s="965">
        <v>17.27</v>
      </c>
      <c r="J460" s="965">
        <v>18.190000000000001</v>
      </c>
      <c r="K460" s="965">
        <v>32.22</v>
      </c>
      <c r="L460" s="965">
        <v>47.09</v>
      </c>
      <c r="O460" s="963">
        <f t="shared" si="28"/>
        <v>19.873600000000003</v>
      </c>
      <c r="P460" s="963">
        <f t="shared" si="29"/>
        <v>25.485600000000002</v>
      </c>
      <c r="R460" s="963">
        <f t="shared" si="30"/>
        <v>17.454000000000001</v>
      </c>
      <c r="S460" s="963">
        <f t="shared" si="31"/>
        <v>17.821999999999999</v>
      </c>
    </row>
    <row r="461" spans="1:19" hidden="1" x14ac:dyDescent="0.25">
      <c r="A461" t="s">
        <v>744</v>
      </c>
      <c r="B461" t="s">
        <v>745</v>
      </c>
      <c r="C461" s="24" t="s">
        <v>1656</v>
      </c>
      <c r="D461" t="s">
        <v>1657</v>
      </c>
      <c r="E461" s="965">
        <v>26.8</v>
      </c>
      <c r="F461" s="966">
        <v>55740</v>
      </c>
      <c r="G461" s="967">
        <v>0.3</v>
      </c>
      <c r="H461" s="965">
        <v>17.399999999999999</v>
      </c>
      <c r="I461" s="965">
        <v>20.34</v>
      </c>
      <c r="J461" s="965">
        <v>24.25</v>
      </c>
      <c r="K461" s="965">
        <v>30.53</v>
      </c>
      <c r="L461" s="965">
        <v>38.44</v>
      </c>
      <c r="O461" s="963">
        <f t="shared" si="28"/>
        <v>25.003600000000002</v>
      </c>
      <c r="P461" s="963">
        <f t="shared" si="29"/>
        <v>27.515599999999999</v>
      </c>
      <c r="R461" s="963">
        <f t="shared" si="30"/>
        <v>21.122</v>
      </c>
      <c r="S461" s="963">
        <f t="shared" si="31"/>
        <v>22.686</v>
      </c>
    </row>
    <row r="462" spans="1:19" hidden="1" x14ac:dyDescent="0.25">
      <c r="A462" t="s">
        <v>744</v>
      </c>
      <c r="B462" t="s">
        <v>745</v>
      </c>
      <c r="C462" s="24" t="s">
        <v>1658</v>
      </c>
      <c r="D462" t="s">
        <v>1659</v>
      </c>
      <c r="E462" s="965">
        <v>37.08</v>
      </c>
      <c r="F462" s="966">
        <v>77120</v>
      </c>
      <c r="G462" s="967">
        <v>0.7</v>
      </c>
      <c r="H462" s="965">
        <v>23.05</v>
      </c>
      <c r="I462" s="965">
        <v>28.54</v>
      </c>
      <c r="J462" s="965">
        <v>35.78</v>
      </c>
      <c r="K462" s="965">
        <v>43.35</v>
      </c>
      <c r="L462" s="965">
        <v>53.25</v>
      </c>
      <c r="O462" s="963">
        <f t="shared" si="28"/>
        <v>36.688400000000001</v>
      </c>
      <c r="P462" s="963">
        <f t="shared" si="29"/>
        <v>39.7164</v>
      </c>
      <c r="R462" s="963">
        <f t="shared" si="30"/>
        <v>29.988</v>
      </c>
      <c r="S462" s="963">
        <f t="shared" si="31"/>
        <v>32.884</v>
      </c>
    </row>
    <row r="463" spans="1:19" hidden="1" x14ac:dyDescent="0.25">
      <c r="A463" t="s">
        <v>744</v>
      </c>
      <c r="B463" t="s">
        <v>745</v>
      </c>
      <c r="C463" s="24" t="s">
        <v>1660</v>
      </c>
      <c r="D463" t="s">
        <v>1661</v>
      </c>
      <c r="E463" s="965">
        <v>20.43</v>
      </c>
      <c r="F463" s="966">
        <v>42500</v>
      </c>
      <c r="G463" s="967">
        <v>1.3</v>
      </c>
      <c r="H463" s="965">
        <v>17.04</v>
      </c>
      <c r="I463" s="965">
        <v>17.73</v>
      </c>
      <c r="J463" s="965">
        <v>19.2</v>
      </c>
      <c r="K463" s="965">
        <v>22.18</v>
      </c>
      <c r="L463" s="965">
        <v>26.3</v>
      </c>
      <c r="O463" s="963">
        <f t="shared" si="28"/>
        <v>19.557600000000001</v>
      </c>
      <c r="P463" s="963">
        <f t="shared" si="29"/>
        <v>20.749600000000001</v>
      </c>
      <c r="R463" s="963">
        <f t="shared" si="30"/>
        <v>18.024000000000001</v>
      </c>
      <c r="S463" s="963">
        <f t="shared" si="31"/>
        <v>18.611999999999998</v>
      </c>
    </row>
    <row r="464" spans="1:19" hidden="1" x14ac:dyDescent="0.25">
      <c r="A464" t="s">
        <v>744</v>
      </c>
      <c r="B464" t="s">
        <v>745</v>
      </c>
      <c r="C464" s="24" t="s">
        <v>1662</v>
      </c>
      <c r="D464" t="s">
        <v>1663</v>
      </c>
      <c r="E464" s="965" t="s">
        <v>719</v>
      </c>
      <c r="F464" s="966" t="s">
        <v>719</v>
      </c>
      <c r="G464" s="967" t="s">
        <v>719</v>
      </c>
      <c r="H464" s="965" t="s">
        <v>719</v>
      </c>
      <c r="I464" s="965" t="s">
        <v>719</v>
      </c>
      <c r="J464" s="965" t="s">
        <v>719</v>
      </c>
      <c r="K464" s="965" t="s">
        <v>719</v>
      </c>
      <c r="L464" s="965" t="s">
        <v>719</v>
      </c>
      <c r="O464" s="963" t="e">
        <f t="shared" si="28"/>
        <v>#NUM!</v>
      </c>
      <c r="P464" s="963" t="e">
        <f t="shared" si="29"/>
        <v>#NUM!</v>
      </c>
      <c r="R464" s="963" t="e">
        <f t="shared" si="30"/>
        <v>#NUM!</v>
      </c>
      <c r="S464" s="963" t="e">
        <f t="shared" si="31"/>
        <v>#NUM!</v>
      </c>
    </row>
    <row r="465" spans="1:19" hidden="1" x14ac:dyDescent="0.25">
      <c r="A465" t="s">
        <v>744</v>
      </c>
      <c r="B465" t="s">
        <v>745</v>
      </c>
      <c r="C465" s="24" t="s">
        <v>1664</v>
      </c>
      <c r="D465" t="s">
        <v>1665</v>
      </c>
      <c r="E465" s="965">
        <v>28.34</v>
      </c>
      <c r="F465" s="966">
        <v>58940</v>
      </c>
      <c r="G465" s="967">
        <v>9.3000000000000007</v>
      </c>
      <c r="H465" s="965">
        <v>22.6</v>
      </c>
      <c r="I465" s="965">
        <v>23.71</v>
      </c>
      <c r="J465" s="965">
        <v>25.58</v>
      </c>
      <c r="K465" s="965">
        <v>32.700000000000003</v>
      </c>
      <c r="L465" s="965">
        <v>33.96</v>
      </c>
      <c r="O465" s="963">
        <f t="shared" si="28"/>
        <v>26.4344</v>
      </c>
      <c r="P465" s="963">
        <f t="shared" si="29"/>
        <v>29.282400000000003</v>
      </c>
      <c r="R465" s="963">
        <f t="shared" si="30"/>
        <v>24.084</v>
      </c>
      <c r="S465" s="963">
        <f t="shared" si="31"/>
        <v>24.832000000000001</v>
      </c>
    </row>
    <row r="466" spans="1:19" hidden="1" x14ac:dyDescent="0.25">
      <c r="A466" t="s">
        <v>744</v>
      </c>
      <c r="B466" t="s">
        <v>745</v>
      </c>
      <c r="C466" s="24" t="s">
        <v>1666</v>
      </c>
      <c r="D466" t="s">
        <v>1667</v>
      </c>
      <c r="E466" s="965">
        <v>26.53</v>
      </c>
      <c r="F466" s="966">
        <v>55180</v>
      </c>
      <c r="G466" s="967">
        <v>1.4</v>
      </c>
      <c r="H466" s="965">
        <v>19.100000000000001</v>
      </c>
      <c r="I466" s="965">
        <v>22.46</v>
      </c>
      <c r="J466" s="965">
        <v>25.53</v>
      </c>
      <c r="K466" s="965">
        <v>29.98</v>
      </c>
      <c r="L466" s="965">
        <v>34.409999999999997</v>
      </c>
      <c r="O466" s="963">
        <f t="shared" si="28"/>
        <v>26.064</v>
      </c>
      <c r="P466" s="963">
        <f t="shared" si="29"/>
        <v>27.844000000000001</v>
      </c>
      <c r="R466" s="963">
        <f t="shared" si="30"/>
        <v>23.074000000000002</v>
      </c>
      <c r="S466" s="963">
        <f t="shared" si="31"/>
        <v>24.302</v>
      </c>
    </row>
    <row r="467" spans="1:19" hidden="1" x14ac:dyDescent="0.25">
      <c r="A467" t="s">
        <v>744</v>
      </c>
      <c r="B467" t="s">
        <v>745</v>
      </c>
      <c r="C467" s="24" t="s">
        <v>1668</v>
      </c>
      <c r="D467" t="s">
        <v>1669</v>
      </c>
      <c r="E467" s="965">
        <v>26.06</v>
      </c>
      <c r="F467" s="966">
        <v>54210</v>
      </c>
      <c r="G467" s="967">
        <v>1.1000000000000001</v>
      </c>
      <c r="H467" s="965">
        <v>20.170000000000002</v>
      </c>
      <c r="I467" s="965">
        <v>22.58</v>
      </c>
      <c r="J467" s="965">
        <v>25</v>
      </c>
      <c r="K467" s="965">
        <v>28.85</v>
      </c>
      <c r="L467" s="965">
        <v>31.59</v>
      </c>
      <c r="O467" s="963">
        <f t="shared" si="28"/>
        <v>25.462</v>
      </c>
      <c r="P467" s="963">
        <f t="shared" si="29"/>
        <v>27.002000000000002</v>
      </c>
      <c r="R467" s="963">
        <f t="shared" si="30"/>
        <v>23.064</v>
      </c>
      <c r="S467" s="963">
        <f t="shared" si="31"/>
        <v>24.032</v>
      </c>
    </row>
    <row r="468" spans="1:19" hidden="1" x14ac:dyDescent="0.25">
      <c r="A468" t="s">
        <v>744</v>
      </c>
      <c r="B468" t="s">
        <v>745</v>
      </c>
      <c r="C468" s="24" t="s">
        <v>1670</v>
      </c>
      <c r="D468" t="s">
        <v>1671</v>
      </c>
      <c r="E468" s="965">
        <v>27.35</v>
      </c>
      <c r="F468" s="966">
        <v>56880</v>
      </c>
      <c r="G468" s="967">
        <v>0.6</v>
      </c>
      <c r="H468" s="965">
        <v>18.38</v>
      </c>
      <c r="I468" s="965">
        <v>22.18</v>
      </c>
      <c r="J468" s="965">
        <v>26.39</v>
      </c>
      <c r="K468" s="965">
        <v>30.85</v>
      </c>
      <c r="L468" s="965">
        <v>37.46</v>
      </c>
      <c r="O468" s="963">
        <f t="shared" si="28"/>
        <v>26.9252</v>
      </c>
      <c r="P468" s="963">
        <f t="shared" si="29"/>
        <v>28.709200000000003</v>
      </c>
      <c r="R468" s="963">
        <f t="shared" si="30"/>
        <v>23.022000000000002</v>
      </c>
      <c r="S468" s="963">
        <f t="shared" si="31"/>
        <v>24.706</v>
      </c>
    </row>
    <row r="469" spans="1:19" hidden="1" x14ac:dyDescent="0.25">
      <c r="A469" t="s">
        <v>744</v>
      </c>
      <c r="B469" t="s">
        <v>745</v>
      </c>
      <c r="C469" s="24" t="s">
        <v>1672</v>
      </c>
      <c r="D469" t="s">
        <v>1673</v>
      </c>
      <c r="E469" s="965">
        <v>29.68</v>
      </c>
      <c r="F469" s="966">
        <v>61730</v>
      </c>
      <c r="G469" s="967">
        <v>1.4</v>
      </c>
      <c r="H469" s="965">
        <v>20.72</v>
      </c>
      <c r="I469" s="965">
        <v>23.39</v>
      </c>
      <c r="J469" s="965">
        <v>28.48</v>
      </c>
      <c r="K469" s="965">
        <v>34.61</v>
      </c>
      <c r="L469" s="965">
        <v>40.479999999999997</v>
      </c>
      <c r="O469" s="963">
        <f t="shared" si="28"/>
        <v>29.215600000000002</v>
      </c>
      <c r="P469" s="963">
        <f t="shared" si="29"/>
        <v>31.6676</v>
      </c>
      <c r="R469" s="963">
        <f t="shared" si="30"/>
        <v>24.408000000000001</v>
      </c>
      <c r="S469" s="963">
        <f t="shared" si="31"/>
        <v>26.444000000000003</v>
      </c>
    </row>
    <row r="470" spans="1:19" hidden="1" x14ac:dyDescent="0.25">
      <c r="A470" t="s">
        <v>744</v>
      </c>
      <c r="B470" t="s">
        <v>745</v>
      </c>
      <c r="C470" s="24" t="s">
        <v>1674</v>
      </c>
      <c r="D470" t="s">
        <v>1675</v>
      </c>
      <c r="E470" s="965">
        <v>30.81</v>
      </c>
      <c r="F470" s="966">
        <v>64080</v>
      </c>
      <c r="G470" s="967">
        <v>9.5</v>
      </c>
      <c r="H470" s="965">
        <v>19.510000000000002</v>
      </c>
      <c r="I470" s="965">
        <v>22.42</v>
      </c>
      <c r="J470" s="965">
        <v>25.85</v>
      </c>
      <c r="K470" s="965">
        <v>33.65</v>
      </c>
      <c r="L470" s="965">
        <v>55.81</v>
      </c>
      <c r="O470" s="963">
        <f t="shared" si="28"/>
        <v>26.786000000000001</v>
      </c>
      <c r="P470" s="963">
        <f t="shared" si="29"/>
        <v>29.905999999999999</v>
      </c>
      <c r="R470" s="963">
        <f t="shared" si="30"/>
        <v>23.106000000000002</v>
      </c>
      <c r="S470" s="963">
        <f t="shared" si="31"/>
        <v>24.478000000000002</v>
      </c>
    </row>
    <row r="471" spans="1:19" hidden="1" x14ac:dyDescent="0.25">
      <c r="A471" t="s">
        <v>744</v>
      </c>
      <c r="B471" t="s">
        <v>745</v>
      </c>
      <c r="C471" s="24" t="s">
        <v>1676</v>
      </c>
      <c r="D471" t="s">
        <v>1677</v>
      </c>
      <c r="E471" s="965">
        <v>20.09</v>
      </c>
      <c r="F471" s="966">
        <v>41790</v>
      </c>
      <c r="G471" s="967">
        <v>1.2</v>
      </c>
      <c r="H471" s="965">
        <v>17.420000000000002</v>
      </c>
      <c r="I471" s="965">
        <v>17.88</v>
      </c>
      <c r="J471" s="965">
        <v>18.96</v>
      </c>
      <c r="K471" s="965">
        <v>22.3</v>
      </c>
      <c r="L471" s="965">
        <v>23.01</v>
      </c>
      <c r="O471" s="963">
        <f t="shared" si="28"/>
        <v>19.360800000000001</v>
      </c>
      <c r="P471" s="963">
        <f t="shared" si="29"/>
        <v>20.6968</v>
      </c>
      <c r="R471" s="963">
        <f t="shared" si="30"/>
        <v>18.096</v>
      </c>
      <c r="S471" s="963">
        <f t="shared" si="31"/>
        <v>18.527999999999999</v>
      </c>
    </row>
    <row r="472" spans="1:19" hidden="1" x14ac:dyDescent="0.25">
      <c r="A472" t="s">
        <v>744</v>
      </c>
      <c r="B472" t="s">
        <v>745</v>
      </c>
      <c r="C472" s="24" t="s">
        <v>1678</v>
      </c>
      <c r="D472" t="s">
        <v>1679</v>
      </c>
      <c r="E472" s="965">
        <v>33.340000000000003</v>
      </c>
      <c r="F472" s="966">
        <v>69340</v>
      </c>
      <c r="G472" s="967">
        <v>3.3</v>
      </c>
      <c r="H472" s="965">
        <v>23.49</v>
      </c>
      <c r="I472" s="965">
        <v>27.61</v>
      </c>
      <c r="J472" s="965">
        <v>29.42</v>
      </c>
      <c r="K472" s="965">
        <v>39.1</v>
      </c>
      <c r="L472" s="965">
        <v>45.38</v>
      </c>
      <c r="O472" s="963">
        <f t="shared" si="28"/>
        <v>30.581600000000002</v>
      </c>
      <c r="P472" s="963">
        <f t="shared" si="29"/>
        <v>34.453600000000002</v>
      </c>
      <c r="R472" s="963">
        <f t="shared" si="30"/>
        <v>27.972000000000001</v>
      </c>
      <c r="S472" s="963">
        <f t="shared" si="31"/>
        <v>28.696000000000002</v>
      </c>
    </row>
    <row r="473" spans="1:19" hidden="1" x14ac:dyDescent="0.25">
      <c r="A473" t="s">
        <v>744</v>
      </c>
      <c r="B473" t="s">
        <v>745</v>
      </c>
      <c r="C473" s="24" t="s">
        <v>1680</v>
      </c>
      <c r="D473" t="s">
        <v>1681</v>
      </c>
      <c r="E473" s="965">
        <v>31.68</v>
      </c>
      <c r="F473" s="966">
        <v>65880</v>
      </c>
      <c r="G473" s="967">
        <v>2.4</v>
      </c>
      <c r="H473" s="965">
        <v>24.73</v>
      </c>
      <c r="I473" s="965">
        <v>29</v>
      </c>
      <c r="J473" s="965">
        <v>30.45</v>
      </c>
      <c r="K473" s="965">
        <v>33.53</v>
      </c>
      <c r="L473" s="965">
        <v>36.82</v>
      </c>
      <c r="O473" s="963">
        <f t="shared" si="28"/>
        <v>30.819600000000001</v>
      </c>
      <c r="P473" s="963">
        <f t="shared" si="29"/>
        <v>32.051600000000001</v>
      </c>
      <c r="R473" s="963">
        <f t="shared" si="30"/>
        <v>29.29</v>
      </c>
      <c r="S473" s="963">
        <f t="shared" si="31"/>
        <v>29.87</v>
      </c>
    </row>
    <row r="474" spans="1:19" hidden="1" x14ac:dyDescent="0.25">
      <c r="A474" t="s">
        <v>744</v>
      </c>
      <c r="B474" t="s">
        <v>745</v>
      </c>
      <c r="C474" s="24" t="s">
        <v>1682</v>
      </c>
      <c r="D474" t="s">
        <v>1683</v>
      </c>
      <c r="E474" s="965">
        <v>30.68</v>
      </c>
      <c r="F474" s="966">
        <v>63820</v>
      </c>
      <c r="G474" s="967">
        <v>1</v>
      </c>
      <c r="H474" s="965">
        <v>19.940000000000001</v>
      </c>
      <c r="I474" s="965">
        <v>24.01</v>
      </c>
      <c r="J474" s="965">
        <v>29.09</v>
      </c>
      <c r="K474" s="965">
        <v>36.36</v>
      </c>
      <c r="L474" s="965">
        <v>42.65</v>
      </c>
      <c r="O474" s="963">
        <f t="shared" si="28"/>
        <v>29.962400000000002</v>
      </c>
      <c r="P474" s="963">
        <f t="shared" si="29"/>
        <v>32.870399999999997</v>
      </c>
      <c r="R474" s="963">
        <f t="shared" si="30"/>
        <v>25.026000000000003</v>
      </c>
      <c r="S474" s="963">
        <f t="shared" si="31"/>
        <v>27.058</v>
      </c>
    </row>
    <row r="475" spans="1:19" hidden="1" x14ac:dyDescent="0.25">
      <c r="A475" t="s">
        <v>744</v>
      </c>
      <c r="B475" t="s">
        <v>745</v>
      </c>
      <c r="C475" s="24" t="s">
        <v>1684</v>
      </c>
      <c r="D475" t="s">
        <v>1685</v>
      </c>
      <c r="E475" s="965">
        <v>26.17</v>
      </c>
      <c r="F475" s="966">
        <v>54440</v>
      </c>
      <c r="G475" s="967">
        <v>5.0999999999999996</v>
      </c>
      <c r="H475" s="965">
        <v>22.7</v>
      </c>
      <c r="I475" s="965">
        <v>24.1</v>
      </c>
      <c r="J475" s="965">
        <v>24.5</v>
      </c>
      <c r="K475" s="965">
        <v>26.6</v>
      </c>
      <c r="L475" s="965">
        <v>32.18</v>
      </c>
      <c r="O475" s="963">
        <f t="shared" si="28"/>
        <v>24.751999999999999</v>
      </c>
      <c r="P475" s="963">
        <f t="shared" si="29"/>
        <v>25.592000000000002</v>
      </c>
      <c r="R475" s="963">
        <f t="shared" si="30"/>
        <v>24.18</v>
      </c>
      <c r="S475" s="963">
        <f t="shared" si="31"/>
        <v>24.34</v>
      </c>
    </row>
    <row r="476" spans="1:19" hidden="1" x14ac:dyDescent="0.25">
      <c r="A476" t="s">
        <v>744</v>
      </c>
      <c r="B476" t="s">
        <v>745</v>
      </c>
      <c r="C476" s="24" t="s">
        <v>1686</v>
      </c>
      <c r="D476" t="s">
        <v>1687</v>
      </c>
      <c r="E476" s="965">
        <v>24.25</v>
      </c>
      <c r="F476" s="966">
        <v>50450</v>
      </c>
      <c r="G476" s="967">
        <v>0.6</v>
      </c>
      <c r="H476" s="965">
        <v>16.84</v>
      </c>
      <c r="I476" s="965">
        <v>18.670000000000002</v>
      </c>
      <c r="J476" s="965">
        <v>22.76</v>
      </c>
      <c r="K476" s="965">
        <v>27.88</v>
      </c>
      <c r="L476" s="965">
        <v>33.909999999999997</v>
      </c>
      <c r="O476" s="963">
        <f t="shared" si="28"/>
        <v>23.374400000000001</v>
      </c>
      <c r="P476" s="963">
        <f t="shared" si="29"/>
        <v>25.4224</v>
      </c>
      <c r="R476" s="963">
        <f t="shared" si="30"/>
        <v>19.488000000000003</v>
      </c>
      <c r="S476" s="963">
        <f t="shared" si="31"/>
        <v>21.124000000000002</v>
      </c>
    </row>
    <row r="477" spans="1:19" hidden="1" x14ac:dyDescent="0.25">
      <c r="A477" t="s">
        <v>744</v>
      </c>
      <c r="B477" t="s">
        <v>745</v>
      </c>
      <c r="C477" s="24" t="s">
        <v>1688</v>
      </c>
      <c r="D477" t="s">
        <v>1689</v>
      </c>
      <c r="E477" s="965">
        <v>26.84</v>
      </c>
      <c r="F477" s="966">
        <v>55820</v>
      </c>
      <c r="G477" s="967">
        <v>1.7</v>
      </c>
      <c r="H477" s="965">
        <v>20.38</v>
      </c>
      <c r="I477" s="965">
        <v>21.43</v>
      </c>
      <c r="J477" s="965">
        <v>26.55</v>
      </c>
      <c r="K477" s="965">
        <v>30.76</v>
      </c>
      <c r="L477" s="965">
        <v>35.83</v>
      </c>
      <c r="O477" s="963">
        <f t="shared" si="28"/>
        <v>27.055200000000003</v>
      </c>
      <c r="P477" s="963">
        <f t="shared" si="29"/>
        <v>28.7392</v>
      </c>
      <c r="R477" s="963">
        <f t="shared" si="30"/>
        <v>22.454000000000001</v>
      </c>
      <c r="S477" s="963">
        <f t="shared" si="31"/>
        <v>24.502000000000002</v>
      </c>
    </row>
    <row r="478" spans="1:19" hidden="1" x14ac:dyDescent="0.25">
      <c r="A478" t="s">
        <v>744</v>
      </c>
      <c r="B478" t="s">
        <v>745</v>
      </c>
      <c r="C478" s="24" t="s">
        <v>1690</v>
      </c>
      <c r="D478" t="s">
        <v>1691</v>
      </c>
      <c r="E478" s="965">
        <v>24.27</v>
      </c>
      <c r="F478" s="966">
        <v>50480</v>
      </c>
      <c r="G478" s="967">
        <v>2.6</v>
      </c>
      <c r="H478" s="965">
        <v>17.989999999999998</v>
      </c>
      <c r="I478" s="965">
        <v>18.43</v>
      </c>
      <c r="J478" s="965">
        <v>21.9</v>
      </c>
      <c r="K478" s="965">
        <v>27.14</v>
      </c>
      <c r="L478" s="965">
        <v>31.57</v>
      </c>
      <c r="O478" s="963">
        <f t="shared" si="28"/>
        <v>22.5288</v>
      </c>
      <c r="P478" s="963">
        <f t="shared" si="29"/>
        <v>24.6248</v>
      </c>
      <c r="R478" s="963">
        <f t="shared" si="30"/>
        <v>19.123999999999999</v>
      </c>
      <c r="S478" s="963">
        <f t="shared" si="31"/>
        <v>20.512</v>
      </c>
    </row>
    <row r="479" spans="1:19" hidden="1" x14ac:dyDescent="0.25">
      <c r="A479" t="s">
        <v>744</v>
      </c>
      <c r="B479" t="s">
        <v>745</v>
      </c>
      <c r="C479" s="24" t="s">
        <v>1692</v>
      </c>
      <c r="D479" t="s">
        <v>1693</v>
      </c>
      <c r="E479" s="965">
        <v>19.54</v>
      </c>
      <c r="F479" s="966">
        <v>40630</v>
      </c>
      <c r="G479" s="967">
        <v>1.4</v>
      </c>
      <c r="H479" s="965">
        <v>16.850000000000001</v>
      </c>
      <c r="I479" s="965">
        <v>17.63</v>
      </c>
      <c r="J479" s="965">
        <v>18.25</v>
      </c>
      <c r="K479" s="965">
        <v>21.01</v>
      </c>
      <c r="L479" s="965">
        <v>23.14</v>
      </c>
      <c r="O479" s="963">
        <f t="shared" si="28"/>
        <v>18.581199999999999</v>
      </c>
      <c r="P479" s="963">
        <f t="shared" si="29"/>
        <v>19.685200000000002</v>
      </c>
      <c r="R479" s="963">
        <f t="shared" si="30"/>
        <v>17.753999999999998</v>
      </c>
      <c r="S479" s="963">
        <f t="shared" si="31"/>
        <v>18.001999999999999</v>
      </c>
    </row>
    <row r="480" spans="1:19" hidden="1" x14ac:dyDescent="0.25">
      <c r="A480" t="s">
        <v>744</v>
      </c>
      <c r="B480" t="s">
        <v>745</v>
      </c>
      <c r="C480" s="24" t="s">
        <v>1694</v>
      </c>
      <c r="D480" t="s">
        <v>1695</v>
      </c>
      <c r="E480" s="965">
        <v>23.83</v>
      </c>
      <c r="F480" s="966">
        <v>49570</v>
      </c>
      <c r="G480" s="967">
        <v>1</v>
      </c>
      <c r="H480" s="965">
        <v>18.34</v>
      </c>
      <c r="I480" s="965">
        <v>20.12</v>
      </c>
      <c r="J480" s="965">
        <v>22.82</v>
      </c>
      <c r="K480" s="965">
        <v>25.62</v>
      </c>
      <c r="L480" s="965">
        <v>30.12</v>
      </c>
      <c r="O480" s="963">
        <f t="shared" si="28"/>
        <v>23.156000000000002</v>
      </c>
      <c r="P480" s="963">
        <f t="shared" si="29"/>
        <v>24.276</v>
      </c>
      <c r="R480" s="963">
        <f t="shared" si="30"/>
        <v>20.66</v>
      </c>
      <c r="S480" s="963">
        <f t="shared" si="31"/>
        <v>21.740000000000002</v>
      </c>
    </row>
    <row r="481" spans="1:19" hidden="1" x14ac:dyDescent="0.25">
      <c r="A481" t="s">
        <v>744</v>
      </c>
      <c r="B481" t="s">
        <v>745</v>
      </c>
      <c r="C481" s="24" t="s">
        <v>1696</v>
      </c>
      <c r="D481" t="s">
        <v>1697</v>
      </c>
      <c r="E481" s="965">
        <v>21.85</v>
      </c>
      <c r="F481" s="966">
        <v>45440</v>
      </c>
      <c r="G481" s="967">
        <v>0.6</v>
      </c>
      <c r="H481" s="965">
        <v>15.14</v>
      </c>
      <c r="I481" s="965">
        <v>16.18</v>
      </c>
      <c r="J481" s="965">
        <v>20.21</v>
      </c>
      <c r="K481" s="965">
        <v>23.99</v>
      </c>
      <c r="L481" s="965">
        <v>32.96</v>
      </c>
      <c r="O481" s="963">
        <f t="shared" si="28"/>
        <v>20.663600000000002</v>
      </c>
      <c r="P481" s="963">
        <f t="shared" si="29"/>
        <v>22.175599999999999</v>
      </c>
      <c r="R481" s="963">
        <f t="shared" si="30"/>
        <v>16.986000000000001</v>
      </c>
      <c r="S481" s="963">
        <f t="shared" si="31"/>
        <v>18.597999999999999</v>
      </c>
    </row>
    <row r="482" spans="1:19" hidden="1" x14ac:dyDescent="0.25">
      <c r="A482" t="s">
        <v>744</v>
      </c>
      <c r="B482" t="s">
        <v>745</v>
      </c>
      <c r="C482" s="24" t="s">
        <v>1698</v>
      </c>
      <c r="D482" t="s">
        <v>1699</v>
      </c>
      <c r="E482" s="965">
        <v>25.34</v>
      </c>
      <c r="F482" s="966">
        <v>52710</v>
      </c>
      <c r="G482" s="967">
        <v>2.2999999999999998</v>
      </c>
      <c r="H482" s="965">
        <v>17.89</v>
      </c>
      <c r="I482" s="965">
        <v>22.44</v>
      </c>
      <c r="J482" s="965">
        <v>24.65</v>
      </c>
      <c r="K482" s="965">
        <v>29.02</v>
      </c>
      <c r="L482" s="965">
        <v>31.47</v>
      </c>
      <c r="O482" s="963">
        <f t="shared" si="28"/>
        <v>25.174399999999999</v>
      </c>
      <c r="P482" s="963">
        <f t="shared" si="29"/>
        <v>26.9224</v>
      </c>
      <c r="R482" s="963">
        <f t="shared" si="30"/>
        <v>22.882000000000001</v>
      </c>
      <c r="S482" s="963">
        <f t="shared" si="31"/>
        <v>23.765999999999998</v>
      </c>
    </row>
    <row r="483" spans="1:19" hidden="1" x14ac:dyDescent="0.25">
      <c r="A483" t="s">
        <v>744</v>
      </c>
      <c r="B483" t="s">
        <v>745</v>
      </c>
      <c r="C483" s="24" t="s">
        <v>1700</v>
      </c>
      <c r="D483" t="s">
        <v>1701</v>
      </c>
      <c r="E483" s="965">
        <v>24.33</v>
      </c>
      <c r="F483" s="966">
        <v>50610</v>
      </c>
      <c r="G483" s="967">
        <v>1.4</v>
      </c>
      <c r="H483" s="965">
        <v>22.15</v>
      </c>
      <c r="I483" s="965">
        <v>23.33</v>
      </c>
      <c r="J483" s="965">
        <v>24.17</v>
      </c>
      <c r="K483" s="965">
        <v>24.4</v>
      </c>
      <c r="L483" s="965">
        <v>27.96</v>
      </c>
      <c r="O483" s="963">
        <f t="shared" si="28"/>
        <v>24.197600000000001</v>
      </c>
      <c r="P483" s="963">
        <f t="shared" si="29"/>
        <v>24.2896</v>
      </c>
      <c r="R483" s="963">
        <f t="shared" si="30"/>
        <v>23.497999999999998</v>
      </c>
      <c r="S483" s="963">
        <f t="shared" si="31"/>
        <v>23.834</v>
      </c>
    </row>
    <row r="484" spans="1:19" hidden="1" x14ac:dyDescent="0.25">
      <c r="A484" t="s">
        <v>744</v>
      </c>
      <c r="B484" t="s">
        <v>745</v>
      </c>
      <c r="C484" s="24" t="s">
        <v>1702</v>
      </c>
      <c r="D484" t="s">
        <v>1703</v>
      </c>
      <c r="E484" s="965">
        <v>24.82</v>
      </c>
      <c r="F484" s="966">
        <v>51620</v>
      </c>
      <c r="G484" s="967">
        <v>2.4</v>
      </c>
      <c r="H484" s="965">
        <v>17.899999999999999</v>
      </c>
      <c r="I484" s="965">
        <v>19.399999999999999</v>
      </c>
      <c r="J484" s="965">
        <v>24.14</v>
      </c>
      <c r="K484" s="965">
        <v>28.1</v>
      </c>
      <c r="L484" s="965">
        <v>33.659999999999997</v>
      </c>
      <c r="O484" s="963">
        <f t="shared" si="28"/>
        <v>24.615200000000002</v>
      </c>
      <c r="P484" s="963">
        <f t="shared" si="29"/>
        <v>26.199200000000001</v>
      </c>
      <c r="R484" s="963">
        <f t="shared" si="30"/>
        <v>20.347999999999999</v>
      </c>
      <c r="S484" s="963">
        <f t="shared" si="31"/>
        <v>22.244</v>
      </c>
    </row>
    <row r="485" spans="1:19" hidden="1" x14ac:dyDescent="0.25">
      <c r="A485" t="s">
        <v>744</v>
      </c>
      <c r="B485" t="s">
        <v>745</v>
      </c>
      <c r="C485" s="24" t="s">
        <v>1704</v>
      </c>
      <c r="D485" t="s">
        <v>1705</v>
      </c>
      <c r="E485" s="965">
        <v>26.7</v>
      </c>
      <c r="F485" s="966">
        <v>55530</v>
      </c>
      <c r="G485" s="967">
        <v>1</v>
      </c>
      <c r="H485" s="965">
        <v>19.98</v>
      </c>
      <c r="I485" s="965">
        <v>22.84</v>
      </c>
      <c r="J485" s="965">
        <v>24.93</v>
      </c>
      <c r="K485" s="965">
        <v>29.66</v>
      </c>
      <c r="L485" s="965">
        <v>35.14</v>
      </c>
      <c r="O485" s="963">
        <f t="shared" si="28"/>
        <v>25.497599999999998</v>
      </c>
      <c r="P485" s="963">
        <f t="shared" si="29"/>
        <v>27.389600000000002</v>
      </c>
      <c r="R485" s="963">
        <f t="shared" si="30"/>
        <v>23.257999999999999</v>
      </c>
      <c r="S485" s="963">
        <f t="shared" si="31"/>
        <v>24.094000000000001</v>
      </c>
    </row>
    <row r="486" spans="1:19" hidden="1" x14ac:dyDescent="0.25">
      <c r="A486" t="s">
        <v>744</v>
      </c>
      <c r="B486" t="s">
        <v>745</v>
      </c>
      <c r="C486" s="24" t="s">
        <v>1706</v>
      </c>
      <c r="D486" t="s">
        <v>1707</v>
      </c>
      <c r="E486" s="965">
        <v>19.989999999999998</v>
      </c>
      <c r="F486" s="966">
        <v>41570</v>
      </c>
      <c r="G486" s="967">
        <v>1</v>
      </c>
      <c r="H486" s="965">
        <v>15.26</v>
      </c>
      <c r="I486" s="965">
        <v>17.09</v>
      </c>
      <c r="J486" s="965">
        <v>18.79</v>
      </c>
      <c r="K486" s="965">
        <v>21.89</v>
      </c>
      <c r="L486" s="965">
        <v>26.41</v>
      </c>
      <c r="O486" s="963">
        <f t="shared" si="28"/>
        <v>19.161999999999999</v>
      </c>
      <c r="P486" s="963">
        <f t="shared" si="29"/>
        <v>20.402000000000001</v>
      </c>
      <c r="R486" s="963">
        <f t="shared" si="30"/>
        <v>17.43</v>
      </c>
      <c r="S486" s="963">
        <f t="shared" si="31"/>
        <v>18.11</v>
      </c>
    </row>
    <row r="487" spans="1:19" hidden="1" x14ac:dyDescent="0.25">
      <c r="A487" t="s">
        <v>744</v>
      </c>
      <c r="B487" t="s">
        <v>745</v>
      </c>
      <c r="C487" s="24" t="s">
        <v>1708</v>
      </c>
      <c r="D487" t="s">
        <v>1709</v>
      </c>
      <c r="E487" s="965">
        <v>20.56</v>
      </c>
      <c r="F487" s="966">
        <v>42770</v>
      </c>
      <c r="G487" s="967">
        <v>2</v>
      </c>
      <c r="H487" s="965">
        <v>16.489999999999998</v>
      </c>
      <c r="I487" s="965">
        <v>17.329999999999998</v>
      </c>
      <c r="J487" s="965">
        <v>18.97</v>
      </c>
      <c r="K487" s="965">
        <v>21.67</v>
      </c>
      <c r="L487" s="965">
        <v>26.78</v>
      </c>
      <c r="O487" s="963">
        <f t="shared" si="28"/>
        <v>19.294</v>
      </c>
      <c r="P487" s="963">
        <f t="shared" si="29"/>
        <v>20.373999999999999</v>
      </c>
      <c r="R487" s="963">
        <f t="shared" si="30"/>
        <v>17.657999999999998</v>
      </c>
      <c r="S487" s="963">
        <f t="shared" si="31"/>
        <v>18.314</v>
      </c>
    </row>
    <row r="488" spans="1:19" hidden="1" x14ac:dyDescent="0.25">
      <c r="A488" t="s">
        <v>744</v>
      </c>
      <c r="B488" t="s">
        <v>745</v>
      </c>
      <c r="C488" s="24" t="s">
        <v>1710</v>
      </c>
      <c r="D488" t="s">
        <v>1711</v>
      </c>
      <c r="E488" s="965">
        <v>24.84</v>
      </c>
      <c r="F488" s="966">
        <v>51670</v>
      </c>
      <c r="G488" s="967">
        <v>1.8</v>
      </c>
      <c r="H488" s="965">
        <v>15.26</v>
      </c>
      <c r="I488" s="965">
        <v>19.52</v>
      </c>
      <c r="J488" s="965">
        <v>23.1</v>
      </c>
      <c r="K488" s="965">
        <v>28.62</v>
      </c>
      <c r="L488" s="965">
        <v>32.94</v>
      </c>
      <c r="O488" s="963">
        <f t="shared" si="28"/>
        <v>23.762400000000003</v>
      </c>
      <c r="P488" s="963">
        <f t="shared" si="29"/>
        <v>25.970400000000001</v>
      </c>
      <c r="R488" s="963">
        <f t="shared" si="30"/>
        <v>20.236000000000001</v>
      </c>
      <c r="S488" s="963">
        <f t="shared" si="31"/>
        <v>21.667999999999999</v>
      </c>
    </row>
    <row r="489" spans="1:19" hidden="1" x14ac:dyDescent="0.25">
      <c r="A489" t="s">
        <v>744</v>
      </c>
      <c r="B489" t="s">
        <v>745</v>
      </c>
      <c r="C489" s="24" t="s">
        <v>1712</v>
      </c>
      <c r="D489" t="s">
        <v>1713</v>
      </c>
      <c r="E489" s="965">
        <v>25.66</v>
      </c>
      <c r="F489" s="966">
        <v>53380</v>
      </c>
      <c r="G489" s="967">
        <v>3</v>
      </c>
      <c r="H489" s="965">
        <v>17.62</v>
      </c>
      <c r="I489" s="965">
        <v>22.71</v>
      </c>
      <c r="J489" s="965">
        <v>24.05</v>
      </c>
      <c r="K489" s="965">
        <v>29.49</v>
      </c>
      <c r="L489" s="965">
        <v>32.97</v>
      </c>
      <c r="O489" s="963">
        <f t="shared" si="28"/>
        <v>24.7028</v>
      </c>
      <c r="P489" s="963">
        <f t="shared" si="29"/>
        <v>26.878799999999998</v>
      </c>
      <c r="R489" s="963">
        <f t="shared" si="30"/>
        <v>22.978000000000002</v>
      </c>
      <c r="S489" s="963">
        <f t="shared" si="31"/>
        <v>23.513999999999999</v>
      </c>
    </row>
    <row r="490" spans="1:19" hidden="1" x14ac:dyDescent="0.25">
      <c r="A490" t="s">
        <v>744</v>
      </c>
      <c r="B490" t="s">
        <v>745</v>
      </c>
      <c r="C490" s="24" t="s">
        <v>1714</v>
      </c>
      <c r="D490" t="s">
        <v>1715</v>
      </c>
      <c r="E490" s="965">
        <v>20.440000000000001</v>
      </c>
      <c r="F490" s="966">
        <v>42510</v>
      </c>
      <c r="G490" s="967">
        <v>1.3</v>
      </c>
      <c r="H490" s="965">
        <v>16.05</v>
      </c>
      <c r="I490" s="965">
        <v>17.46</v>
      </c>
      <c r="J490" s="965">
        <v>20.350000000000001</v>
      </c>
      <c r="K490" s="965">
        <v>22.97</v>
      </c>
      <c r="L490" s="965">
        <v>23.55</v>
      </c>
      <c r="O490" s="963">
        <f t="shared" si="28"/>
        <v>20.664400000000001</v>
      </c>
      <c r="P490" s="963">
        <f t="shared" si="29"/>
        <v>21.712399999999999</v>
      </c>
      <c r="R490" s="963">
        <f t="shared" si="30"/>
        <v>18.038</v>
      </c>
      <c r="S490" s="963">
        <f t="shared" si="31"/>
        <v>19.194000000000003</v>
      </c>
    </row>
    <row r="491" spans="1:19" hidden="1" x14ac:dyDescent="0.25">
      <c r="A491" t="s">
        <v>744</v>
      </c>
      <c r="B491" t="s">
        <v>745</v>
      </c>
      <c r="C491" s="24" t="s">
        <v>1716</v>
      </c>
      <c r="D491" t="s">
        <v>1717</v>
      </c>
      <c r="E491" s="965">
        <v>27.28</v>
      </c>
      <c r="F491" s="966">
        <v>56740</v>
      </c>
      <c r="G491" s="967">
        <v>0.6</v>
      </c>
      <c r="H491" s="965">
        <v>20.32</v>
      </c>
      <c r="I491" s="965">
        <v>23.54</v>
      </c>
      <c r="J491" s="965">
        <v>27.29</v>
      </c>
      <c r="K491" s="965">
        <v>29.76</v>
      </c>
      <c r="L491" s="965">
        <v>34.1</v>
      </c>
      <c r="O491" s="963">
        <f t="shared" si="28"/>
        <v>27.586400000000001</v>
      </c>
      <c r="P491" s="963">
        <f t="shared" si="29"/>
        <v>28.574400000000001</v>
      </c>
      <c r="R491" s="963">
        <f t="shared" si="30"/>
        <v>24.29</v>
      </c>
      <c r="S491" s="963">
        <f t="shared" si="31"/>
        <v>25.79</v>
      </c>
    </row>
    <row r="492" spans="1:19" hidden="1" x14ac:dyDescent="0.25">
      <c r="A492" t="s">
        <v>744</v>
      </c>
      <c r="B492" t="s">
        <v>745</v>
      </c>
      <c r="C492" s="24" t="s">
        <v>1718</v>
      </c>
      <c r="D492" t="s">
        <v>1719</v>
      </c>
      <c r="E492" s="965">
        <v>27.05</v>
      </c>
      <c r="F492" s="966">
        <v>56270</v>
      </c>
      <c r="G492" s="967">
        <v>1.5</v>
      </c>
      <c r="H492" s="965">
        <v>17.53</v>
      </c>
      <c r="I492" s="965">
        <v>20.82</v>
      </c>
      <c r="J492" s="965">
        <v>24.64</v>
      </c>
      <c r="K492" s="965">
        <v>30.96</v>
      </c>
      <c r="L492" s="965">
        <v>39.69</v>
      </c>
      <c r="O492" s="963">
        <f t="shared" si="28"/>
        <v>25.398400000000002</v>
      </c>
      <c r="P492" s="963">
        <f t="shared" si="29"/>
        <v>27.926400000000001</v>
      </c>
      <c r="R492" s="963">
        <f t="shared" si="30"/>
        <v>21.584</v>
      </c>
      <c r="S492" s="963">
        <f t="shared" si="31"/>
        <v>23.112000000000002</v>
      </c>
    </row>
    <row r="493" spans="1:19" hidden="1" x14ac:dyDescent="0.25">
      <c r="A493" t="s">
        <v>744</v>
      </c>
      <c r="B493" t="s">
        <v>745</v>
      </c>
      <c r="C493" s="24" t="s">
        <v>1720</v>
      </c>
      <c r="D493" t="s">
        <v>1721</v>
      </c>
      <c r="E493" s="965">
        <v>34.18</v>
      </c>
      <c r="F493" s="966">
        <v>71090</v>
      </c>
      <c r="G493" s="967">
        <v>4.9000000000000004</v>
      </c>
      <c r="H493" s="965">
        <v>24.85</v>
      </c>
      <c r="I493" s="965">
        <v>27.94</v>
      </c>
      <c r="J493" s="965">
        <v>36.36</v>
      </c>
      <c r="K493" s="965">
        <v>39.24</v>
      </c>
      <c r="L493" s="965">
        <v>40.729999999999997</v>
      </c>
      <c r="O493" s="963">
        <f t="shared" si="28"/>
        <v>36.705599999999997</v>
      </c>
      <c r="P493" s="963">
        <f t="shared" si="29"/>
        <v>37.857599999999998</v>
      </c>
      <c r="R493" s="963">
        <f t="shared" si="30"/>
        <v>29.624000000000002</v>
      </c>
      <c r="S493" s="963">
        <f t="shared" si="31"/>
        <v>32.992000000000004</v>
      </c>
    </row>
    <row r="494" spans="1:19" hidden="1" x14ac:dyDescent="0.25">
      <c r="A494" t="s">
        <v>744</v>
      </c>
      <c r="B494" t="s">
        <v>745</v>
      </c>
      <c r="C494" s="24" t="s">
        <v>1722</v>
      </c>
      <c r="D494" t="s">
        <v>1723</v>
      </c>
      <c r="E494" s="965">
        <v>28.81</v>
      </c>
      <c r="F494" s="966">
        <v>59920</v>
      </c>
      <c r="G494" s="967">
        <v>0</v>
      </c>
      <c r="H494" s="965">
        <v>20.05</v>
      </c>
      <c r="I494" s="965">
        <v>25.81</v>
      </c>
      <c r="J494" s="965">
        <v>28.37</v>
      </c>
      <c r="K494" s="965">
        <v>34.54</v>
      </c>
      <c r="L494" s="965">
        <v>34.54</v>
      </c>
      <c r="O494" s="963">
        <f t="shared" si="28"/>
        <v>29.110400000000002</v>
      </c>
      <c r="P494" s="963">
        <f t="shared" si="29"/>
        <v>31.578400000000002</v>
      </c>
      <c r="R494" s="963">
        <f t="shared" si="30"/>
        <v>26.321999999999999</v>
      </c>
      <c r="S494" s="963">
        <f t="shared" si="31"/>
        <v>27.346</v>
      </c>
    </row>
    <row r="495" spans="1:19" hidden="1" x14ac:dyDescent="0.25">
      <c r="A495" t="s">
        <v>744</v>
      </c>
      <c r="B495" t="s">
        <v>745</v>
      </c>
      <c r="C495" s="24" t="s">
        <v>1724</v>
      </c>
      <c r="D495" t="s">
        <v>1725</v>
      </c>
      <c r="E495" s="965">
        <v>29.48</v>
      </c>
      <c r="F495" s="966">
        <v>61310</v>
      </c>
      <c r="G495" s="967">
        <v>0</v>
      </c>
      <c r="H495" s="965">
        <v>19.940000000000001</v>
      </c>
      <c r="I495" s="965">
        <v>23.12</v>
      </c>
      <c r="J495" s="965">
        <v>29.06</v>
      </c>
      <c r="K495" s="965">
        <v>36.200000000000003</v>
      </c>
      <c r="L495" s="965">
        <v>36.200000000000003</v>
      </c>
      <c r="O495" s="963">
        <f t="shared" si="28"/>
        <v>29.916799999999999</v>
      </c>
      <c r="P495" s="963">
        <f t="shared" si="29"/>
        <v>32.772800000000004</v>
      </c>
      <c r="R495" s="963">
        <f t="shared" si="30"/>
        <v>24.308</v>
      </c>
      <c r="S495" s="963">
        <f t="shared" si="31"/>
        <v>26.684000000000001</v>
      </c>
    </row>
    <row r="496" spans="1:19" hidden="1" x14ac:dyDescent="0.25">
      <c r="A496" t="s">
        <v>744</v>
      </c>
      <c r="B496" t="s">
        <v>745</v>
      </c>
      <c r="C496" s="24" t="s">
        <v>1726</v>
      </c>
      <c r="D496" t="s">
        <v>1727</v>
      </c>
      <c r="E496" s="965">
        <v>27.22</v>
      </c>
      <c r="F496" s="966">
        <v>56630</v>
      </c>
      <c r="G496" s="967">
        <v>0</v>
      </c>
      <c r="H496" s="965">
        <v>20.05</v>
      </c>
      <c r="I496" s="965">
        <v>21.44</v>
      </c>
      <c r="J496" s="965">
        <v>26.18</v>
      </c>
      <c r="K496" s="965">
        <v>34.01</v>
      </c>
      <c r="L496" s="965">
        <v>34.54</v>
      </c>
      <c r="O496" s="963">
        <f t="shared" si="28"/>
        <v>27.119600000000002</v>
      </c>
      <c r="P496" s="963">
        <f t="shared" si="29"/>
        <v>30.2516</v>
      </c>
      <c r="R496" s="963">
        <f t="shared" si="30"/>
        <v>22.388000000000002</v>
      </c>
      <c r="S496" s="963">
        <f t="shared" si="31"/>
        <v>24.283999999999999</v>
      </c>
    </row>
    <row r="497" spans="1:19" hidden="1" x14ac:dyDescent="0.25">
      <c r="A497" t="s">
        <v>744</v>
      </c>
      <c r="B497" t="s">
        <v>745</v>
      </c>
      <c r="C497" s="24" t="s">
        <v>1728</v>
      </c>
      <c r="D497" t="s">
        <v>1729</v>
      </c>
      <c r="E497" s="965">
        <v>28.87</v>
      </c>
      <c r="F497" s="966">
        <v>60040</v>
      </c>
      <c r="G497" s="967">
        <v>0.8</v>
      </c>
      <c r="H497" s="965">
        <v>19.100000000000001</v>
      </c>
      <c r="I497" s="965">
        <v>22.67</v>
      </c>
      <c r="J497" s="965">
        <v>27.85</v>
      </c>
      <c r="K497" s="965">
        <v>34.4</v>
      </c>
      <c r="L497" s="965">
        <v>39.36</v>
      </c>
      <c r="O497" s="963">
        <f t="shared" si="28"/>
        <v>28.636000000000003</v>
      </c>
      <c r="P497" s="963">
        <f t="shared" si="29"/>
        <v>31.256</v>
      </c>
      <c r="R497" s="963">
        <f t="shared" si="30"/>
        <v>23.706000000000003</v>
      </c>
      <c r="S497" s="963">
        <f t="shared" si="31"/>
        <v>25.778000000000002</v>
      </c>
    </row>
    <row r="498" spans="1:19" hidden="1" x14ac:dyDescent="0.25">
      <c r="A498" t="s">
        <v>744</v>
      </c>
      <c r="B498" t="s">
        <v>745</v>
      </c>
      <c r="C498" s="24" t="s">
        <v>1730</v>
      </c>
      <c r="D498" t="s">
        <v>1731</v>
      </c>
      <c r="E498" s="965">
        <v>22.74</v>
      </c>
      <c r="F498" s="966">
        <v>47300</v>
      </c>
      <c r="G498" s="967">
        <v>0.6</v>
      </c>
      <c r="H498" s="965">
        <v>17.559999999999999</v>
      </c>
      <c r="I498" s="965">
        <v>18.68</v>
      </c>
      <c r="J498" s="965">
        <v>22.12</v>
      </c>
      <c r="K498" s="965">
        <v>25.28</v>
      </c>
      <c r="L498" s="965">
        <v>29.08</v>
      </c>
      <c r="O498" s="963">
        <f t="shared" si="28"/>
        <v>22.499200000000002</v>
      </c>
      <c r="P498" s="963">
        <f t="shared" si="29"/>
        <v>23.763200000000001</v>
      </c>
      <c r="R498" s="963">
        <f t="shared" si="30"/>
        <v>19.368000000000002</v>
      </c>
      <c r="S498" s="963">
        <f t="shared" si="31"/>
        <v>20.744</v>
      </c>
    </row>
    <row r="499" spans="1:19" hidden="1" x14ac:dyDescent="0.25">
      <c r="A499" t="s">
        <v>744</v>
      </c>
      <c r="B499" t="s">
        <v>745</v>
      </c>
      <c r="C499" s="24" t="s">
        <v>1732</v>
      </c>
      <c r="D499" t="s">
        <v>1733</v>
      </c>
      <c r="E499" s="965">
        <v>22.74</v>
      </c>
      <c r="F499" s="966">
        <v>47290</v>
      </c>
      <c r="G499" s="967">
        <v>1.1000000000000001</v>
      </c>
      <c r="H499" s="965">
        <v>18.47</v>
      </c>
      <c r="I499" s="965">
        <v>19.5</v>
      </c>
      <c r="J499" s="965">
        <v>22.82</v>
      </c>
      <c r="K499" s="965">
        <v>24.38</v>
      </c>
      <c r="L499" s="965">
        <v>26.6</v>
      </c>
      <c r="O499" s="963">
        <f t="shared" si="28"/>
        <v>23.007200000000001</v>
      </c>
      <c r="P499" s="963">
        <f t="shared" si="29"/>
        <v>23.6312</v>
      </c>
      <c r="R499" s="963">
        <f t="shared" si="30"/>
        <v>20.164000000000001</v>
      </c>
      <c r="S499" s="963">
        <f t="shared" si="31"/>
        <v>21.492000000000001</v>
      </c>
    </row>
    <row r="500" spans="1:19" hidden="1" x14ac:dyDescent="0.25">
      <c r="A500" t="s">
        <v>744</v>
      </c>
      <c r="B500" t="s">
        <v>745</v>
      </c>
      <c r="C500" s="24" t="s">
        <v>1734</v>
      </c>
      <c r="D500" t="s">
        <v>1735</v>
      </c>
      <c r="E500" s="965">
        <v>37.31</v>
      </c>
      <c r="F500" s="966">
        <v>77590</v>
      </c>
      <c r="G500" s="967">
        <v>0.8</v>
      </c>
      <c r="H500" s="965">
        <v>25.42</v>
      </c>
      <c r="I500" s="965">
        <v>30.05</v>
      </c>
      <c r="J500" s="965">
        <v>36.119999999999997</v>
      </c>
      <c r="K500" s="965">
        <v>42.65</v>
      </c>
      <c r="L500" s="965">
        <v>50.85</v>
      </c>
      <c r="O500" s="963">
        <f t="shared" si="28"/>
        <v>36.903599999999997</v>
      </c>
      <c r="P500" s="963">
        <f t="shared" si="29"/>
        <v>39.515599999999999</v>
      </c>
      <c r="R500" s="963">
        <f t="shared" si="30"/>
        <v>31.264000000000003</v>
      </c>
      <c r="S500" s="963">
        <f t="shared" si="31"/>
        <v>33.692</v>
      </c>
    </row>
    <row r="501" spans="1:19" hidden="1" x14ac:dyDescent="0.25">
      <c r="A501" t="s">
        <v>744</v>
      </c>
      <c r="B501" t="s">
        <v>745</v>
      </c>
      <c r="C501" s="24" t="s">
        <v>1736</v>
      </c>
      <c r="D501" t="s">
        <v>1737</v>
      </c>
      <c r="E501" s="965">
        <v>29.06</v>
      </c>
      <c r="F501" s="966">
        <v>60450</v>
      </c>
      <c r="G501" s="967">
        <v>6</v>
      </c>
      <c r="H501" s="965">
        <v>17.29</v>
      </c>
      <c r="I501" s="965">
        <v>23.19</v>
      </c>
      <c r="J501" s="965">
        <v>24.52</v>
      </c>
      <c r="K501" s="965">
        <v>36.17</v>
      </c>
      <c r="L501" s="965">
        <v>43.72</v>
      </c>
      <c r="O501" s="963">
        <f t="shared" si="28"/>
        <v>25.917999999999999</v>
      </c>
      <c r="P501" s="963">
        <f t="shared" si="29"/>
        <v>30.578000000000003</v>
      </c>
      <c r="R501" s="963">
        <f t="shared" si="30"/>
        <v>23.456</v>
      </c>
      <c r="S501" s="963">
        <f t="shared" si="31"/>
        <v>23.988</v>
      </c>
    </row>
    <row r="502" spans="1:19" hidden="1" x14ac:dyDescent="0.25">
      <c r="A502" t="s">
        <v>744</v>
      </c>
      <c r="B502" t="s">
        <v>745</v>
      </c>
      <c r="C502" s="24" t="s">
        <v>1738</v>
      </c>
      <c r="D502" t="s">
        <v>1739</v>
      </c>
      <c r="E502" s="965">
        <v>23.73</v>
      </c>
      <c r="F502" s="966">
        <v>49360</v>
      </c>
      <c r="G502" s="967">
        <v>0.5</v>
      </c>
      <c r="H502" s="965">
        <v>18.57</v>
      </c>
      <c r="I502" s="965">
        <v>21.44</v>
      </c>
      <c r="J502" s="965">
        <v>23.02</v>
      </c>
      <c r="K502" s="965">
        <v>26.7</v>
      </c>
      <c r="L502" s="965">
        <v>29.31</v>
      </c>
      <c r="O502" s="963">
        <f t="shared" si="28"/>
        <v>23.461600000000001</v>
      </c>
      <c r="P502" s="963">
        <f t="shared" si="29"/>
        <v>24.933599999999998</v>
      </c>
      <c r="R502" s="963">
        <f t="shared" si="30"/>
        <v>21.756</v>
      </c>
      <c r="S502" s="963">
        <f t="shared" si="31"/>
        <v>22.388000000000002</v>
      </c>
    </row>
    <row r="503" spans="1:19" hidden="1" x14ac:dyDescent="0.25">
      <c r="A503" t="s">
        <v>744</v>
      </c>
      <c r="B503" t="s">
        <v>745</v>
      </c>
      <c r="C503" s="24" t="s">
        <v>1740</v>
      </c>
      <c r="D503" t="s">
        <v>1741</v>
      </c>
      <c r="E503" s="965">
        <v>26.33</v>
      </c>
      <c r="F503" s="966">
        <v>54770</v>
      </c>
      <c r="G503" s="967">
        <v>0.6</v>
      </c>
      <c r="H503" s="965">
        <v>18</v>
      </c>
      <c r="I503" s="965">
        <v>21.38</v>
      </c>
      <c r="J503" s="965">
        <v>24.98</v>
      </c>
      <c r="K503" s="965">
        <v>29.83</v>
      </c>
      <c r="L503" s="965">
        <v>36.61</v>
      </c>
      <c r="O503" s="963">
        <f t="shared" si="28"/>
        <v>25.562000000000001</v>
      </c>
      <c r="P503" s="963">
        <f t="shared" si="29"/>
        <v>27.501999999999999</v>
      </c>
      <c r="R503" s="963">
        <f t="shared" si="30"/>
        <v>22.1</v>
      </c>
      <c r="S503" s="963">
        <f t="shared" si="31"/>
        <v>23.54</v>
      </c>
    </row>
    <row r="504" spans="1:19" hidden="1" x14ac:dyDescent="0.25">
      <c r="A504" t="s">
        <v>744</v>
      </c>
      <c r="B504" t="s">
        <v>745</v>
      </c>
      <c r="C504" s="24" t="s">
        <v>1742</v>
      </c>
      <c r="D504" t="s">
        <v>1743</v>
      </c>
      <c r="E504" s="965">
        <v>23.25</v>
      </c>
      <c r="F504" s="966">
        <v>48350</v>
      </c>
      <c r="G504" s="967">
        <v>1.8</v>
      </c>
      <c r="H504" s="965">
        <v>17.329999999999998</v>
      </c>
      <c r="I504" s="965">
        <v>19.93</v>
      </c>
      <c r="J504" s="965">
        <v>23.47</v>
      </c>
      <c r="K504" s="965">
        <v>25.72</v>
      </c>
      <c r="L504" s="965">
        <v>29.5</v>
      </c>
      <c r="O504" s="963">
        <f t="shared" si="28"/>
        <v>23.74</v>
      </c>
      <c r="P504" s="963">
        <f t="shared" si="29"/>
        <v>24.64</v>
      </c>
      <c r="R504" s="963">
        <f t="shared" si="30"/>
        <v>20.638000000000002</v>
      </c>
      <c r="S504" s="963">
        <f t="shared" si="31"/>
        <v>22.053999999999998</v>
      </c>
    </row>
    <row r="505" spans="1:19" hidden="1" x14ac:dyDescent="0.25">
      <c r="A505" t="s">
        <v>744</v>
      </c>
      <c r="B505" t="s">
        <v>745</v>
      </c>
      <c r="C505" s="24" t="s">
        <v>1744</v>
      </c>
      <c r="D505" t="s">
        <v>1745</v>
      </c>
      <c r="E505" s="965">
        <v>24.37</v>
      </c>
      <c r="F505" s="966">
        <v>50680</v>
      </c>
      <c r="G505" s="967">
        <v>0.5</v>
      </c>
      <c r="H505" s="965">
        <v>17.34</v>
      </c>
      <c r="I505" s="965">
        <v>19.829999999999998</v>
      </c>
      <c r="J505" s="965">
        <v>24.18</v>
      </c>
      <c r="K505" s="965">
        <v>27.23</v>
      </c>
      <c r="L505" s="965">
        <v>31.32</v>
      </c>
      <c r="O505" s="963">
        <f t="shared" si="28"/>
        <v>24.545999999999999</v>
      </c>
      <c r="P505" s="963">
        <f t="shared" si="29"/>
        <v>25.766000000000002</v>
      </c>
      <c r="R505" s="963">
        <f t="shared" si="30"/>
        <v>20.7</v>
      </c>
      <c r="S505" s="963">
        <f t="shared" si="31"/>
        <v>22.439999999999998</v>
      </c>
    </row>
    <row r="506" spans="1:19" hidden="1" x14ac:dyDescent="0.25">
      <c r="A506" t="s">
        <v>744</v>
      </c>
      <c r="B506" t="s">
        <v>745</v>
      </c>
      <c r="C506" s="24" t="s">
        <v>1746</v>
      </c>
      <c r="D506" t="s">
        <v>1747</v>
      </c>
      <c r="E506" s="965">
        <v>29.62</v>
      </c>
      <c r="F506" s="966">
        <v>61620</v>
      </c>
      <c r="G506" s="967">
        <v>6.6</v>
      </c>
      <c r="H506" s="965">
        <v>18.12</v>
      </c>
      <c r="I506" s="965">
        <v>21.48</v>
      </c>
      <c r="J506" s="965">
        <v>26.34</v>
      </c>
      <c r="K506" s="965">
        <v>39.9</v>
      </c>
      <c r="L506" s="965">
        <v>45.39</v>
      </c>
      <c r="O506" s="963">
        <f t="shared" si="28"/>
        <v>27.967200000000002</v>
      </c>
      <c r="P506" s="963">
        <f t="shared" si="29"/>
        <v>33.391199999999998</v>
      </c>
      <c r="R506" s="963">
        <f t="shared" si="30"/>
        <v>22.452000000000002</v>
      </c>
      <c r="S506" s="963">
        <f t="shared" si="31"/>
        <v>24.396000000000001</v>
      </c>
    </row>
    <row r="507" spans="1:19" hidden="1" x14ac:dyDescent="0.25">
      <c r="A507" t="s">
        <v>744</v>
      </c>
      <c r="B507" t="s">
        <v>745</v>
      </c>
      <c r="C507" s="24" t="s">
        <v>1748</v>
      </c>
      <c r="D507" t="s">
        <v>1749</v>
      </c>
      <c r="E507" s="965">
        <v>26.9</v>
      </c>
      <c r="F507" s="966">
        <v>55950</v>
      </c>
      <c r="G507" s="967">
        <v>2.2000000000000002</v>
      </c>
      <c r="H507" s="965">
        <v>20.75</v>
      </c>
      <c r="I507" s="965">
        <v>22.97</v>
      </c>
      <c r="J507" s="965">
        <v>26.33</v>
      </c>
      <c r="K507" s="965">
        <v>29.83</v>
      </c>
      <c r="L507" s="965">
        <v>35</v>
      </c>
      <c r="O507" s="963">
        <f t="shared" si="28"/>
        <v>26.75</v>
      </c>
      <c r="P507" s="963">
        <f t="shared" si="29"/>
        <v>28.15</v>
      </c>
      <c r="R507" s="963">
        <f t="shared" si="30"/>
        <v>23.641999999999999</v>
      </c>
      <c r="S507" s="963">
        <f t="shared" si="31"/>
        <v>24.985999999999997</v>
      </c>
    </row>
    <row r="508" spans="1:19" hidden="1" x14ac:dyDescent="0.25">
      <c r="A508" t="s">
        <v>744</v>
      </c>
      <c r="B508" t="s">
        <v>745</v>
      </c>
      <c r="C508" s="24" t="s">
        <v>1750</v>
      </c>
      <c r="D508" t="s">
        <v>1751</v>
      </c>
      <c r="E508" s="965">
        <v>21.59</v>
      </c>
      <c r="F508" s="966">
        <v>44900</v>
      </c>
      <c r="G508" s="967">
        <v>0.7</v>
      </c>
      <c r="H508" s="965">
        <v>16.71</v>
      </c>
      <c r="I508" s="965">
        <v>18.09</v>
      </c>
      <c r="J508" s="965">
        <v>21.41</v>
      </c>
      <c r="K508" s="965">
        <v>23.29</v>
      </c>
      <c r="L508" s="965">
        <v>28.02</v>
      </c>
      <c r="O508" s="963">
        <f t="shared" si="28"/>
        <v>21.6356</v>
      </c>
      <c r="P508" s="963">
        <f t="shared" si="29"/>
        <v>22.387599999999999</v>
      </c>
      <c r="R508" s="963">
        <f t="shared" si="30"/>
        <v>18.754000000000001</v>
      </c>
      <c r="S508" s="963">
        <f t="shared" si="31"/>
        <v>20.082000000000001</v>
      </c>
    </row>
    <row r="509" spans="1:19" hidden="1" x14ac:dyDescent="0.25">
      <c r="A509" t="s">
        <v>744</v>
      </c>
      <c r="B509" t="s">
        <v>745</v>
      </c>
      <c r="C509" s="24" t="s">
        <v>1752</v>
      </c>
      <c r="D509" t="s">
        <v>1753</v>
      </c>
      <c r="E509" s="965">
        <v>24.75</v>
      </c>
      <c r="F509" s="966">
        <v>51480</v>
      </c>
      <c r="G509" s="967">
        <v>0.5</v>
      </c>
      <c r="H509" s="965">
        <v>16.309999999999999</v>
      </c>
      <c r="I509" s="965">
        <v>18.8</v>
      </c>
      <c r="J509" s="965">
        <v>23.17</v>
      </c>
      <c r="K509" s="965">
        <v>28.8</v>
      </c>
      <c r="L509" s="965">
        <v>35.64</v>
      </c>
      <c r="O509" s="963">
        <f t="shared" si="28"/>
        <v>23.845600000000001</v>
      </c>
      <c r="P509" s="963">
        <f t="shared" si="29"/>
        <v>26.0976</v>
      </c>
      <c r="R509" s="963">
        <f t="shared" si="30"/>
        <v>19.674000000000003</v>
      </c>
      <c r="S509" s="963">
        <f t="shared" si="31"/>
        <v>21.422000000000001</v>
      </c>
    </row>
    <row r="510" spans="1:19" hidden="1" x14ac:dyDescent="0.25">
      <c r="A510" t="s">
        <v>744</v>
      </c>
      <c r="B510" t="s">
        <v>745</v>
      </c>
      <c r="C510" s="24" t="s">
        <v>1754</v>
      </c>
      <c r="D510" t="s">
        <v>1755</v>
      </c>
      <c r="E510" s="965">
        <v>22.34</v>
      </c>
      <c r="F510" s="966">
        <v>46460</v>
      </c>
      <c r="G510" s="967">
        <v>2.6</v>
      </c>
      <c r="H510" s="965">
        <v>18</v>
      </c>
      <c r="I510" s="965">
        <v>18.77</v>
      </c>
      <c r="J510" s="965">
        <v>21.56</v>
      </c>
      <c r="K510" s="965">
        <v>23.98</v>
      </c>
      <c r="L510" s="965">
        <v>29.17</v>
      </c>
      <c r="O510" s="963">
        <f t="shared" si="28"/>
        <v>21.8504</v>
      </c>
      <c r="P510" s="963">
        <f t="shared" si="29"/>
        <v>22.8184</v>
      </c>
      <c r="R510" s="963">
        <f t="shared" si="30"/>
        <v>19.327999999999999</v>
      </c>
      <c r="S510" s="963">
        <f t="shared" si="31"/>
        <v>20.443999999999999</v>
      </c>
    </row>
    <row r="511" spans="1:19" hidden="1" x14ac:dyDescent="0.25">
      <c r="A511" t="s">
        <v>744</v>
      </c>
      <c r="B511" t="s">
        <v>745</v>
      </c>
      <c r="C511" s="24" t="s">
        <v>1756</v>
      </c>
      <c r="D511" t="s">
        <v>1757</v>
      </c>
      <c r="E511" s="965">
        <v>25.17</v>
      </c>
      <c r="F511" s="966">
        <v>52360</v>
      </c>
      <c r="G511" s="967">
        <v>3.4</v>
      </c>
      <c r="H511" s="965">
        <v>22.24</v>
      </c>
      <c r="I511" s="965">
        <v>24.78</v>
      </c>
      <c r="J511" s="965">
        <v>25</v>
      </c>
      <c r="K511" s="965">
        <v>25</v>
      </c>
      <c r="L511" s="965">
        <v>26.89</v>
      </c>
      <c r="O511" s="963">
        <f t="shared" si="28"/>
        <v>25</v>
      </c>
      <c r="P511" s="963">
        <f t="shared" si="29"/>
        <v>25</v>
      </c>
      <c r="R511" s="963">
        <f t="shared" si="30"/>
        <v>24.824000000000002</v>
      </c>
      <c r="S511" s="963">
        <f t="shared" si="31"/>
        <v>24.911999999999999</v>
      </c>
    </row>
    <row r="512" spans="1:19" hidden="1" x14ac:dyDescent="0.25">
      <c r="A512" t="s">
        <v>744</v>
      </c>
      <c r="B512" t="s">
        <v>745</v>
      </c>
      <c r="C512" s="24" t="s">
        <v>1758</v>
      </c>
      <c r="D512" t="s">
        <v>1759</v>
      </c>
      <c r="E512" s="965">
        <v>30.08</v>
      </c>
      <c r="F512" s="966">
        <v>62570</v>
      </c>
      <c r="G512" s="967">
        <v>3.1</v>
      </c>
      <c r="H512" s="965">
        <v>23.62</v>
      </c>
      <c r="I512" s="965">
        <v>28.47</v>
      </c>
      <c r="J512" s="965">
        <v>31.27</v>
      </c>
      <c r="K512" s="965">
        <v>31.33</v>
      </c>
      <c r="L512" s="965">
        <v>34.56</v>
      </c>
      <c r="O512" s="963">
        <f t="shared" si="28"/>
        <v>31.277200000000001</v>
      </c>
      <c r="P512" s="963">
        <f t="shared" si="29"/>
        <v>31.301199999999998</v>
      </c>
      <c r="R512" s="963">
        <f t="shared" si="30"/>
        <v>29.03</v>
      </c>
      <c r="S512" s="963">
        <f t="shared" si="31"/>
        <v>30.15</v>
      </c>
    </row>
    <row r="513" spans="1:19" hidden="1" x14ac:dyDescent="0.25">
      <c r="A513" t="s">
        <v>744</v>
      </c>
      <c r="B513" t="s">
        <v>745</v>
      </c>
      <c r="C513" s="24" t="s">
        <v>1760</v>
      </c>
      <c r="D513" t="s">
        <v>1761</v>
      </c>
      <c r="E513" s="965">
        <v>26.66</v>
      </c>
      <c r="F513" s="966">
        <v>55460</v>
      </c>
      <c r="G513" s="967">
        <v>1.2</v>
      </c>
      <c r="H513" s="965">
        <v>15.53</v>
      </c>
      <c r="I513" s="965">
        <v>15.53</v>
      </c>
      <c r="J513" s="965">
        <v>24.21</v>
      </c>
      <c r="K513" s="965">
        <v>32.82</v>
      </c>
      <c r="L513" s="965">
        <v>41.92</v>
      </c>
      <c r="O513" s="963">
        <f t="shared" si="28"/>
        <v>25.243200000000002</v>
      </c>
      <c r="P513" s="963">
        <f t="shared" si="29"/>
        <v>28.687200000000001</v>
      </c>
      <c r="R513" s="963">
        <f t="shared" si="30"/>
        <v>17.266000000000002</v>
      </c>
      <c r="S513" s="963">
        <f t="shared" si="31"/>
        <v>20.738</v>
      </c>
    </row>
    <row r="514" spans="1:19" hidden="1" x14ac:dyDescent="0.25">
      <c r="A514" t="s">
        <v>744</v>
      </c>
      <c r="B514" t="s">
        <v>745</v>
      </c>
      <c r="C514" s="24" t="s">
        <v>1762</v>
      </c>
      <c r="D514" t="s">
        <v>1763</v>
      </c>
      <c r="E514" s="965">
        <v>22.35</v>
      </c>
      <c r="F514" s="966">
        <v>46490</v>
      </c>
      <c r="G514" s="967">
        <v>3</v>
      </c>
      <c r="H514" s="965">
        <v>16.559999999999999</v>
      </c>
      <c r="I514" s="965">
        <v>17.66</v>
      </c>
      <c r="J514" s="965">
        <v>20.34</v>
      </c>
      <c r="K514" s="965">
        <v>25.6</v>
      </c>
      <c r="L514" s="965">
        <v>29.68</v>
      </c>
      <c r="O514" s="963">
        <f t="shared" ref="O514:O577" si="32">_xlfn.PERCENTILE.INC((H514:L514),$W$1)</f>
        <v>20.9712</v>
      </c>
      <c r="P514" s="963">
        <f t="shared" ref="P514:P577" si="33">_xlfn.PERCENTILE.INC((H514:L514),$X$1)</f>
        <v>23.075200000000002</v>
      </c>
      <c r="R514" s="963">
        <f t="shared" si="30"/>
        <v>18.196000000000002</v>
      </c>
      <c r="S514" s="963">
        <f t="shared" si="31"/>
        <v>19.268000000000001</v>
      </c>
    </row>
    <row r="515" spans="1:19" hidden="1" x14ac:dyDescent="0.25">
      <c r="A515" t="s">
        <v>744</v>
      </c>
      <c r="B515" t="s">
        <v>745</v>
      </c>
      <c r="C515" s="24" t="s">
        <v>1764</v>
      </c>
      <c r="D515" t="s">
        <v>1765</v>
      </c>
      <c r="E515" s="965">
        <v>29.67</v>
      </c>
      <c r="F515" s="966">
        <v>61700</v>
      </c>
      <c r="G515" s="967">
        <v>3</v>
      </c>
      <c r="H515" s="965">
        <v>19.11</v>
      </c>
      <c r="I515" s="965">
        <v>22.22</v>
      </c>
      <c r="J515" s="965">
        <v>26.39</v>
      </c>
      <c r="K515" s="965">
        <v>34.950000000000003</v>
      </c>
      <c r="L515" s="965">
        <v>41.27</v>
      </c>
      <c r="O515" s="963">
        <f t="shared" si="32"/>
        <v>27.417200000000001</v>
      </c>
      <c r="P515" s="963">
        <f t="shared" si="33"/>
        <v>30.841200000000001</v>
      </c>
      <c r="R515" s="963">
        <f t="shared" ref="R515:R578" si="34">_xlfn.PERCENTILE.INC((H515:L515),$Y$1)</f>
        <v>23.053999999999998</v>
      </c>
      <c r="S515" s="963">
        <f t="shared" ref="S515:S578" si="35">_xlfn.PERCENTILE.INC((H515:L515),$Z$1)</f>
        <v>24.722000000000001</v>
      </c>
    </row>
    <row r="516" spans="1:19" hidden="1" x14ac:dyDescent="0.25">
      <c r="A516" t="s">
        <v>744</v>
      </c>
      <c r="B516" t="s">
        <v>745</v>
      </c>
      <c r="C516" s="24" t="s">
        <v>1766</v>
      </c>
      <c r="D516" t="s">
        <v>1767</v>
      </c>
      <c r="E516" s="965">
        <v>20.05</v>
      </c>
      <c r="F516" s="966">
        <v>41700</v>
      </c>
      <c r="G516" s="967">
        <v>2.8</v>
      </c>
      <c r="H516" s="965">
        <v>16.190000000000001</v>
      </c>
      <c r="I516" s="965">
        <v>17.04</v>
      </c>
      <c r="J516" s="965">
        <v>18.649999999999999</v>
      </c>
      <c r="K516" s="965">
        <v>21.78</v>
      </c>
      <c r="L516" s="965">
        <v>26.76</v>
      </c>
      <c r="O516" s="963">
        <f t="shared" si="32"/>
        <v>19.025600000000001</v>
      </c>
      <c r="P516" s="963">
        <f t="shared" si="33"/>
        <v>20.2776</v>
      </c>
      <c r="R516" s="963">
        <f t="shared" si="34"/>
        <v>17.361999999999998</v>
      </c>
      <c r="S516" s="963">
        <f t="shared" si="35"/>
        <v>18.006</v>
      </c>
    </row>
    <row r="517" spans="1:19" hidden="1" x14ac:dyDescent="0.25">
      <c r="A517" t="s">
        <v>744</v>
      </c>
      <c r="B517" t="s">
        <v>745</v>
      </c>
      <c r="C517" s="24" t="s">
        <v>1768</v>
      </c>
      <c r="D517" t="s">
        <v>1769</v>
      </c>
      <c r="E517" s="965">
        <v>20.46</v>
      </c>
      <c r="F517" s="966">
        <v>42560</v>
      </c>
      <c r="G517" s="967">
        <v>2.1</v>
      </c>
      <c r="H517" s="965">
        <v>16.73</v>
      </c>
      <c r="I517" s="965">
        <v>17.3</v>
      </c>
      <c r="J517" s="965">
        <v>18.25</v>
      </c>
      <c r="K517" s="965">
        <v>22.81</v>
      </c>
      <c r="L517" s="965">
        <v>28.26</v>
      </c>
      <c r="O517" s="963">
        <f t="shared" si="32"/>
        <v>18.7972</v>
      </c>
      <c r="P517" s="963">
        <f t="shared" si="33"/>
        <v>20.621199999999998</v>
      </c>
      <c r="R517" s="963">
        <f t="shared" si="34"/>
        <v>17.490000000000002</v>
      </c>
      <c r="S517" s="963">
        <f t="shared" si="35"/>
        <v>17.87</v>
      </c>
    </row>
    <row r="518" spans="1:19" hidden="1" x14ac:dyDescent="0.25">
      <c r="A518" t="s">
        <v>744</v>
      </c>
      <c r="B518" t="s">
        <v>745</v>
      </c>
      <c r="C518" s="24" t="s">
        <v>1770</v>
      </c>
      <c r="D518" t="s">
        <v>1771</v>
      </c>
      <c r="E518" s="965">
        <v>19.25</v>
      </c>
      <c r="F518" s="966">
        <v>40050</v>
      </c>
      <c r="G518" s="967">
        <v>3.9</v>
      </c>
      <c r="H518" s="965">
        <v>15</v>
      </c>
      <c r="I518" s="965">
        <v>17</v>
      </c>
      <c r="J518" s="965">
        <v>18.8</v>
      </c>
      <c r="K518" s="965">
        <v>20.09</v>
      </c>
      <c r="L518" s="965">
        <v>20.41</v>
      </c>
      <c r="O518" s="963">
        <f t="shared" si="32"/>
        <v>18.954800000000002</v>
      </c>
      <c r="P518" s="963">
        <f t="shared" si="33"/>
        <v>19.470800000000001</v>
      </c>
      <c r="R518" s="963">
        <f t="shared" si="34"/>
        <v>17.36</v>
      </c>
      <c r="S518" s="963">
        <f t="shared" si="35"/>
        <v>18.080000000000002</v>
      </c>
    </row>
    <row r="519" spans="1:19" hidden="1" x14ac:dyDescent="0.25">
      <c r="A519" t="s">
        <v>744</v>
      </c>
      <c r="B519" t="s">
        <v>745</v>
      </c>
      <c r="C519" s="24" t="s">
        <v>1772</v>
      </c>
      <c r="D519" t="s">
        <v>1773</v>
      </c>
      <c r="E519" s="965">
        <v>22.17</v>
      </c>
      <c r="F519" s="966">
        <v>46120</v>
      </c>
      <c r="G519" s="967">
        <v>11.6</v>
      </c>
      <c r="H519" s="965">
        <v>17.82</v>
      </c>
      <c r="I519" s="965">
        <v>18.75</v>
      </c>
      <c r="J519" s="965">
        <v>22.5</v>
      </c>
      <c r="K519" s="965">
        <v>23.44</v>
      </c>
      <c r="L519" s="965">
        <v>24.04</v>
      </c>
      <c r="O519" s="963">
        <f t="shared" si="32"/>
        <v>22.6128</v>
      </c>
      <c r="P519" s="963">
        <f t="shared" si="33"/>
        <v>22.988800000000001</v>
      </c>
      <c r="R519" s="963">
        <f t="shared" si="34"/>
        <v>19.5</v>
      </c>
      <c r="S519" s="963">
        <f t="shared" si="35"/>
        <v>21</v>
      </c>
    </row>
    <row r="520" spans="1:19" hidden="1" x14ac:dyDescent="0.25">
      <c r="A520" t="s">
        <v>744</v>
      </c>
      <c r="B520" t="s">
        <v>745</v>
      </c>
      <c r="C520" s="24" t="s">
        <v>1774</v>
      </c>
      <c r="D520" t="s">
        <v>1775</v>
      </c>
      <c r="E520" s="965">
        <v>38.04</v>
      </c>
      <c r="F520" s="966">
        <v>79120</v>
      </c>
      <c r="G520" s="967">
        <v>0.8</v>
      </c>
      <c r="H520" s="965">
        <v>21.95</v>
      </c>
      <c r="I520" s="965">
        <v>26.6</v>
      </c>
      <c r="J520" s="965">
        <v>36.61</v>
      </c>
      <c r="K520" s="965">
        <v>47.44</v>
      </c>
      <c r="L520" s="965">
        <v>59.28</v>
      </c>
      <c r="O520" s="963">
        <f t="shared" si="32"/>
        <v>37.909599999999998</v>
      </c>
      <c r="P520" s="963">
        <f t="shared" si="33"/>
        <v>42.241599999999998</v>
      </c>
      <c r="R520" s="963">
        <f t="shared" si="34"/>
        <v>28.602000000000004</v>
      </c>
      <c r="S520" s="963">
        <f t="shared" si="35"/>
        <v>32.606000000000002</v>
      </c>
    </row>
    <row r="521" spans="1:19" hidden="1" x14ac:dyDescent="0.25">
      <c r="A521" t="s">
        <v>744</v>
      </c>
      <c r="B521" t="s">
        <v>745</v>
      </c>
      <c r="C521" s="24" t="s">
        <v>1776</v>
      </c>
      <c r="D521" t="s">
        <v>1777</v>
      </c>
      <c r="E521" s="965">
        <v>47.65</v>
      </c>
      <c r="F521" s="966">
        <v>99110</v>
      </c>
      <c r="G521" s="967">
        <v>1</v>
      </c>
      <c r="H521" s="965">
        <v>30.48</v>
      </c>
      <c r="I521" s="965">
        <v>37.51</v>
      </c>
      <c r="J521" s="965">
        <v>46.96</v>
      </c>
      <c r="K521" s="965">
        <v>58.34</v>
      </c>
      <c r="L521" s="965">
        <v>63.86</v>
      </c>
      <c r="O521" s="963">
        <f t="shared" si="32"/>
        <v>48.325600000000001</v>
      </c>
      <c r="P521" s="963">
        <f t="shared" si="33"/>
        <v>52.877600000000001</v>
      </c>
      <c r="R521" s="963">
        <f t="shared" si="34"/>
        <v>39.4</v>
      </c>
      <c r="S521" s="963">
        <f t="shared" si="35"/>
        <v>43.18</v>
      </c>
    </row>
    <row r="522" spans="1:19" hidden="1" x14ac:dyDescent="0.25">
      <c r="A522" t="s">
        <v>744</v>
      </c>
      <c r="B522" t="s">
        <v>745</v>
      </c>
      <c r="C522" s="24" t="s">
        <v>1778</v>
      </c>
      <c r="D522" t="s">
        <v>1779</v>
      </c>
      <c r="E522" s="965">
        <v>42.38</v>
      </c>
      <c r="F522" s="966">
        <v>88150</v>
      </c>
      <c r="G522" s="967">
        <v>5.6</v>
      </c>
      <c r="H522" s="965">
        <v>26.75</v>
      </c>
      <c r="I522" s="965">
        <v>35.1</v>
      </c>
      <c r="J522" s="965">
        <v>41.19</v>
      </c>
      <c r="K522" s="965">
        <v>50.63</v>
      </c>
      <c r="L522" s="965">
        <v>62.03</v>
      </c>
      <c r="O522" s="963">
        <f t="shared" si="32"/>
        <v>42.322800000000001</v>
      </c>
      <c r="P522" s="963">
        <f t="shared" si="33"/>
        <v>46.098799999999997</v>
      </c>
      <c r="R522" s="963">
        <f t="shared" si="34"/>
        <v>36.318000000000005</v>
      </c>
      <c r="S522" s="963">
        <f t="shared" si="35"/>
        <v>38.753999999999998</v>
      </c>
    </row>
    <row r="523" spans="1:19" hidden="1" x14ac:dyDescent="0.25">
      <c r="A523" t="s">
        <v>744</v>
      </c>
      <c r="B523" t="s">
        <v>745</v>
      </c>
      <c r="C523" s="24" t="s">
        <v>1780</v>
      </c>
      <c r="D523" t="s">
        <v>1781</v>
      </c>
      <c r="E523" s="965">
        <v>29.45</v>
      </c>
      <c r="F523" s="966">
        <v>61250</v>
      </c>
      <c r="G523" s="967">
        <v>4.2</v>
      </c>
      <c r="H523" s="965">
        <v>23.44</v>
      </c>
      <c r="I523" s="965">
        <v>25.07</v>
      </c>
      <c r="J523" s="965">
        <v>28.6</v>
      </c>
      <c r="K523" s="965">
        <v>31.67</v>
      </c>
      <c r="L523" s="965">
        <v>38.69</v>
      </c>
      <c r="O523" s="963">
        <f t="shared" si="32"/>
        <v>28.968400000000003</v>
      </c>
      <c r="P523" s="963">
        <f t="shared" si="33"/>
        <v>30.196400000000001</v>
      </c>
      <c r="R523" s="963">
        <f t="shared" si="34"/>
        <v>25.776</v>
      </c>
      <c r="S523" s="963">
        <f t="shared" si="35"/>
        <v>27.188000000000002</v>
      </c>
    </row>
    <row r="524" spans="1:19" hidden="1" x14ac:dyDescent="0.25">
      <c r="A524" t="s">
        <v>744</v>
      </c>
      <c r="B524" t="s">
        <v>745</v>
      </c>
      <c r="C524" s="24" t="s">
        <v>1782</v>
      </c>
      <c r="D524" t="s">
        <v>1783</v>
      </c>
      <c r="E524" s="965">
        <v>36.01</v>
      </c>
      <c r="F524" s="966">
        <v>74900</v>
      </c>
      <c r="G524" s="967">
        <v>2.5</v>
      </c>
      <c r="H524" s="965">
        <v>22.62</v>
      </c>
      <c r="I524" s="965">
        <v>27.26</v>
      </c>
      <c r="J524" s="965">
        <v>31.86</v>
      </c>
      <c r="K524" s="965">
        <v>44.41</v>
      </c>
      <c r="L524" s="965">
        <v>56.4</v>
      </c>
      <c r="O524" s="963">
        <f t="shared" si="32"/>
        <v>33.366</v>
      </c>
      <c r="P524" s="963">
        <f t="shared" si="33"/>
        <v>38.385999999999996</v>
      </c>
      <c r="R524" s="963">
        <f t="shared" si="34"/>
        <v>28.180000000000003</v>
      </c>
      <c r="S524" s="963">
        <f t="shared" si="35"/>
        <v>30.02</v>
      </c>
    </row>
    <row r="525" spans="1:19" hidden="1" x14ac:dyDescent="0.25">
      <c r="A525" t="s">
        <v>744</v>
      </c>
      <c r="B525" t="s">
        <v>745</v>
      </c>
      <c r="C525" s="24" t="s">
        <v>1784</v>
      </c>
      <c r="D525" t="s">
        <v>1785</v>
      </c>
      <c r="E525" s="965">
        <v>33.020000000000003</v>
      </c>
      <c r="F525" s="966">
        <v>68680</v>
      </c>
      <c r="G525" s="967">
        <v>11.2</v>
      </c>
      <c r="H525" s="965">
        <v>23.13</v>
      </c>
      <c r="I525" s="965">
        <v>27.23</v>
      </c>
      <c r="J525" s="965">
        <v>29.35</v>
      </c>
      <c r="K525" s="965">
        <v>42.06</v>
      </c>
      <c r="L525" s="965">
        <v>45.4</v>
      </c>
      <c r="O525" s="963">
        <f t="shared" si="32"/>
        <v>30.875200000000003</v>
      </c>
      <c r="P525" s="963">
        <f t="shared" si="33"/>
        <v>35.959200000000003</v>
      </c>
      <c r="R525" s="963">
        <f t="shared" si="34"/>
        <v>27.654</v>
      </c>
      <c r="S525" s="963">
        <f t="shared" si="35"/>
        <v>28.502000000000002</v>
      </c>
    </row>
    <row r="526" spans="1:19" hidden="1" x14ac:dyDescent="0.25">
      <c r="A526" t="s">
        <v>744</v>
      </c>
      <c r="B526" t="s">
        <v>745</v>
      </c>
      <c r="C526" s="24" t="s">
        <v>1786</v>
      </c>
      <c r="D526" t="s">
        <v>1787</v>
      </c>
      <c r="E526" s="965">
        <v>38.700000000000003</v>
      </c>
      <c r="F526" s="966">
        <v>80500</v>
      </c>
      <c r="G526" s="967">
        <v>16.3</v>
      </c>
      <c r="H526" s="965">
        <v>23.3</v>
      </c>
      <c r="I526" s="965">
        <v>26.29</v>
      </c>
      <c r="J526" s="965">
        <v>36.04</v>
      </c>
      <c r="K526" s="965">
        <v>51.77</v>
      </c>
      <c r="L526" s="965">
        <v>51.78</v>
      </c>
      <c r="O526" s="963">
        <f t="shared" si="32"/>
        <v>37.927599999999998</v>
      </c>
      <c r="P526" s="963">
        <f t="shared" si="33"/>
        <v>44.2196</v>
      </c>
      <c r="R526" s="963">
        <f t="shared" si="34"/>
        <v>28.240000000000002</v>
      </c>
      <c r="S526" s="963">
        <f t="shared" si="35"/>
        <v>32.14</v>
      </c>
    </row>
    <row r="527" spans="1:19" hidden="1" x14ac:dyDescent="0.25">
      <c r="A527" t="s">
        <v>744</v>
      </c>
      <c r="B527" t="s">
        <v>745</v>
      </c>
      <c r="C527" s="24" t="s">
        <v>1788</v>
      </c>
      <c r="D527" t="s">
        <v>1789</v>
      </c>
      <c r="E527" s="965" t="s">
        <v>719</v>
      </c>
      <c r="F527" s="966" t="s">
        <v>719</v>
      </c>
      <c r="G527" s="967" t="s">
        <v>719</v>
      </c>
      <c r="H527" s="965" t="s">
        <v>719</v>
      </c>
      <c r="I527" s="965" t="s">
        <v>719</v>
      </c>
      <c r="J527" s="965" t="s">
        <v>719</v>
      </c>
      <c r="K527" s="965" t="s">
        <v>719</v>
      </c>
      <c r="L527" s="965" t="s">
        <v>719</v>
      </c>
      <c r="O527" s="963" t="e">
        <f t="shared" si="32"/>
        <v>#NUM!</v>
      </c>
      <c r="P527" s="963" t="e">
        <f t="shared" si="33"/>
        <v>#NUM!</v>
      </c>
      <c r="R527" s="963" t="e">
        <f t="shared" si="34"/>
        <v>#NUM!</v>
      </c>
      <c r="S527" s="963" t="e">
        <f t="shared" si="35"/>
        <v>#NUM!</v>
      </c>
    </row>
    <row r="528" spans="1:19" hidden="1" x14ac:dyDescent="0.25">
      <c r="A528" t="s">
        <v>744</v>
      </c>
      <c r="B528" t="s">
        <v>745</v>
      </c>
      <c r="C528" s="24" t="s">
        <v>1790</v>
      </c>
      <c r="D528" t="s">
        <v>1791</v>
      </c>
      <c r="E528" s="965">
        <v>39.799999999999997</v>
      </c>
      <c r="F528" s="966">
        <v>82770</v>
      </c>
      <c r="G528" s="967">
        <v>3.6</v>
      </c>
      <c r="H528" s="965">
        <v>26.29</v>
      </c>
      <c r="I528" s="965">
        <v>30.34</v>
      </c>
      <c r="J528" s="965">
        <v>37.619999999999997</v>
      </c>
      <c r="K528" s="965">
        <v>45.6</v>
      </c>
      <c r="L528" s="965">
        <v>61.78</v>
      </c>
      <c r="O528" s="963">
        <f t="shared" si="32"/>
        <v>38.577599999999997</v>
      </c>
      <c r="P528" s="963">
        <f t="shared" si="33"/>
        <v>41.769599999999997</v>
      </c>
      <c r="R528" s="963">
        <f t="shared" si="34"/>
        <v>31.795999999999999</v>
      </c>
      <c r="S528" s="963">
        <f t="shared" si="35"/>
        <v>34.707999999999998</v>
      </c>
    </row>
    <row r="529" spans="1:19" hidden="1" x14ac:dyDescent="0.25">
      <c r="A529" t="s">
        <v>744</v>
      </c>
      <c r="B529" t="s">
        <v>745</v>
      </c>
      <c r="C529" s="24" t="s">
        <v>1792</v>
      </c>
      <c r="D529" t="s">
        <v>1793</v>
      </c>
      <c r="E529" s="965">
        <v>32.590000000000003</v>
      </c>
      <c r="F529" s="966">
        <v>67780</v>
      </c>
      <c r="G529" s="967">
        <v>2.4</v>
      </c>
      <c r="H529" s="965">
        <v>20.37</v>
      </c>
      <c r="I529" s="965">
        <v>22.98</v>
      </c>
      <c r="J529" s="965">
        <v>29.44</v>
      </c>
      <c r="K529" s="965">
        <v>40.5</v>
      </c>
      <c r="L529" s="965">
        <v>44.72</v>
      </c>
      <c r="O529" s="963">
        <f t="shared" si="32"/>
        <v>30.767200000000003</v>
      </c>
      <c r="P529" s="963">
        <f t="shared" si="33"/>
        <v>35.191200000000002</v>
      </c>
      <c r="R529" s="963">
        <f t="shared" si="34"/>
        <v>24.272000000000002</v>
      </c>
      <c r="S529" s="963">
        <f t="shared" si="35"/>
        <v>26.856000000000002</v>
      </c>
    </row>
    <row r="530" spans="1:19" hidden="1" x14ac:dyDescent="0.25">
      <c r="A530" t="s">
        <v>744</v>
      </c>
      <c r="B530" t="s">
        <v>745</v>
      </c>
      <c r="C530" s="24" t="s">
        <v>1794</v>
      </c>
      <c r="D530" t="s">
        <v>1795</v>
      </c>
      <c r="E530" s="965">
        <v>30.97</v>
      </c>
      <c r="F530" s="966">
        <v>64430</v>
      </c>
      <c r="G530" s="967">
        <v>9.1</v>
      </c>
      <c r="H530" s="965">
        <v>19.91</v>
      </c>
      <c r="I530" s="965">
        <v>23.65</v>
      </c>
      <c r="J530" s="965">
        <v>26.3</v>
      </c>
      <c r="K530" s="965">
        <v>38.9</v>
      </c>
      <c r="L530" s="965">
        <v>42.13</v>
      </c>
      <c r="O530" s="963">
        <f t="shared" si="32"/>
        <v>27.812000000000001</v>
      </c>
      <c r="P530" s="963">
        <f t="shared" si="33"/>
        <v>32.851999999999997</v>
      </c>
      <c r="R530" s="963">
        <f t="shared" si="34"/>
        <v>24.18</v>
      </c>
      <c r="S530" s="963">
        <f t="shared" si="35"/>
        <v>25.24</v>
      </c>
    </row>
    <row r="531" spans="1:19" hidden="1" x14ac:dyDescent="0.25">
      <c r="A531" t="s">
        <v>744</v>
      </c>
      <c r="B531" t="s">
        <v>745</v>
      </c>
      <c r="C531" s="24" t="s">
        <v>1796</v>
      </c>
      <c r="D531" t="s">
        <v>1797</v>
      </c>
      <c r="E531" s="965">
        <v>47.39</v>
      </c>
      <c r="F531" s="966">
        <v>98570</v>
      </c>
      <c r="G531" s="967">
        <v>5.3</v>
      </c>
      <c r="H531" s="965">
        <v>29.35</v>
      </c>
      <c r="I531" s="965">
        <v>38.43</v>
      </c>
      <c r="J531" s="965">
        <v>51.57</v>
      </c>
      <c r="K531" s="965">
        <v>56.04</v>
      </c>
      <c r="L531" s="965">
        <v>59</v>
      </c>
      <c r="O531" s="963">
        <f t="shared" si="32"/>
        <v>52.106400000000001</v>
      </c>
      <c r="P531" s="963">
        <f t="shared" si="33"/>
        <v>53.894399999999997</v>
      </c>
      <c r="R531" s="963">
        <f t="shared" si="34"/>
        <v>41.058</v>
      </c>
      <c r="S531" s="963">
        <f t="shared" si="35"/>
        <v>46.314</v>
      </c>
    </row>
    <row r="532" spans="1:19" hidden="1" x14ac:dyDescent="0.25">
      <c r="A532" t="s">
        <v>744</v>
      </c>
      <c r="B532" t="s">
        <v>745</v>
      </c>
      <c r="C532" s="24" t="s">
        <v>1798</v>
      </c>
      <c r="D532" t="s">
        <v>1799</v>
      </c>
      <c r="E532" s="965">
        <v>37.75</v>
      </c>
      <c r="F532" s="966">
        <v>78530</v>
      </c>
      <c r="G532" s="967">
        <v>1.8</v>
      </c>
      <c r="H532" s="965">
        <v>23.35</v>
      </c>
      <c r="I532" s="965">
        <v>28.5</v>
      </c>
      <c r="J532" s="965">
        <v>33</v>
      </c>
      <c r="K532" s="965">
        <v>47.33</v>
      </c>
      <c r="L532" s="965">
        <v>54.37</v>
      </c>
      <c r="O532" s="963">
        <f t="shared" si="32"/>
        <v>34.7196</v>
      </c>
      <c r="P532" s="963">
        <f t="shared" si="33"/>
        <v>40.451599999999999</v>
      </c>
      <c r="R532" s="963">
        <f t="shared" si="34"/>
        <v>29.400000000000002</v>
      </c>
      <c r="S532" s="963">
        <f t="shared" si="35"/>
        <v>31.2</v>
      </c>
    </row>
    <row r="533" spans="1:19" hidden="1" x14ac:dyDescent="0.25">
      <c r="A533" t="s">
        <v>744</v>
      </c>
      <c r="B533" t="s">
        <v>745</v>
      </c>
      <c r="C533" s="24" t="s">
        <v>1800</v>
      </c>
      <c r="D533" t="s">
        <v>1801</v>
      </c>
      <c r="E533" s="965">
        <v>29.93</v>
      </c>
      <c r="F533" s="966">
        <v>62260</v>
      </c>
      <c r="G533" s="967">
        <v>5.2</v>
      </c>
      <c r="H533" s="965">
        <v>19.32</v>
      </c>
      <c r="I533" s="965">
        <v>23.53</v>
      </c>
      <c r="J533" s="965">
        <v>31.96</v>
      </c>
      <c r="K533" s="965">
        <v>35.119999999999997</v>
      </c>
      <c r="L533" s="965">
        <v>37.39</v>
      </c>
      <c r="O533" s="963">
        <f t="shared" si="32"/>
        <v>32.339199999999998</v>
      </c>
      <c r="P533" s="963">
        <f t="shared" si="33"/>
        <v>33.603200000000001</v>
      </c>
      <c r="R533" s="963">
        <f t="shared" si="34"/>
        <v>25.216000000000001</v>
      </c>
      <c r="S533" s="963">
        <f t="shared" si="35"/>
        <v>28.588000000000001</v>
      </c>
    </row>
    <row r="534" spans="1:19" hidden="1" x14ac:dyDescent="0.25">
      <c r="A534" t="s">
        <v>744</v>
      </c>
      <c r="B534" t="s">
        <v>745</v>
      </c>
      <c r="C534" s="24" t="s">
        <v>1802</v>
      </c>
      <c r="D534" t="s">
        <v>1803</v>
      </c>
      <c r="E534" s="965">
        <v>41.63</v>
      </c>
      <c r="F534" s="966">
        <v>86600</v>
      </c>
      <c r="G534" s="967">
        <v>12</v>
      </c>
      <c r="H534" s="965">
        <v>27.68</v>
      </c>
      <c r="I534" s="965">
        <v>29.15</v>
      </c>
      <c r="J534" s="965">
        <v>46.78</v>
      </c>
      <c r="K534" s="965">
        <v>51.23</v>
      </c>
      <c r="L534" s="965">
        <v>51.76</v>
      </c>
      <c r="O534" s="963">
        <f t="shared" si="32"/>
        <v>47.314</v>
      </c>
      <c r="P534" s="963">
        <f t="shared" si="33"/>
        <v>49.094000000000001</v>
      </c>
      <c r="R534" s="963">
        <f t="shared" si="34"/>
        <v>32.676000000000002</v>
      </c>
      <c r="S534" s="963">
        <f t="shared" si="35"/>
        <v>39.728000000000002</v>
      </c>
    </row>
    <row r="535" spans="1:19" hidden="1" x14ac:dyDescent="0.25">
      <c r="A535" t="s">
        <v>744</v>
      </c>
      <c r="B535" t="s">
        <v>745</v>
      </c>
      <c r="C535" s="24" t="s">
        <v>1804</v>
      </c>
      <c r="D535" t="s">
        <v>1805</v>
      </c>
      <c r="E535" s="965">
        <v>39.35</v>
      </c>
      <c r="F535" s="966">
        <v>81840</v>
      </c>
      <c r="G535" s="967">
        <v>1.9</v>
      </c>
      <c r="H535" s="965">
        <v>22.98</v>
      </c>
      <c r="I535" s="965">
        <v>27.92</v>
      </c>
      <c r="J535" s="965">
        <v>39.020000000000003</v>
      </c>
      <c r="K535" s="965">
        <v>47.44</v>
      </c>
      <c r="L535" s="965">
        <v>60.12</v>
      </c>
      <c r="O535" s="963">
        <f t="shared" si="32"/>
        <v>40.0304</v>
      </c>
      <c r="P535" s="963">
        <f t="shared" si="33"/>
        <v>43.398400000000002</v>
      </c>
      <c r="R535" s="963">
        <f t="shared" si="34"/>
        <v>30.140000000000004</v>
      </c>
      <c r="S535" s="963">
        <f t="shared" si="35"/>
        <v>34.580000000000005</v>
      </c>
    </row>
    <row r="536" spans="1:19" hidden="1" x14ac:dyDescent="0.25">
      <c r="A536" t="s">
        <v>744</v>
      </c>
      <c r="B536" t="s">
        <v>745</v>
      </c>
      <c r="C536" s="24" t="s">
        <v>1806</v>
      </c>
      <c r="D536" t="s">
        <v>1807</v>
      </c>
      <c r="E536" s="965">
        <v>33.72</v>
      </c>
      <c r="F536" s="966">
        <v>70130</v>
      </c>
      <c r="G536" s="967">
        <v>3.7</v>
      </c>
      <c r="H536" s="965">
        <v>22.23</v>
      </c>
      <c r="I536" s="965">
        <v>27.12</v>
      </c>
      <c r="J536" s="965">
        <v>30.43</v>
      </c>
      <c r="K536" s="965">
        <v>37.07</v>
      </c>
      <c r="L536" s="965">
        <v>50.92</v>
      </c>
      <c r="O536" s="963">
        <f t="shared" si="32"/>
        <v>31.226800000000001</v>
      </c>
      <c r="P536" s="963">
        <f t="shared" si="33"/>
        <v>33.882800000000003</v>
      </c>
      <c r="R536" s="963">
        <f t="shared" si="34"/>
        <v>27.782</v>
      </c>
      <c r="S536" s="963">
        <f t="shared" si="35"/>
        <v>29.106000000000002</v>
      </c>
    </row>
    <row r="537" spans="1:19" hidden="1" x14ac:dyDescent="0.25">
      <c r="A537" t="s">
        <v>744</v>
      </c>
      <c r="B537" t="s">
        <v>745</v>
      </c>
      <c r="C537" s="24" t="s">
        <v>1808</v>
      </c>
      <c r="D537" t="s">
        <v>1809</v>
      </c>
      <c r="E537" s="965">
        <v>29.08</v>
      </c>
      <c r="F537" s="966">
        <v>60490</v>
      </c>
      <c r="G537" s="967">
        <v>5.8</v>
      </c>
      <c r="H537" s="965">
        <v>18.16</v>
      </c>
      <c r="I537" s="965">
        <v>18.93</v>
      </c>
      <c r="J537" s="965">
        <v>25.45</v>
      </c>
      <c r="K537" s="965">
        <v>38.229999999999997</v>
      </c>
      <c r="L537" s="965">
        <v>46.2</v>
      </c>
      <c r="O537" s="963">
        <f t="shared" si="32"/>
        <v>26.983599999999999</v>
      </c>
      <c r="P537" s="963">
        <f t="shared" si="33"/>
        <v>32.095599999999997</v>
      </c>
      <c r="R537" s="963">
        <f t="shared" si="34"/>
        <v>20.234000000000002</v>
      </c>
      <c r="S537" s="963">
        <f t="shared" si="35"/>
        <v>22.841999999999999</v>
      </c>
    </row>
    <row r="538" spans="1:19" hidden="1" x14ac:dyDescent="0.25">
      <c r="A538" t="s">
        <v>744</v>
      </c>
      <c r="B538" t="s">
        <v>745</v>
      </c>
      <c r="C538" s="24" t="s">
        <v>1810</v>
      </c>
      <c r="D538" t="s">
        <v>1811</v>
      </c>
      <c r="E538" s="965">
        <v>31.12</v>
      </c>
      <c r="F538" s="966">
        <v>64730</v>
      </c>
      <c r="G538" s="967">
        <v>7.3</v>
      </c>
      <c r="H538" s="965">
        <v>18.940000000000001</v>
      </c>
      <c r="I538" s="965">
        <v>26.54</v>
      </c>
      <c r="J538" s="965">
        <v>31.07</v>
      </c>
      <c r="K538" s="965">
        <v>34.99</v>
      </c>
      <c r="L538" s="965">
        <v>41.27</v>
      </c>
      <c r="O538" s="963">
        <f t="shared" si="32"/>
        <v>31.540400000000002</v>
      </c>
      <c r="P538" s="963">
        <f t="shared" si="33"/>
        <v>33.108400000000003</v>
      </c>
      <c r="R538" s="963">
        <f t="shared" si="34"/>
        <v>27.446000000000002</v>
      </c>
      <c r="S538" s="963">
        <f t="shared" si="35"/>
        <v>29.257999999999999</v>
      </c>
    </row>
    <row r="539" spans="1:19" hidden="1" x14ac:dyDescent="0.25">
      <c r="A539" t="s">
        <v>744</v>
      </c>
      <c r="B539" t="s">
        <v>745</v>
      </c>
      <c r="C539" s="24" t="s">
        <v>1812</v>
      </c>
      <c r="D539" t="s">
        <v>1813</v>
      </c>
      <c r="E539" s="965">
        <v>27.16</v>
      </c>
      <c r="F539" s="966">
        <v>56490</v>
      </c>
      <c r="G539" s="967">
        <v>3.6</v>
      </c>
      <c r="H539" s="965">
        <v>16.8</v>
      </c>
      <c r="I539" s="965">
        <v>21.49</v>
      </c>
      <c r="J539" s="965">
        <v>24.36</v>
      </c>
      <c r="K539" s="965">
        <v>29.24</v>
      </c>
      <c r="L539" s="965">
        <v>39.880000000000003</v>
      </c>
      <c r="O539" s="963">
        <f t="shared" si="32"/>
        <v>24.945599999999999</v>
      </c>
      <c r="P539" s="963">
        <f t="shared" si="33"/>
        <v>26.897599999999997</v>
      </c>
      <c r="R539" s="963">
        <f t="shared" si="34"/>
        <v>22.064</v>
      </c>
      <c r="S539" s="963">
        <f t="shared" si="35"/>
        <v>23.212</v>
      </c>
    </row>
    <row r="540" spans="1:19" hidden="1" x14ac:dyDescent="0.25">
      <c r="A540" t="s">
        <v>744</v>
      </c>
      <c r="B540" t="s">
        <v>745</v>
      </c>
      <c r="C540" s="24" t="s">
        <v>1814</v>
      </c>
      <c r="D540" t="s">
        <v>1815</v>
      </c>
      <c r="E540" s="965">
        <v>31.85</v>
      </c>
      <c r="F540" s="966">
        <v>66260</v>
      </c>
      <c r="G540" s="967">
        <v>8.4</v>
      </c>
      <c r="H540" s="965">
        <v>19.96</v>
      </c>
      <c r="I540" s="965">
        <v>26.07</v>
      </c>
      <c r="J540" s="965">
        <v>27.34</v>
      </c>
      <c r="K540" s="965">
        <v>36.1</v>
      </c>
      <c r="L540" s="965">
        <v>54.26</v>
      </c>
      <c r="O540" s="963">
        <f t="shared" si="32"/>
        <v>28.391200000000001</v>
      </c>
      <c r="P540" s="963">
        <f t="shared" si="33"/>
        <v>31.895200000000003</v>
      </c>
      <c r="R540" s="963">
        <f t="shared" si="34"/>
        <v>26.324000000000002</v>
      </c>
      <c r="S540" s="963">
        <f t="shared" si="35"/>
        <v>26.832000000000001</v>
      </c>
    </row>
    <row r="541" spans="1:19" hidden="1" x14ac:dyDescent="0.25">
      <c r="A541" t="s">
        <v>744</v>
      </c>
      <c r="B541" t="s">
        <v>745</v>
      </c>
      <c r="C541" s="24" t="s">
        <v>1816</v>
      </c>
      <c r="D541" t="s">
        <v>1817</v>
      </c>
      <c r="E541" s="965">
        <v>42.86</v>
      </c>
      <c r="F541" s="966">
        <v>89140</v>
      </c>
      <c r="G541" s="967">
        <v>3.1</v>
      </c>
      <c r="H541" s="965">
        <v>22.61</v>
      </c>
      <c r="I541" s="965">
        <v>28.31</v>
      </c>
      <c r="J541" s="965">
        <v>43.93</v>
      </c>
      <c r="K541" s="965">
        <v>50.49</v>
      </c>
      <c r="L541" s="965">
        <v>64.959999999999994</v>
      </c>
      <c r="O541" s="963">
        <f t="shared" si="32"/>
        <v>44.717199999999998</v>
      </c>
      <c r="P541" s="963">
        <f t="shared" si="33"/>
        <v>47.341200000000001</v>
      </c>
      <c r="R541" s="963">
        <f t="shared" si="34"/>
        <v>31.434000000000001</v>
      </c>
      <c r="S541" s="963">
        <f t="shared" si="35"/>
        <v>37.682000000000002</v>
      </c>
    </row>
    <row r="542" spans="1:19" hidden="1" x14ac:dyDescent="0.25">
      <c r="A542" t="s">
        <v>744</v>
      </c>
      <c r="B542" t="s">
        <v>745</v>
      </c>
      <c r="C542" s="24" t="s">
        <v>1818</v>
      </c>
      <c r="D542" t="s">
        <v>1819</v>
      </c>
      <c r="E542" s="965">
        <v>40.36</v>
      </c>
      <c r="F542" s="966">
        <v>83940</v>
      </c>
      <c r="G542" s="967">
        <v>6.9</v>
      </c>
      <c r="H542" s="965">
        <v>28.99</v>
      </c>
      <c r="I542" s="965">
        <v>29.66</v>
      </c>
      <c r="J542" s="965">
        <v>39.5</v>
      </c>
      <c r="K542" s="965">
        <v>48.41</v>
      </c>
      <c r="L542" s="965">
        <v>54.1</v>
      </c>
      <c r="O542" s="963">
        <f t="shared" si="32"/>
        <v>40.569200000000002</v>
      </c>
      <c r="P542" s="963">
        <f t="shared" si="33"/>
        <v>44.133200000000002</v>
      </c>
      <c r="R542" s="963">
        <f t="shared" si="34"/>
        <v>31.628</v>
      </c>
      <c r="S542" s="963">
        <f t="shared" si="35"/>
        <v>35.564</v>
      </c>
    </row>
    <row r="543" spans="1:19" hidden="1" x14ac:dyDescent="0.25">
      <c r="A543" t="s">
        <v>744</v>
      </c>
      <c r="B543" t="s">
        <v>745</v>
      </c>
      <c r="C543" s="24" t="s">
        <v>1820</v>
      </c>
      <c r="D543" t="s">
        <v>1821</v>
      </c>
      <c r="E543" s="965">
        <v>34.799999999999997</v>
      </c>
      <c r="F543" s="966">
        <v>72390</v>
      </c>
      <c r="G543" s="967">
        <v>3.4</v>
      </c>
      <c r="H543" s="965">
        <v>22.19</v>
      </c>
      <c r="I543" s="965">
        <v>26.3</v>
      </c>
      <c r="J543" s="965">
        <v>33.32</v>
      </c>
      <c r="K543" s="965">
        <v>39.43</v>
      </c>
      <c r="L543" s="965">
        <v>52.67</v>
      </c>
      <c r="O543" s="963">
        <f t="shared" si="32"/>
        <v>34.053200000000004</v>
      </c>
      <c r="P543" s="963">
        <f t="shared" si="33"/>
        <v>36.497199999999999</v>
      </c>
      <c r="R543" s="963">
        <f t="shared" si="34"/>
        <v>27.704000000000001</v>
      </c>
      <c r="S543" s="963">
        <f t="shared" si="35"/>
        <v>30.512</v>
      </c>
    </row>
    <row r="544" spans="1:19" hidden="1" x14ac:dyDescent="0.25">
      <c r="A544" t="s">
        <v>744</v>
      </c>
      <c r="B544" t="s">
        <v>745</v>
      </c>
      <c r="C544" s="24" t="s">
        <v>1822</v>
      </c>
      <c r="D544" t="s">
        <v>1823</v>
      </c>
      <c r="E544" s="965">
        <v>37.229999999999997</v>
      </c>
      <c r="F544" s="966">
        <v>77430</v>
      </c>
      <c r="G544" s="967">
        <v>5.3</v>
      </c>
      <c r="H544" s="965">
        <v>22.39</v>
      </c>
      <c r="I544" s="965">
        <v>28.31</v>
      </c>
      <c r="J544" s="965">
        <v>35.54</v>
      </c>
      <c r="K544" s="965">
        <v>45.8</v>
      </c>
      <c r="L544" s="965">
        <v>55.1</v>
      </c>
      <c r="O544" s="963">
        <f t="shared" si="32"/>
        <v>36.7712</v>
      </c>
      <c r="P544" s="963">
        <f t="shared" si="33"/>
        <v>40.8752</v>
      </c>
      <c r="R544" s="963">
        <f t="shared" si="34"/>
        <v>29.756</v>
      </c>
      <c r="S544" s="963">
        <f t="shared" si="35"/>
        <v>32.647999999999996</v>
      </c>
    </row>
    <row r="545" spans="1:19" hidden="1" x14ac:dyDescent="0.25">
      <c r="A545" t="s">
        <v>744</v>
      </c>
      <c r="B545" t="s">
        <v>745</v>
      </c>
      <c r="C545" s="24" t="s">
        <v>1824</v>
      </c>
      <c r="D545" t="s">
        <v>1825</v>
      </c>
      <c r="E545" s="965">
        <v>46.89</v>
      </c>
      <c r="F545" s="966">
        <v>97520</v>
      </c>
      <c r="G545" s="967">
        <v>4.9000000000000004</v>
      </c>
      <c r="H545" s="965">
        <v>28.05</v>
      </c>
      <c r="I545" s="965">
        <v>35.11</v>
      </c>
      <c r="J545" s="965">
        <v>52.46</v>
      </c>
      <c r="K545" s="965">
        <v>57.03</v>
      </c>
      <c r="L545" s="965">
        <v>58.45</v>
      </c>
      <c r="O545" s="963">
        <f t="shared" si="32"/>
        <v>53.008400000000002</v>
      </c>
      <c r="P545" s="963">
        <f t="shared" si="33"/>
        <v>54.836399999999998</v>
      </c>
      <c r="R545" s="963">
        <f t="shared" si="34"/>
        <v>38.580000000000005</v>
      </c>
      <c r="S545" s="963">
        <f t="shared" si="35"/>
        <v>45.52</v>
      </c>
    </row>
    <row r="546" spans="1:19" hidden="1" x14ac:dyDescent="0.25">
      <c r="A546" t="s">
        <v>744</v>
      </c>
      <c r="B546" t="s">
        <v>745</v>
      </c>
      <c r="C546" s="24" t="s">
        <v>1826</v>
      </c>
      <c r="D546" t="s">
        <v>1827</v>
      </c>
      <c r="E546" s="965">
        <v>23.31</v>
      </c>
      <c r="F546" s="966">
        <v>48480</v>
      </c>
      <c r="G546" s="967">
        <v>5.5</v>
      </c>
      <c r="H546" s="965">
        <v>16.829999999999998</v>
      </c>
      <c r="I546" s="965">
        <v>17.809999999999999</v>
      </c>
      <c r="J546" s="965">
        <v>24.52</v>
      </c>
      <c r="K546" s="965">
        <v>27.15</v>
      </c>
      <c r="L546" s="965">
        <v>30.44</v>
      </c>
      <c r="O546" s="963">
        <f t="shared" si="32"/>
        <v>24.835599999999999</v>
      </c>
      <c r="P546" s="963">
        <f t="shared" si="33"/>
        <v>25.887599999999999</v>
      </c>
      <c r="R546" s="963">
        <f t="shared" si="34"/>
        <v>19.152000000000001</v>
      </c>
      <c r="S546" s="963">
        <f t="shared" si="35"/>
        <v>21.835999999999999</v>
      </c>
    </row>
    <row r="547" spans="1:19" hidden="1" x14ac:dyDescent="0.25">
      <c r="A547" t="s">
        <v>744</v>
      </c>
      <c r="B547" t="s">
        <v>745</v>
      </c>
      <c r="C547" s="24" t="s">
        <v>1828</v>
      </c>
      <c r="D547" t="s">
        <v>1829</v>
      </c>
      <c r="E547" s="965">
        <v>23.9</v>
      </c>
      <c r="F547" s="966">
        <v>49710</v>
      </c>
      <c r="G547" s="967">
        <v>5.7</v>
      </c>
      <c r="H547" s="965">
        <v>19.38</v>
      </c>
      <c r="I547" s="965">
        <v>22.17</v>
      </c>
      <c r="J547" s="965">
        <v>25.18</v>
      </c>
      <c r="K547" s="965">
        <v>26.06</v>
      </c>
      <c r="L547" s="965">
        <v>28.12</v>
      </c>
      <c r="O547" s="963">
        <f t="shared" si="32"/>
        <v>25.285599999999999</v>
      </c>
      <c r="P547" s="963">
        <f t="shared" si="33"/>
        <v>25.637599999999999</v>
      </c>
      <c r="R547" s="963">
        <f t="shared" si="34"/>
        <v>22.772000000000002</v>
      </c>
      <c r="S547" s="963">
        <f t="shared" si="35"/>
        <v>23.975999999999999</v>
      </c>
    </row>
    <row r="548" spans="1:19" hidden="1" x14ac:dyDescent="0.25">
      <c r="A548" t="s">
        <v>744</v>
      </c>
      <c r="B548" t="s">
        <v>745</v>
      </c>
      <c r="C548" s="24" t="s">
        <v>1830</v>
      </c>
      <c r="D548" t="s">
        <v>1831</v>
      </c>
      <c r="E548" s="965">
        <v>19.28</v>
      </c>
      <c r="F548" s="966">
        <v>40100</v>
      </c>
      <c r="G548" s="967">
        <v>11.6</v>
      </c>
      <c r="H548" s="965">
        <v>15.47</v>
      </c>
      <c r="I548" s="965">
        <v>15.47</v>
      </c>
      <c r="J548" s="965">
        <v>17.39</v>
      </c>
      <c r="K548" s="965">
        <v>21.49</v>
      </c>
      <c r="L548" s="965">
        <v>31.69</v>
      </c>
      <c r="O548" s="963">
        <f t="shared" si="32"/>
        <v>17.882000000000001</v>
      </c>
      <c r="P548" s="963">
        <f t="shared" si="33"/>
        <v>19.521999999999998</v>
      </c>
      <c r="R548" s="963">
        <f t="shared" si="34"/>
        <v>15.854000000000001</v>
      </c>
      <c r="S548" s="963">
        <f t="shared" si="35"/>
        <v>16.622</v>
      </c>
    </row>
    <row r="549" spans="1:19" hidden="1" x14ac:dyDescent="0.25">
      <c r="A549" t="s">
        <v>744</v>
      </c>
      <c r="B549" t="s">
        <v>745</v>
      </c>
      <c r="C549" s="24" t="s">
        <v>1832</v>
      </c>
      <c r="D549" t="s">
        <v>1833</v>
      </c>
      <c r="E549" s="965">
        <v>22.36</v>
      </c>
      <c r="F549" s="966">
        <v>46510</v>
      </c>
      <c r="G549" s="967">
        <v>3.7</v>
      </c>
      <c r="H549" s="965">
        <v>17.78</v>
      </c>
      <c r="I549" s="965">
        <v>19.489999999999998</v>
      </c>
      <c r="J549" s="965">
        <v>21.63</v>
      </c>
      <c r="K549" s="965">
        <v>24.8</v>
      </c>
      <c r="L549" s="965">
        <v>28.23</v>
      </c>
      <c r="O549" s="963">
        <f t="shared" si="32"/>
        <v>22.010400000000001</v>
      </c>
      <c r="P549" s="963">
        <f t="shared" si="33"/>
        <v>23.278400000000001</v>
      </c>
      <c r="R549" s="963">
        <f t="shared" si="34"/>
        <v>19.917999999999999</v>
      </c>
      <c r="S549" s="963">
        <f t="shared" si="35"/>
        <v>20.773999999999997</v>
      </c>
    </row>
    <row r="550" spans="1:19" hidden="1" x14ac:dyDescent="0.25">
      <c r="A550" t="s">
        <v>744</v>
      </c>
      <c r="B550" t="s">
        <v>745</v>
      </c>
      <c r="C550" s="24" t="s">
        <v>1834</v>
      </c>
      <c r="D550" t="s">
        <v>1835</v>
      </c>
      <c r="E550" s="965">
        <v>21.98</v>
      </c>
      <c r="F550" s="966">
        <v>45720</v>
      </c>
      <c r="G550" s="967">
        <v>3.4</v>
      </c>
      <c r="H550" s="965">
        <v>18.57</v>
      </c>
      <c r="I550" s="965">
        <v>18.84</v>
      </c>
      <c r="J550" s="965">
        <v>21.87</v>
      </c>
      <c r="K550" s="965">
        <v>22.44</v>
      </c>
      <c r="L550" s="965">
        <v>27.85</v>
      </c>
      <c r="O550" s="963">
        <f t="shared" si="32"/>
        <v>21.938400000000001</v>
      </c>
      <c r="P550" s="963">
        <f t="shared" si="33"/>
        <v>22.166399999999999</v>
      </c>
      <c r="R550" s="963">
        <f t="shared" si="34"/>
        <v>19.446000000000002</v>
      </c>
      <c r="S550" s="963">
        <f t="shared" si="35"/>
        <v>20.658000000000001</v>
      </c>
    </row>
    <row r="551" spans="1:19" hidden="1" x14ac:dyDescent="0.25">
      <c r="A551" t="s">
        <v>744</v>
      </c>
      <c r="B551" t="s">
        <v>745</v>
      </c>
      <c r="C551" s="24" t="s">
        <v>1836</v>
      </c>
      <c r="D551" t="s">
        <v>1837</v>
      </c>
      <c r="E551" s="965">
        <v>23.34</v>
      </c>
      <c r="F551" s="966">
        <v>48540</v>
      </c>
      <c r="G551" s="967">
        <v>8.6</v>
      </c>
      <c r="H551" s="965">
        <v>17.170000000000002</v>
      </c>
      <c r="I551" s="965">
        <v>18</v>
      </c>
      <c r="J551" s="965">
        <v>21.03</v>
      </c>
      <c r="K551" s="965">
        <v>24.92</v>
      </c>
      <c r="L551" s="965">
        <v>31.64</v>
      </c>
      <c r="O551" s="963">
        <f t="shared" si="32"/>
        <v>21.4968</v>
      </c>
      <c r="P551" s="963">
        <f t="shared" si="33"/>
        <v>23.052800000000001</v>
      </c>
      <c r="R551" s="963">
        <f t="shared" si="34"/>
        <v>18.606000000000002</v>
      </c>
      <c r="S551" s="963">
        <f t="shared" si="35"/>
        <v>19.818000000000001</v>
      </c>
    </row>
    <row r="552" spans="1:19" hidden="1" x14ac:dyDescent="0.25">
      <c r="A552" t="s">
        <v>744</v>
      </c>
      <c r="B552" t="s">
        <v>745</v>
      </c>
      <c r="C552" s="24" t="s">
        <v>1838</v>
      </c>
      <c r="D552" t="s">
        <v>1839</v>
      </c>
      <c r="E552" s="965">
        <v>40.4</v>
      </c>
      <c r="F552" s="966">
        <v>84030</v>
      </c>
      <c r="G552" s="967">
        <v>2.1</v>
      </c>
      <c r="H552" s="965">
        <v>22.73</v>
      </c>
      <c r="I552" s="965">
        <v>30.91</v>
      </c>
      <c r="J552" s="965">
        <v>40.39</v>
      </c>
      <c r="K552" s="965">
        <v>48.21</v>
      </c>
      <c r="L552" s="965">
        <v>58.1</v>
      </c>
      <c r="O552" s="963">
        <f t="shared" si="32"/>
        <v>41.328400000000002</v>
      </c>
      <c r="P552" s="963">
        <f t="shared" si="33"/>
        <v>44.456400000000002</v>
      </c>
      <c r="R552" s="963">
        <f t="shared" si="34"/>
        <v>32.806000000000004</v>
      </c>
      <c r="S552" s="963">
        <f t="shared" si="35"/>
        <v>36.597999999999999</v>
      </c>
    </row>
    <row r="553" spans="1:19" hidden="1" x14ac:dyDescent="0.25">
      <c r="A553" t="s">
        <v>744</v>
      </c>
      <c r="B553" t="s">
        <v>745</v>
      </c>
      <c r="C553" s="24" t="s">
        <v>1840</v>
      </c>
      <c r="D553" t="s">
        <v>1841</v>
      </c>
      <c r="E553" s="965">
        <v>60.97</v>
      </c>
      <c r="F553" s="966">
        <v>126830</v>
      </c>
      <c r="G553" s="967">
        <v>4.2</v>
      </c>
      <c r="H553" s="965">
        <v>44.67</v>
      </c>
      <c r="I553" s="965">
        <v>48.74</v>
      </c>
      <c r="J553" s="965">
        <v>68.59</v>
      </c>
      <c r="K553" s="965">
        <v>68.61</v>
      </c>
      <c r="L553" s="965">
        <v>68.680000000000007</v>
      </c>
      <c r="O553" s="963">
        <f t="shared" si="32"/>
        <v>68.592399999999998</v>
      </c>
      <c r="P553" s="963">
        <f t="shared" si="33"/>
        <v>68.600400000000008</v>
      </c>
      <c r="R553" s="963">
        <f t="shared" si="34"/>
        <v>52.710000000000008</v>
      </c>
      <c r="S553" s="963">
        <f t="shared" si="35"/>
        <v>60.650000000000006</v>
      </c>
    </row>
    <row r="554" spans="1:19" hidden="1" x14ac:dyDescent="0.25">
      <c r="A554" t="s">
        <v>744</v>
      </c>
      <c r="B554" t="s">
        <v>745</v>
      </c>
      <c r="C554" s="24" t="s">
        <v>1842</v>
      </c>
      <c r="D554" t="s">
        <v>1843</v>
      </c>
      <c r="E554" s="965">
        <v>23.37</v>
      </c>
      <c r="F554" s="966">
        <v>48610</v>
      </c>
      <c r="G554" s="967">
        <v>2.9</v>
      </c>
      <c r="H554" s="965">
        <v>19.059999999999999</v>
      </c>
      <c r="I554" s="965">
        <v>20.55</v>
      </c>
      <c r="J554" s="965">
        <v>22.81</v>
      </c>
      <c r="K554" s="965">
        <v>25.91</v>
      </c>
      <c r="L554" s="965">
        <v>30</v>
      </c>
      <c r="O554" s="963">
        <f t="shared" si="32"/>
        <v>23.181999999999999</v>
      </c>
      <c r="P554" s="963">
        <f t="shared" si="33"/>
        <v>24.422000000000001</v>
      </c>
      <c r="R554" s="963">
        <f t="shared" si="34"/>
        <v>21.002000000000002</v>
      </c>
      <c r="S554" s="963">
        <f t="shared" si="35"/>
        <v>21.905999999999999</v>
      </c>
    </row>
    <row r="555" spans="1:19" hidden="1" x14ac:dyDescent="0.25">
      <c r="A555" t="s">
        <v>744</v>
      </c>
      <c r="B555" t="s">
        <v>745</v>
      </c>
      <c r="C555" s="24" t="s">
        <v>1844</v>
      </c>
      <c r="D555" t="s">
        <v>1845</v>
      </c>
      <c r="E555" s="965">
        <v>26.44</v>
      </c>
      <c r="F555" s="966">
        <v>55000</v>
      </c>
      <c r="G555" s="967">
        <v>4.8</v>
      </c>
      <c r="H555" s="965">
        <v>21.22</v>
      </c>
      <c r="I555" s="965">
        <v>21.5</v>
      </c>
      <c r="J555" s="965">
        <v>22.57</v>
      </c>
      <c r="K555" s="965">
        <v>30.06</v>
      </c>
      <c r="L555" s="965">
        <v>43.47</v>
      </c>
      <c r="O555" s="963">
        <f t="shared" si="32"/>
        <v>23.468800000000002</v>
      </c>
      <c r="P555" s="963">
        <f t="shared" si="33"/>
        <v>26.4648</v>
      </c>
      <c r="R555" s="963">
        <f t="shared" si="34"/>
        <v>21.713999999999999</v>
      </c>
      <c r="S555" s="963">
        <f t="shared" si="35"/>
        <v>22.141999999999999</v>
      </c>
    </row>
    <row r="556" spans="1:19" hidden="1" x14ac:dyDescent="0.25">
      <c r="A556" t="s">
        <v>744</v>
      </c>
      <c r="B556" t="s">
        <v>745</v>
      </c>
      <c r="C556" s="24" t="s">
        <v>1846</v>
      </c>
      <c r="D556" t="s">
        <v>1847</v>
      </c>
      <c r="E556" s="965">
        <v>28.7</v>
      </c>
      <c r="F556" s="966">
        <v>59690</v>
      </c>
      <c r="G556" s="967">
        <v>1.4</v>
      </c>
      <c r="H556" s="965">
        <v>21.67</v>
      </c>
      <c r="I556" s="965">
        <v>24.54</v>
      </c>
      <c r="J556" s="965">
        <v>29.4</v>
      </c>
      <c r="K556" s="965">
        <v>32.32</v>
      </c>
      <c r="L556" s="965">
        <v>35.22</v>
      </c>
      <c r="O556" s="963">
        <f t="shared" si="32"/>
        <v>29.750399999999999</v>
      </c>
      <c r="P556" s="963">
        <f t="shared" si="33"/>
        <v>30.918399999999998</v>
      </c>
      <c r="R556" s="963">
        <f t="shared" si="34"/>
        <v>25.512</v>
      </c>
      <c r="S556" s="963">
        <f t="shared" si="35"/>
        <v>27.456</v>
      </c>
    </row>
    <row r="557" spans="1:19" hidden="1" x14ac:dyDescent="0.25">
      <c r="A557" t="s">
        <v>744</v>
      </c>
      <c r="B557" t="s">
        <v>745</v>
      </c>
      <c r="C557" s="24" t="s">
        <v>1848</v>
      </c>
      <c r="D557" t="s">
        <v>1849</v>
      </c>
      <c r="E557" s="965">
        <v>36.74</v>
      </c>
      <c r="F557" s="966">
        <v>76430</v>
      </c>
      <c r="G557" s="967">
        <v>0.4</v>
      </c>
      <c r="H557" s="965">
        <v>29.34</v>
      </c>
      <c r="I557" s="965">
        <v>31.29</v>
      </c>
      <c r="J557" s="965">
        <v>37.42</v>
      </c>
      <c r="K557" s="965">
        <v>40.770000000000003</v>
      </c>
      <c r="L557" s="965">
        <v>41.4</v>
      </c>
      <c r="O557" s="963">
        <f t="shared" si="32"/>
        <v>37.822000000000003</v>
      </c>
      <c r="P557" s="963">
        <f t="shared" si="33"/>
        <v>39.162000000000006</v>
      </c>
      <c r="R557" s="963">
        <f t="shared" si="34"/>
        <v>32.515999999999998</v>
      </c>
      <c r="S557" s="963">
        <f t="shared" si="35"/>
        <v>34.968000000000004</v>
      </c>
    </row>
    <row r="558" spans="1:19" hidden="1" x14ac:dyDescent="0.25">
      <c r="A558" t="s">
        <v>744</v>
      </c>
      <c r="B558" t="s">
        <v>745</v>
      </c>
      <c r="C558" s="24" t="s">
        <v>1850</v>
      </c>
      <c r="D558" t="s">
        <v>1851</v>
      </c>
      <c r="E558" s="965">
        <v>30.8</v>
      </c>
      <c r="F558" s="966">
        <v>64070</v>
      </c>
      <c r="G558" s="967">
        <v>6.3</v>
      </c>
      <c r="H558" s="965">
        <v>23.16</v>
      </c>
      <c r="I558" s="965">
        <v>24.28</v>
      </c>
      <c r="J558" s="965">
        <v>28.42</v>
      </c>
      <c r="K558" s="965">
        <v>37.08</v>
      </c>
      <c r="L558" s="965">
        <v>44.61</v>
      </c>
      <c r="O558" s="963">
        <f t="shared" si="32"/>
        <v>29.459200000000003</v>
      </c>
      <c r="P558" s="963">
        <f t="shared" si="33"/>
        <v>32.923200000000001</v>
      </c>
      <c r="R558" s="963">
        <f t="shared" si="34"/>
        <v>25.108000000000001</v>
      </c>
      <c r="S558" s="963">
        <f t="shared" si="35"/>
        <v>26.764000000000003</v>
      </c>
    </row>
    <row r="559" spans="1:19" hidden="1" x14ac:dyDescent="0.25">
      <c r="A559" t="s">
        <v>744</v>
      </c>
      <c r="B559" t="s">
        <v>745</v>
      </c>
      <c r="C559" s="24" t="s">
        <v>1852</v>
      </c>
      <c r="D559" t="s">
        <v>1853</v>
      </c>
      <c r="E559" s="965">
        <v>36.57</v>
      </c>
      <c r="F559" s="966">
        <v>76070</v>
      </c>
      <c r="G559" s="967">
        <v>2.9</v>
      </c>
      <c r="H559" s="965">
        <v>25.17</v>
      </c>
      <c r="I559" s="965">
        <v>26.61</v>
      </c>
      <c r="J559" s="965">
        <v>41.03</v>
      </c>
      <c r="K559" s="965">
        <v>44.08</v>
      </c>
      <c r="L559" s="965">
        <v>44.08</v>
      </c>
      <c r="O559" s="963">
        <f t="shared" si="32"/>
        <v>41.396000000000001</v>
      </c>
      <c r="P559" s="963">
        <f t="shared" si="33"/>
        <v>42.616</v>
      </c>
      <c r="R559" s="963">
        <f t="shared" si="34"/>
        <v>29.494000000000003</v>
      </c>
      <c r="S559" s="963">
        <f t="shared" si="35"/>
        <v>35.262</v>
      </c>
    </row>
    <row r="560" spans="1:19" hidden="1" x14ac:dyDescent="0.25">
      <c r="A560" t="s">
        <v>744</v>
      </c>
      <c r="B560" t="s">
        <v>745</v>
      </c>
      <c r="C560" s="24" t="s">
        <v>1854</v>
      </c>
      <c r="D560" t="s">
        <v>1855</v>
      </c>
      <c r="E560" s="965">
        <v>30.85</v>
      </c>
      <c r="F560" s="966">
        <v>64160</v>
      </c>
      <c r="G560" s="967">
        <v>3.7</v>
      </c>
      <c r="H560" s="965">
        <v>21.76</v>
      </c>
      <c r="I560" s="965">
        <v>23.14</v>
      </c>
      <c r="J560" s="965">
        <v>30.18</v>
      </c>
      <c r="K560" s="965">
        <v>35.729999999999997</v>
      </c>
      <c r="L560" s="965">
        <v>38.67</v>
      </c>
      <c r="O560" s="963">
        <f t="shared" si="32"/>
        <v>30.846</v>
      </c>
      <c r="P560" s="963">
        <f t="shared" si="33"/>
        <v>33.065999999999995</v>
      </c>
      <c r="R560" s="963">
        <f t="shared" si="34"/>
        <v>24.548000000000002</v>
      </c>
      <c r="S560" s="963">
        <f t="shared" si="35"/>
        <v>27.364000000000001</v>
      </c>
    </row>
    <row r="561" spans="1:19" hidden="1" x14ac:dyDescent="0.25">
      <c r="A561" t="s">
        <v>744</v>
      </c>
      <c r="B561" t="s">
        <v>745</v>
      </c>
      <c r="C561" s="24" t="s">
        <v>1856</v>
      </c>
      <c r="D561" t="s">
        <v>1857</v>
      </c>
      <c r="E561" s="965">
        <v>36.6</v>
      </c>
      <c r="F561" s="966">
        <v>76120</v>
      </c>
      <c r="G561" s="967">
        <v>2.5</v>
      </c>
      <c r="H561" s="965">
        <v>30.62</v>
      </c>
      <c r="I561" s="965">
        <v>31.07</v>
      </c>
      <c r="J561" s="965">
        <v>37.14</v>
      </c>
      <c r="K561" s="965">
        <v>38.57</v>
      </c>
      <c r="L561" s="965">
        <v>44.48</v>
      </c>
      <c r="O561" s="963">
        <f t="shared" si="32"/>
        <v>37.311599999999999</v>
      </c>
      <c r="P561" s="963">
        <f t="shared" si="33"/>
        <v>37.883600000000001</v>
      </c>
      <c r="R561" s="963">
        <f t="shared" si="34"/>
        <v>32.283999999999999</v>
      </c>
      <c r="S561" s="963">
        <f t="shared" si="35"/>
        <v>34.712000000000003</v>
      </c>
    </row>
    <row r="562" spans="1:19" hidden="1" x14ac:dyDescent="0.25">
      <c r="A562" t="s">
        <v>744</v>
      </c>
      <c r="B562" t="s">
        <v>745</v>
      </c>
      <c r="C562" s="24" t="s">
        <v>1858</v>
      </c>
      <c r="D562" t="s">
        <v>1859</v>
      </c>
      <c r="E562" s="965">
        <v>40.67</v>
      </c>
      <c r="F562" s="966">
        <v>84590</v>
      </c>
      <c r="G562" s="967">
        <v>12.6</v>
      </c>
      <c r="H562" s="965">
        <v>30.75</v>
      </c>
      <c r="I562" s="965">
        <v>40.06</v>
      </c>
      <c r="J562" s="965">
        <v>41.2</v>
      </c>
      <c r="K562" s="965">
        <v>41.22</v>
      </c>
      <c r="L562" s="965">
        <v>49.13</v>
      </c>
      <c r="O562" s="963">
        <f t="shared" si="32"/>
        <v>41.202400000000004</v>
      </c>
      <c r="P562" s="963">
        <f t="shared" si="33"/>
        <v>41.2104</v>
      </c>
      <c r="R562" s="963">
        <f t="shared" si="34"/>
        <v>40.288000000000004</v>
      </c>
      <c r="S562" s="963">
        <f t="shared" si="35"/>
        <v>40.744</v>
      </c>
    </row>
    <row r="563" spans="1:19" hidden="1" x14ac:dyDescent="0.25">
      <c r="A563" t="s">
        <v>744</v>
      </c>
      <c r="B563" t="s">
        <v>745</v>
      </c>
      <c r="C563" s="24" t="s">
        <v>1860</v>
      </c>
      <c r="D563" t="s">
        <v>1861</v>
      </c>
      <c r="E563" s="965">
        <v>28.31</v>
      </c>
      <c r="F563" s="966">
        <v>58890</v>
      </c>
      <c r="G563" s="967">
        <v>5</v>
      </c>
      <c r="H563" s="965">
        <v>18.84</v>
      </c>
      <c r="I563" s="965">
        <v>23.99</v>
      </c>
      <c r="J563" s="965">
        <v>29.8</v>
      </c>
      <c r="K563" s="965">
        <v>31.46</v>
      </c>
      <c r="L563" s="965">
        <v>39.36</v>
      </c>
      <c r="O563" s="963">
        <f t="shared" si="32"/>
        <v>29.999200000000002</v>
      </c>
      <c r="P563" s="963">
        <f t="shared" si="33"/>
        <v>30.6632</v>
      </c>
      <c r="R563" s="963">
        <f t="shared" si="34"/>
        <v>25.152000000000001</v>
      </c>
      <c r="S563" s="963">
        <f t="shared" si="35"/>
        <v>27.475999999999999</v>
      </c>
    </row>
    <row r="564" spans="1:19" s="1006" customFormat="1" hidden="1" x14ac:dyDescent="0.25">
      <c r="A564" s="1006" t="s">
        <v>744</v>
      </c>
      <c r="B564" s="1006" t="s">
        <v>745</v>
      </c>
      <c r="C564" s="1007" t="s">
        <v>1862</v>
      </c>
      <c r="D564" s="1006" t="s">
        <v>1863</v>
      </c>
      <c r="E564" s="1008">
        <v>32.049999999999997</v>
      </c>
      <c r="F564" s="1009">
        <v>66670</v>
      </c>
      <c r="G564" s="1010">
        <v>0.6</v>
      </c>
      <c r="H564" s="1008">
        <v>18.29</v>
      </c>
      <c r="I564" s="1008">
        <v>23.04</v>
      </c>
      <c r="J564" s="1008">
        <v>29.81</v>
      </c>
      <c r="K564" s="1008">
        <v>38.39</v>
      </c>
      <c r="L564" s="1008">
        <v>48.39</v>
      </c>
      <c r="O564" s="1011">
        <f t="shared" si="32"/>
        <v>30.839600000000001</v>
      </c>
      <c r="P564" s="1011">
        <f t="shared" si="33"/>
        <v>34.271599999999999</v>
      </c>
      <c r="R564" s="963">
        <f t="shared" si="34"/>
        <v>24.394000000000002</v>
      </c>
      <c r="S564" s="963">
        <f t="shared" si="35"/>
        <v>27.102</v>
      </c>
    </row>
    <row r="565" spans="1:19" hidden="1" x14ac:dyDescent="0.25">
      <c r="A565" t="s">
        <v>744</v>
      </c>
      <c r="B565" t="s">
        <v>745</v>
      </c>
      <c r="C565" s="24" t="s">
        <v>1864</v>
      </c>
      <c r="D565" t="s">
        <v>1865</v>
      </c>
      <c r="E565" s="965">
        <v>42.91</v>
      </c>
      <c r="F565" s="966">
        <v>89250</v>
      </c>
      <c r="G565" s="967">
        <v>1.1000000000000001</v>
      </c>
      <c r="H565" s="965">
        <v>27.71</v>
      </c>
      <c r="I565" s="965">
        <v>33.880000000000003</v>
      </c>
      <c r="J565" s="965">
        <v>40.369999999999997</v>
      </c>
      <c r="K565" s="965">
        <v>50.69</v>
      </c>
      <c r="L565" s="965">
        <v>61.77</v>
      </c>
      <c r="O565" s="963">
        <f t="shared" si="32"/>
        <v>41.608399999999996</v>
      </c>
      <c r="P565" s="963">
        <f t="shared" si="33"/>
        <v>45.736399999999996</v>
      </c>
      <c r="R565" s="963">
        <f t="shared" si="34"/>
        <v>35.178000000000004</v>
      </c>
      <c r="S565" s="963">
        <f t="shared" si="35"/>
        <v>37.774000000000001</v>
      </c>
    </row>
    <row r="566" spans="1:19" hidden="1" x14ac:dyDescent="0.25">
      <c r="A566" t="s">
        <v>744</v>
      </c>
      <c r="B566" t="s">
        <v>745</v>
      </c>
      <c r="C566" s="24" t="s">
        <v>1866</v>
      </c>
      <c r="D566" t="s">
        <v>1867</v>
      </c>
      <c r="E566" s="965">
        <v>24.22</v>
      </c>
      <c r="F566" s="966">
        <v>50380</v>
      </c>
      <c r="G566" s="967">
        <v>2.9</v>
      </c>
      <c r="H566" s="965">
        <v>18.28</v>
      </c>
      <c r="I566" s="965">
        <v>19.02</v>
      </c>
      <c r="J566" s="965">
        <v>23.71</v>
      </c>
      <c r="K566" s="965">
        <v>28.19</v>
      </c>
      <c r="L566" s="965">
        <v>30.51</v>
      </c>
      <c r="O566" s="963">
        <f t="shared" si="32"/>
        <v>24.247600000000002</v>
      </c>
      <c r="P566" s="963">
        <f t="shared" si="33"/>
        <v>26.0396</v>
      </c>
      <c r="R566" s="963">
        <f t="shared" si="34"/>
        <v>19.958000000000002</v>
      </c>
      <c r="S566" s="963">
        <f t="shared" si="35"/>
        <v>21.834</v>
      </c>
    </row>
    <row r="567" spans="1:19" hidden="1" x14ac:dyDescent="0.25">
      <c r="A567" t="s">
        <v>744</v>
      </c>
      <c r="B567" t="s">
        <v>745</v>
      </c>
      <c r="C567" s="24" t="s">
        <v>1868</v>
      </c>
      <c r="D567" t="s">
        <v>1869</v>
      </c>
      <c r="E567" s="965">
        <v>34.97</v>
      </c>
      <c r="F567" s="966">
        <v>72740</v>
      </c>
      <c r="G567" s="967">
        <v>6.4</v>
      </c>
      <c r="H567" s="965">
        <v>22.7</v>
      </c>
      <c r="I567" s="965">
        <v>29.56</v>
      </c>
      <c r="J567" s="965">
        <v>34.9</v>
      </c>
      <c r="K567" s="965">
        <v>39.82</v>
      </c>
      <c r="L567" s="965">
        <v>45.86</v>
      </c>
      <c r="O567" s="963">
        <f t="shared" si="32"/>
        <v>35.490400000000001</v>
      </c>
      <c r="P567" s="963">
        <f t="shared" si="33"/>
        <v>37.458399999999997</v>
      </c>
      <c r="R567" s="963">
        <f t="shared" si="34"/>
        <v>30.628</v>
      </c>
      <c r="S567" s="963">
        <f t="shared" si="35"/>
        <v>32.763999999999996</v>
      </c>
    </row>
    <row r="568" spans="1:19" hidden="1" x14ac:dyDescent="0.25">
      <c r="A568" t="s">
        <v>744</v>
      </c>
      <c r="B568" t="s">
        <v>745</v>
      </c>
      <c r="C568" s="24" t="s">
        <v>1870</v>
      </c>
      <c r="D568" t="s">
        <v>1871</v>
      </c>
      <c r="E568" s="965">
        <v>37.56</v>
      </c>
      <c r="F568" s="966">
        <v>78120</v>
      </c>
      <c r="G568" s="967">
        <v>2.6</v>
      </c>
      <c r="H568" s="965">
        <v>23.28</v>
      </c>
      <c r="I568" s="965">
        <v>31.25</v>
      </c>
      <c r="J568" s="965">
        <v>36.81</v>
      </c>
      <c r="K568" s="965">
        <v>47.11</v>
      </c>
      <c r="L568" s="965">
        <v>50.15</v>
      </c>
      <c r="O568" s="963">
        <f t="shared" si="32"/>
        <v>38.046000000000006</v>
      </c>
      <c r="P568" s="963">
        <f t="shared" si="33"/>
        <v>42.166000000000004</v>
      </c>
      <c r="R568" s="963">
        <f t="shared" si="34"/>
        <v>32.362000000000002</v>
      </c>
      <c r="S568" s="963">
        <f t="shared" si="35"/>
        <v>34.585999999999999</v>
      </c>
    </row>
    <row r="569" spans="1:19" hidden="1" x14ac:dyDescent="0.25">
      <c r="A569" t="s">
        <v>744</v>
      </c>
      <c r="B569" t="s">
        <v>745</v>
      </c>
      <c r="C569" s="24" t="s">
        <v>1872</v>
      </c>
      <c r="D569" t="s">
        <v>1873</v>
      </c>
      <c r="E569" s="965">
        <v>38.909999999999997</v>
      </c>
      <c r="F569" s="966">
        <v>80930</v>
      </c>
      <c r="G569" s="967">
        <v>0.6</v>
      </c>
      <c r="H569" s="965">
        <v>36.15</v>
      </c>
      <c r="I569" s="965">
        <v>38.94</v>
      </c>
      <c r="J569" s="965">
        <v>39.619999999999997</v>
      </c>
      <c r="K569" s="965">
        <v>39.79</v>
      </c>
      <c r="L569" s="965">
        <v>40.75</v>
      </c>
      <c r="O569" s="963">
        <f t="shared" si="32"/>
        <v>39.6404</v>
      </c>
      <c r="P569" s="963">
        <f t="shared" si="33"/>
        <v>39.708399999999997</v>
      </c>
      <c r="R569" s="963">
        <f t="shared" si="34"/>
        <v>39.076000000000001</v>
      </c>
      <c r="S569" s="963">
        <f t="shared" si="35"/>
        <v>39.347999999999999</v>
      </c>
    </row>
    <row r="570" spans="1:19" hidden="1" x14ac:dyDescent="0.25">
      <c r="A570" t="s">
        <v>744</v>
      </c>
      <c r="B570" t="s">
        <v>745</v>
      </c>
      <c r="C570" s="24" t="s">
        <v>1874</v>
      </c>
      <c r="D570" t="s">
        <v>1875</v>
      </c>
      <c r="E570" s="965">
        <v>28.43</v>
      </c>
      <c r="F570" s="966">
        <v>59130</v>
      </c>
      <c r="G570" s="967">
        <v>3.2</v>
      </c>
      <c r="H570" s="965">
        <v>21.7</v>
      </c>
      <c r="I570" s="965">
        <v>24.66</v>
      </c>
      <c r="J570" s="965">
        <v>28.53</v>
      </c>
      <c r="K570" s="965">
        <v>31.68</v>
      </c>
      <c r="L570" s="965">
        <v>36.08</v>
      </c>
      <c r="O570" s="963">
        <f t="shared" si="32"/>
        <v>28.908000000000001</v>
      </c>
      <c r="P570" s="963">
        <f t="shared" si="33"/>
        <v>30.167999999999999</v>
      </c>
      <c r="R570" s="963">
        <f t="shared" si="34"/>
        <v>25.434000000000001</v>
      </c>
      <c r="S570" s="963">
        <f t="shared" si="35"/>
        <v>26.981999999999999</v>
      </c>
    </row>
    <row r="571" spans="1:19" hidden="1" x14ac:dyDescent="0.25">
      <c r="A571" t="s">
        <v>744</v>
      </c>
      <c r="B571" t="s">
        <v>745</v>
      </c>
      <c r="C571" s="24" t="s">
        <v>1876</v>
      </c>
      <c r="D571" t="s">
        <v>1877</v>
      </c>
      <c r="E571" s="965">
        <v>42.92</v>
      </c>
      <c r="F571" s="966">
        <v>89280</v>
      </c>
      <c r="G571" s="967">
        <v>4.7</v>
      </c>
      <c r="H571" s="965">
        <v>31.24</v>
      </c>
      <c r="I571" s="965">
        <v>34.93</v>
      </c>
      <c r="J571" s="965">
        <v>46.17</v>
      </c>
      <c r="K571" s="965">
        <v>46.17</v>
      </c>
      <c r="L571" s="965">
        <v>59.03</v>
      </c>
      <c r="O571" s="963">
        <f t="shared" si="32"/>
        <v>46.17</v>
      </c>
      <c r="P571" s="963">
        <f t="shared" si="33"/>
        <v>46.17</v>
      </c>
      <c r="R571" s="963">
        <f t="shared" si="34"/>
        <v>37.178000000000004</v>
      </c>
      <c r="S571" s="963">
        <f t="shared" si="35"/>
        <v>41.673999999999999</v>
      </c>
    </row>
    <row r="572" spans="1:19" hidden="1" x14ac:dyDescent="0.25">
      <c r="A572" t="s">
        <v>744</v>
      </c>
      <c r="B572" t="s">
        <v>745</v>
      </c>
      <c r="C572" s="24" t="s">
        <v>1878</v>
      </c>
      <c r="D572" t="s">
        <v>1879</v>
      </c>
      <c r="E572" s="965">
        <v>37.69</v>
      </c>
      <c r="F572" s="966">
        <v>78400</v>
      </c>
      <c r="G572" s="967">
        <v>2.4</v>
      </c>
      <c r="H572" s="965">
        <v>23.16</v>
      </c>
      <c r="I572" s="965">
        <v>30.35</v>
      </c>
      <c r="J572" s="965">
        <v>37.67</v>
      </c>
      <c r="K572" s="965">
        <v>44.82</v>
      </c>
      <c r="L572" s="965">
        <v>52.59</v>
      </c>
      <c r="O572" s="963">
        <f t="shared" si="32"/>
        <v>38.528000000000006</v>
      </c>
      <c r="P572" s="963">
        <f t="shared" si="33"/>
        <v>41.387999999999998</v>
      </c>
      <c r="R572" s="963">
        <f t="shared" si="34"/>
        <v>31.814000000000004</v>
      </c>
      <c r="S572" s="963">
        <f t="shared" si="35"/>
        <v>34.742000000000004</v>
      </c>
    </row>
    <row r="573" spans="1:19" hidden="1" x14ac:dyDescent="0.25">
      <c r="A573" t="s">
        <v>744</v>
      </c>
      <c r="B573" t="s">
        <v>745</v>
      </c>
      <c r="C573" s="24" t="s">
        <v>1880</v>
      </c>
      <c r="D573" t="s">
        <v>1881</v>
      </c>
      <c r="E573" s="965">
        <v>49.5</v>
      </c>
      <c r="F573" s="966">
        <v>102950</v>
      </c>
      <c r="G573" s="967">
        <v>2.2000000000000002</v>
      </c>
      <c r="H573" s="965">
        <v>43.41</v>
      </c>
      <c r="I573" s="965">
        <v>47.83</v>
      </c>
      <c r="J573" s="965">
        <v>49.48</v>
      </c>
      <c r="K573" s="965">
        <v>50.87</v>
      </c>
      <c r="L573" s="965">
        <v>54.36</v>
      </c>
      <c r="O573" s="963">
        <f t="shared" si="32"/>
        <v>49.646799999999999</v>
      </c>
      <c r="P573" s="963">
        <f t="shared" si="33"/>
        <v>50.202799999999996</v>
      </c>
      <c r="R573" s="963">
        <f t="shared" si="34"/>
        <v>48.16</v>
      </c>
      <c r="S573" s="963">
        <f t="shared" si="35"/>
        <v>48.82</v>
      </c>
    </row>
    <row r="574" spans="1:19" hidden="1" x14ac:dyDescent="0.25">
      <c r="A574" t="s">
        <v>744</v>
      </c>
      <c r="B574" t="s">
        <v>745</v>
      </c>
      <c r="C574" s="24" t="s">
        <v>1882</v>
      </c>
      <c r="D574" t="s">
        <v>1883</v>
      </c>
      <c r="E574" s="965">
        <v>23.77</v>
      </c>
      <c r="F574" s="966">
        <v>49430</v>
      </c>
      <c r="G574" s="967">
        <v>4</v>
      </c>
      <c r="H574" s="965">
        <v>18.399999999999999</v>
      </c>
      <c r="I574" s="965">
        <v>22.45</v>
      </c>
      <c r="J574" s="965">
        <v>22.9</v>
      </c>
      <c r="K574" s="965">
        <v>25.34</v>
      </c>
      <c r="L574" s="965">
        <v>32.04</v>
      </c>
      <c r="O574" s="963">
        <f t="shared" si="32"/>
        <v>23.192799999999998</v>
      </c>
      <c r="P574" s="963">
        <f t="shared" si="33"/>
        <v>24.168800000000001</v>
      </c>
      <c r="R574" s="963">
        <f t="shared" si="34"/>
        <v>22.54</v>
      </c>
      <c r="S574" s="963">
        <f t="shared" si="35"/>
        <v>22.72</v>
      </c>
    </row>
    <row r="575" spans="1:19" hidden="1" x14ac:dyDescent="0.25">
      <c r="A575" t="s">
        <v>744</v>
      </c>
      <c r="B575" t="s">
        <v>745</v>
      </c>
      <c r="C575" s="24" t="s">
        <v>1884</v>
      </c>
      <c r="D575" t="s">
        <v>1885</v>
      </c>
      <c r="E575" s="965">
        <v>23.13</v>
      </c>
      <c r="F575" s="966">
        <v>48110</v>
      </c>
      <c r="G575" s="967">
        <v>2.9</v>
      </c>
      <c r="H575" s="965">
        <v>19.84</v>
      </c>
      <c r="I575" s="965">
        <v>21.56</v>
      </c>
      <c r="J575" s="965">
        <v>23.28</v>
      </c>
      <c r="K575" s="965">
        <v>23.94</v>
      </c>
      <c r="L575" s="965">
        <v>26.49</v>
      </c>
      <c r="O575" s="963">
        <f t="shared" si="32"/>
        <v>23.359200000000001</v>
      </c>
      <c r="P575" s="963">
        <f t="shared" si="33"/>
        <v>23.623200000000001</v>
      </c>
      <c r="R575" s="963">
        <f t="shared" si="34"/>
        <v>21.904</v>
      </c>
      <c r="S575" s="963">
        <f t="shared" si="35"/>
        <v>22.591999999999999</v>
      </c>
    </row>
    <row r="576" spans="1:19" hidden="1" x14ac:dyDescent="0.25">
      <c r="A576" t="s">
        <v>744</v>
      </c>
      <c r="B576" t="s">
        <v>745</v>
      </c>
      <c r="C576" s="24" t="s">
        <v>1886</v>
      </c>
      <c r="D576" t="s">
        <v>1887</v>
      </c>
      <c r="E576" s="965">
        <v>31.98</v>
      </c>
      <c r="F576" s="966">
        <v>66520</v>
      </c>
      <c r="G576" s="967">
        <v>5.6</v>
      </c>
      <c r="H576" s="965">
        <v>18.28</v>
      </c>
      <c r="I576" s="965">
        <v>24.44</v>
      </c>
      <c r="J576" s="965">
        <v>29.89</v>
      </c>
      <c r="K576" s="965">
        <v>37.9</v>
      </c>
      <c r="L576" s="965">
        <v>44.09</v>
      </c>
      <c r="O576" s="963">
        <f t="shared" si="32"/>
        <v>30.851200000000002</v>
      </c>
      <c r="P576" s="963">
        <f t="shared" si="33"/>
        <v>34.055199999999999</v>
      </c>
      <c r="R576" s="963">
        <f t="shared" si="34"/>
        <v>25.53</v>
      </c>
      <c r="S576" s="963">
        <f t="shared" si="35"/>
        <v>27.71</v>
      </c>
    </row>
    <row r="577" spans="1:19" hidden="1" x14ac:dyDescent="0.25">
      <c r="A577" t="s">
        <v>744</v>
      </c>
      <c r="B577" t="s">
        <v>745</v>
      </c>
      <c r="C577" s="24" t="s">
        <v>1888</v>
      </c>
      <c r="D577" t="s">
        <v>1889</v>
      </c>
      <c r="E577" s="965">
        <v>41.86</v>
      </c>
      <c r="F577" s="966">
        <v>87080</v>
      </c>
      <c r="G577" s="967">
        <v>1.1000000000000001</v>
      </c>
      <c r="H577" s="965">
        <v>28.04</v>
      </c>
      <c r="I577" s="965">
        <v>35.85</v>
      </c>
      <c r="J577" s="965">
        <v>39.619999999999997</v>
      </c>
      <c r="K577" s="965">
        <v>52.86</v>
      </c>
      <c r="L577" s="965">
        <v>54.55</v>
      </c>
      <c r="O577" s="963">
        <f t="shared" si="32"/>
        <v>41.208799999999997</v>
      </c>
      <c r="P577" s="963">
        <f t="shared" si="33"/>
        <v>46.504799999999996</v>
      </c>
      <c r="R577" s="963">
        <f t="shared" si="34"/>
        <v>36.603999999999999</v>
      </c>
      <c r="S577" s="963">
        <f t="shared" si="35"/>
        <v>38.112000000000002</v>
      </c>
    </row>
    <row r="578" spans="1:19" hidden="1" x14ac:dyDescent="0.25">
      <c r="A578" t="s">
        <v>744</v>
      </c>
      <c r="B578" t="s">
        <v>745</v>
      </c>
      <c r="C578" s="24" t="s">
        <v>1890</v>
      </c>
      <c r="D578" t="s">
        <v>1891</v>
      </c>
      <c r="E578" s="965">
        <v>27.81</v>
      </c>
      <c r="F578" s="966">
        <v>57850</v>
      </c>
      <c r="G578" s="967">
        <v>3.2</v>
      </c>
      <c r="H578" s="965">
        <v>17.3</v>
      </c>
      <c r="I578" s="965">
        <v>22.47</v>
      </c>
      <c r="J578" s="965">
        <v>29.21</v>
      </c>
      <c r="K578" s="965">
        <v>31.5</v>
      </c>
      <c r="L578" s="965">
        <v>38.07</v>
      </c>
      <c r="O578" s="963">
        <f t="shared" ref="O578:O641" si="36">_xlfn.PERCENTILE.INC((H578:L578),$W$1)</f>
        <v>29.4848</v>
      </c>
      <c r="P578" s="963">
        <f t="shared" ref="P578:P641" si="37">_xlfn.PERCENTILE.INC((H578:L578),$X$1)</f>
        <v>30.4008</v>
      </c>
      <c r="R578" s="963">
        <f t="shared" si="34"/>
        <v>23.818000000000001</v>
      </c>
      <c r="S578" s="963">
        <f t="shared" si="35"/>
        <v>26.513999999999999</v>
      </c>
    </row>
    <row r="579" spans="1:19" hidden="1" x14ac:dyDescent="0.25">
      <c r="A579" t="s">
        <v>744</v>
      </c>
      <c r="B579" t="s">
        <v>745</v>
      </c>
      <c r="C579" s="24" t="s">
        <v>1892</v>
      </c>
      <c r="D579" t="s">
        <v>1893</v>
      </c>
      <c r="E579" s="965">
        <v>24.83</v>
      </c>
      <c r="F579" s="966">
        <v>51640</v>
      </c>
      <c r="G579" s="967">
        <v>1.2</v>
      </c>
      <c r="H579" s="965">
        <v>18.850000000000001</v>
      </c>
      <c r="I579" s="965">
        <v>22.57</v>
      </c>
      <c r="J579" s="965">
        <v>24.76</v>
      </c>
      <c r="K579" s="965">
        <v>27.71</v>
      </c>
      <c r="L579" s="965">
        <v>28.39</v>
      </c>
      <c r="O579" s="963">
        <f t="shared" si="36"/>
        <v>25.114000000000001</v>
      </c>
      <c r="P579" s="963">
        <f t="shared" si="37"/>
        <v>26.294</v>
      </c>
      <c r="R579" s="963">
        <f t="shared" ref="R579:R642" si="38">_xlfn.PERCENTILE.INC((H579:L579),$Y$1)</f>
        <v>23.008000000000003</v>
      </c>
      <c r="S579" s="963">
        <f t="shared" ref="S579:S642" si="39">_xlfn.PERCENTILE.INC((H579:L579),$Z$1)</f>
        <v>23.884</v>
      </c>
    </row>
    <row r="580" spans="1:19" hidden="1" x14ac:dyDescent="0.25">
      <c r="A580" t="s">
        <v>744</v>
      </c>
      <c r="B580" t="s">
        <v>745</v>
      </c>
      <c r="C580" s="24" t="s">
        <v>1894</v>
      </c>
      <c r="D580" t="s">
        <v>1895</v>
      </c>
      <c r="E580" s="965">
        <v>26.79</v>
      </c>
      <c r="F580" s="966">
        <v>55720</v>
      </c>
      <c r="G580" s="967">
        <v>2</v>
      </c>
      <c r="H580" s="965">
        <v>17.440000000000001</v>
      </c>
      <c r="I580" s="965">
        <v>19.350000000000001</v>
      </c>
      <c r="J580" s="965">
        <v>23.85</v>
      </c>
      <c r="K580" s="965">
        <v>30.64</v>
      </c>
      <c r="L580" s="965">
        <v>38.340000000000003</v>
      </c>
      <c r="O580" s="963">
        <f t="shared" si="36"/>
        <v>24.664800000000003</v>
      </c>
      <c r="P580" s="963">
        <f t="shared" si="37"/>
        <v>27.380800000000001</v>
      </c>
      <c r="R580" s="963">
        <f t="shared" si="38"/>
        <v>20.250000000000004</v>
      </c>
      <c r="S580" s="963">
        <f t="shared" si="39"/>
        <v>22.05</v>
      </c>
    </row>
    <row r="581" spans="1:19" hidden="1" x14ac:dyDescent="0.25">
      <c r="A581" t="s">
        <v>744</v>
      </c>
      <c r="B581" t="s">
        <v>745</v>
      </c>
      <c r="C581" s="24" t="s">
        <v>1896</v>
      </c>
      <c r="D581" t="s">
        <v>1897</v>
      </c>
      <c r="E581" s="965">
        <v>32.71</v>
      </c>
      <c r="F581" s="966">
        <v>68030</v>
      </c>
      <c r="G581" s="967">
        <v>0.9</v>
      </c>
      <c r="H581" s="965">
        <v>23.68</v>
      </c>
      <c r="I581" s="965">
        <v>28.45</v>
      </c>
      <c r="J581" s="965">
        <v>31.36</v>
      </c>
      <c r="K581" s="965">
        <v>36.729999999999997</v>
      </c>
      <c r="L581" s="965">
        <v>41.99</v>
      </c>
      <c r="O581" s="963">
        <f t="shared" si="36"/>
        <v>32.004399999999997</v>
      </c>
      <c r="P581" s="963">
        <f t="shared" si="37"/>
        <v>34.1524</v>
      </c>
      <c r="R581" s="963">
        <f t="shared" si="38"/>
        <v>29.032</v>
      </c>
      <c r="S581" s="963">
        <f t="shared" si="39"/>
        <v>30.195999999999998</v>
      </c>
    </row>
    <row r="582" spans="1:19" hidden="1" x14ac:dyDescent="0.25">
      <c r="A582" t="s">
        <v>744</v>
      </c>
      <c r="B582" t="s">
        <v>745</v>
      </c>
      <c r="C582" s="24" t="s">
        <v>1898</v>
      </c>
      <c r="D582" t="s">
        <v>1899</v>
      </c>
      <c r="E582" s="965">
        <v>27.75</v>
      </c>
      <c r="F582" s="966">
        <v>57720</v>
      </c>
      <c r="G582" s="967">
        <v>2.4</v>
      </c>
      <c r="H582" s="965">
        <v>18.239999999999998</v>
      </c>
      <c r="I582" s="965">
        <v>22.59</v>
      </c>
      <c r="J582" s="965">
        <v>27.93</v>
      </c>
      <c r="K582" s="965">
        <v>30.81</v>
      </c>
      <c r="L582" s="965">
        <v>38.590000000000003</v>
      </c>
      <c r="O582" s="963">
        <f t="shared" si="36"/>
        <v>28.275600000000001</v>
      </c>
      <c r="P582" s="963">
        <f t="shared" si="37"/>
        <v>29.427599999999998</v>
      </c>
      <c r="R582" s="963">
        <f t="shared" si="38"/>
        <v>23.658000000000001</v>
      </c>
      <c r="S582" s="963">
        <f t="shared" si="39"/>
        <v>25.794</v>
      </c>
    </row>
    <row r="583" spans="1:19" hidden="1" x14ac:dyDescent="0.25">
      <c r="A583" t="s">
        <v>744</v>
      </c>
      <c r="B583" t="s">
        <v>745</v>
      </c>
      <c r="C583" s="24" t="s">
        <v>1900</v>
      </c>
      <c r="D583" t="s">
        <v>1901</v>
      </c>
      <c r="E583" s="965">
        <v>35.14</v>
      </c>
      <c r="F583" s="966">
        <v>73090</v>
      </c>
      <c r="G583" s="967">
        <v>2.1</v>
      </c>
      <c r="H583" s="965">
        <v>23.61</v>
      </c>
      <c r="I583" s="965">
        <v>29.18</v>
      </c>
      <c r="J583" s="965">
        <v>36.28</v>
      </c>
      <c r="K583" s="965">
        <v>38.9</v>
      </c>
      <c r="L583" s="965">
        <v>45.45</v>
      </c>
      <c r="O583" s="963">
        <f t="shared" si="36"/>
        <v>36.5944</v>
      </c>
      <c r="P583" s="963">
        <f t="shared" si="37"/>
        <v>37.642400000000002</v>
      </c>
      <c r="R583" s="963">
        <f t="shared" si="38"/>
        <v>30.6</v>
      </c>
      <c r="S583" s="963">
        <f t="shared" si="39"/>
        <v>33.44</v>
      </c>
    </row>
    <row r="584" spans="1:19" hidden="1" x14ac:dyDescent="0.25">
      <c r="A584" t="s">
        <v>744</v>
      </c>
      <c r="B584" t="s">
        <v>745</v>
      </c>
      <c r="C584" s="24" t="s">
        <v>1902</v>
      </c>
      <c r="D584" t="s">
        <v>1903</v>
      </c>
      <c r="E584" s="965">
        <v>43.3</v>
      </c>
      <c r="F584" s="966">
        <v>90060</v>
      </c>
      <c r="G584" s="967">
        <v>0.2</v>
      </c>
      <c r="H584" s="965">
        <v>35.29</v>
      </c>
      <c r="I584" s="965">
        <v>39.83</v>
      </c>
      <c r="J584" s="965">
        <v>45.33</v>
      </c>
      <c r="K584" s="965">
        <v>46.95</v>
      </c>
      <c r="L584" s="965">
        <v>46.95</v>
      </c>
      <c r="O584" s="963">
        <f t="shared" si="36"/>
        <v>45.5244</v>
      </c>
      <c r="P584" s="963">
        <f t="shared" si="37"/>
        <v>46.172400000000003</v>
      </c>
      <c r="R584" s="963">
        <f t="shared" si="38"/>
        <v>40.93</v>
      </c>
      <c r="S584" s="963">
        <f t="shared" si="39"/>
        <v>43.129999999999995</v>
      </c>
    </row>
    <row r="585" spans="1:19" hidden="1" x14ac:dyDescent="0.25">
      <c r="A585" t="s">
        <v>744</v>
      </c>
      <c r="B585" t="s">
        <v>745</v>
      </c>
      <c r="C585" s="24" t="s">
        <v>1904</v>
      </c>
      <c r="D585" t="s">
        <v>1905</v>
      </c>
      <c r="E585" s="965">
        <v>30.97</v>
      </c>
      <c r="F585" s="966">
        <v>64410</v>
      </c>
      <c r="G585" s="967">
        <v>2.6</v>
      </c>
      <c r="H585" s="965">
        <v>21.82</v>
      </c>
      <c r="I585" s="965">
        <v>26.47</v>
      </c>
      <c r="J585" s="965">
        <v>29.93</v>
      </c>
      <c r="K585" s="965">
        <v>36.39</v>
      </c>
      <c r="L585" s="965">
        <v>39.200000000000003</v>
      </c>
      <c r="O585" s="963">
        <f t="shared" si="36"/>
        <v>30.705200000000001</v>
      </c>
      <c r="P585" s="963">
        <f t="shared" si="37"/>
        <v>33.289200000000001</v>
      </c>
      <c r="R585" s="963">
        <f t="shared" si="38"/>
        <v>27.161999999999999</v>
      </c>
      <c r="S585" s="963">
        <f t="shared" si="39"/>
        <v>28.545999999999999</v>
      </c>
    </row>
    <row r="586" spans="1:19" hidden="1" x14ac:dyDescent="0.25">
      <c r="A586" t="s">
        <v>744</v>
      </c>
      <c r="B586" t="s">
        <v>745</v>
      </c>
      <c r="C586" s="24" t="s">
        <v>1906</v>
      </c>
      <c r="D586" t="s">
        <v>1907</v>
      </c>
      <c r="E586" s="965">
        <v>23.8</v>
      </c>
      <c r="F586" s="966">
        <v>49500</v>
      </c>
      <c r="G586" s="967">
        <v>3.8</v>
      </c>
      <c r="H586" s="965">
        <v>16.190000000000001</v>
      </c>
      <c r="I586" s="965">
        <v>17.3</v>
      </c>
      <c r="J586" s="965">
        <v>24.48</v>
      </c>
      <c r="K586" s="965">
        <v>28.38</v>
      </c>
      <c r="L586" s="965">
        <v>29.01</v>
      </c>
      <c r="O586" s="963">
        <f t="shared" si="36"/>
        <v>24.948</v>
      </c>
      <c r="P586" s="963">
        <f t="shared" si="37"/>
        <v>26.507999999999999</v>
      </c>
      <c r="R586" s="963">
        <f t="shared" si="38"/>
        <v>18.736000000000001</v>
      </c>
      <c r="S586" s="963">
        <f t="shared" si="39"/>
        <v>21.608000000000001</v>
      </c>
    </row>
    <row r="587" spans="1:19" hidden="1" x14ac:dyDescent="0.25">
      <c r="A587" t="s">
        <v>744</v>
      </c>
      <c r="B587" t="s">
        <v>745</v>
      </c>
      <c r="C587" s="24" t="s">
        <v>1908</v>
      </c>
      <c r="D587" t="s">
        <v>1909</v>
      </c>
      <c r="E587" s="965">
        <v>26.02</v>
      </c>
      <c r="F587" s="966">
        <v>54120</v>
      </c>
      <c r="G587" s="967">
        <v>2.5</v>
      </c>
      <c r="H587" s="965">
        <v>16.84</v>
      </c>
      <c r="I587" s="965">
        <v>20.99</v>
      </c>
      <c r="J587" s="965">
        <v>26.65</v>
      </c>
      <c r="K587" s="965">
        <v>30.48</v>
      </c>
      <c r="L587" s="965">
        <v>34.26</v>
      </c>
      <c r="O587" s="963">
        <f t="shared" si="36"/>
        <v>27.1096</v>
      </c>
      <c r="P587" s="963">
        <f t="shared" si="37"/>
        <v>28.6416</v>
      </c>
      <c r="R587" s="963">
        <f t="shared" si="38"/>
        <v>22.122</v>
      </c>
      <c r="S587" s="963">
        <f t="shared" si="39"/>
        <v>24.385999999999999</v>
      </c>
    </row>
    <row r="588" spans="1:19" hidden="1" x14ac:dyDescent="0.25">
      <c r="A588" t="s">
        <v>744</v>
      </c>
      <c r="B588" t="s">
        <v>745</v>
      </c>
      <c r="C588" s="24" t="s">
        <v>1910</v>
      </c>
      <c r="D588" t="s">
        <v>1911</v>
      </c>
      <c r="E588" s="965">
        <v>19.54</v>
      </c>
      <c r="F588" s="966">
        <v>40650</v>
      </c>
      <c r="G588" s="967">
        <v>4</v>
      </c>
      <c r="H588" s="965">
        <v>15.08</v>
      </c>
      <c r="I588" s="965">
        <v>16.829999999999998</v>
      </c>
      <c r="J588" s="965">
        <v>20.63</v>
      </c>
      <c r="K588" s="965">
        <v>21.87</v>
      </c>
      <c r="L588" s="965">
        <v>23.96</v>
      </c>
      <c r="O588" s="963">
        <f t="shared" si="36"/>
        <v>20.7788</v>
      </c>
      <c r="P588" s="963">
        <f t="shared" si="37"/>
        <v>21.274799999999999</v>
      </c>
      <c r="R588" s="963">
        <f t="shared" si="38"/>
        <v>17.59</v>
      </c>
      <c r="S588" s="963">
        <f t="shared" si="39"/>
        <v>19.11</v>
      </c>
    </row>
    <row r="589" spans="1:19" hidden="1" x14ac:dyDescent="0.25">
      <c r="A589" t="s">
        <v>744</v>
      </c>
      <c r="B589" t="s">
        <v>745</v>
      </c>
      <c r="C589" s="24" t="s">
        <v>1912</v>
      </c>
      <c r="D589" t="s">
        <v>1913</v>
      </c>
      <c r="E589" s="965">
        <v>27.19</v>
      </c>
      <c r="F589" s="966">
        <v>56550</v>
      </c>
      <c r="G589" s="967">
        <v>7.6</v>
      </c>
      <c r="H589" s="965">
        <v>19.23</v>
      </c>
      <c r="I589" s="965">
        <v>24</v>
      </c>
      <c r="J589" s="965">
        <v>28.39</v>
      </c>
      <c r="K589" s="965">
        <v>28.88</v>
      </c>
      <c r="L589" s="965">
        <v>37.229999999999997</v>
      </c>
      <c r="O589" s="963">
        <f t="shared" si="36"/>
        <v>28.448800000000002</v>
      </c>
      <c r="P589" s="963">
        <f t="shared" si="37"/>
        <v>28.6448</v>
      </c>
      <c r="R589" s="963">
        <f t="shared" si="38"/>
        <v>24.878</v>
      </c>
      <c r="S589" s="963">
        <f t="shared" si="39"/>
        <v>26.634</v>
      </c>
    </row>
    <row r="590" spans="1:19" hidden="1" x14ac:dyDescent="0.25">
      <c r="A590" t="s">
        <v>744</v>
      </c>
      <c r="B590" t="s">
        <v>745</v>
      </c>
      <c r="C590" s="24" t="s">
        <v>1914</v>
      </c>
      <c r="D590" t="s">
        <v>1915</v>
      </c>
      <c r="E590" s="965">
        <v>18.010000000000002</v>
      </c>
      <c r="F590" s="966">
        <v>37460</v>
      </c>
      <c r="G590" s="967">
        <v>2.9</v>
      </c>
      <c r="H590" s="965">
        <v>15.48</v>
      </c>
      <c r="I590" s="965">
        <v>16.5</v>
      </c>
      <c r="J590" s="965">
        <v>17.27</v>
      </c>
      <c r="K590" s="965">
        <v>18.3</v>
      </c>
      <c r="L590" s="965">
        <v>21.72</v>
      </c>
      <c r="O590" s="963">
        <f t="shared" si="36"/>
        <v>17.393599999999999</v>
      </c>
      <c r="P590" s="963">
        <f t="shared" si="37"/>
        <v>17.805600000000002</v>
      </c>
      <c r="R590" s="963">
        <f t="shared" si="38"/>
        <v>16.654</v>
      </c>
      <c r="S590" s="963">
        <f t="shared" si="39"/>
        <v>16.962</v>
      </c>
    </row>
    <row r="591" spans="1:19" hidden="1" x14ac:dyDescent="0.25">
      <c r="A591" t="s">
        <v>744</v>
      </c>
      <c r="B591" t="s">
        <v>745</v>
      </c>
      <c r="C591" s="24" t="s">
        <v>1916</v>
      </c>
      <c r="D591" t="s">
        <v>1917</v>
      </c>
      <c r="E591" s="965">
        <v>31.59</v>
      </c>
      <c r="F591" s="966">
        <v>65710</v>
      </c>
      <c r="G591" s="967">
        <v>6.6</v>
      </c>
      <c r="H591" s="965">
        <v>23.98</v>
      </c>
      <c r="I591" s="965">
        <v>28.4</v>
      </c>
      <c r="J591" s="965">
        <v>30.67</v>
      </c>
      <c r="K591" s="965">
        <v>34.119999999999997</v>
      </c>
      <c r="L591" s="965">
        <v>35.39</v>
      </c>
      <c r="O591" s="963">
        <f t="shared" si="36"/>
        <v>31.084000000000003</v>
      </c>
      <c r="P591" s="963">
        <f t="shared" si="37"/>
        <v>32.463999999999999</v>
      </c>
      <c r="R591" s="963">
        <f t="shared" si="38"/>
        <v>28.853999999999999</v>
      </c>
      <c r="S591" s="963">
        <f t="shared" si="39"/>
        <v>29.762</v>
      </c>
    </row>
    <row r="592" spans="1:19" hidden="1" x14ac:dyDescent="0.25">
      <c r="A592" t="s">
        <v>744</v>
      </c>
      <c r="B592" t="s">
        <v>745</v>
      </c>
      <c r="C592" s="24" t="s">
        <v>1918</v>
      </c>
      <c r="D592" t="s">
        <v>1919</v>
      </c>
      <c r="E592" s="965">
        <v>31.3</v>
      </c>
      <c r="F592" s="966">
        <v>65100</v>
      </c>
      <c r="G592" s="967">
        <v>6.3</v>
      </c>
      <c r="H592" s="965">
        <v>16.11</v>
      </c>
      <c r="I592" s="965">
        <v>25.62</v>
      </c>
      <c r="J592" s="965">
        <v>29</v>
      </c>
      <c r="K592" s="965">
        <v>38.39</v>
      </c>
      <c r="L592" s="965">
        <v>46.05</v>
      </c>
      <c r="O592" s="963">
        <f t="shared" si="36"/>
        <v>30.126800000000003</v>
      </c>
      <c r="P592" s="963">
        <f t="shared" si="37"/>
        <v>33.882800000000003</v>
      </c>
      <c r="R592" s="963">
        <f t="shared" si="38"/>
        <v>26.296000000000003</v>
      </c>
      <c r="S592" s="963">
        <f t="shared" si="39"/>
        <v>27.648</v>
      </c>
    </row>
    <row r="593" spans="1:19" hidden="1" x14ac:dyDescent="0.25">
      <c r="A593" t="s">
        <v>744</v>
      </c>
      <c r="B593" t="s">
        <v>745</v>
      </c>
      <c r="C593" s="24" t="s">
        <v>1920</v>
      </c>
      <c r="D593" t="s">
        <v>1921</v>
      </c>
      <c r="E593" s="965">
        <v>36.15</v>
      </c>
      <c r="F593" s="966">
        <v>75190</v>
      </c>
      <c r="G593" s="967">
        <v>3.7</v>
      </c>
      <c r="H593" s="965">
        <v>23.14</v>
      </c>
      <c r="I593" s="965">
        <v>28.95</v>
      </c>
      <c r="J593" s="965">
        <v>35.43</v>
      </c>
      <c r="K593" s="965">
        <v>42.02</v>
      </c>
      <c r="L593" s="965">
        <v>47.75</v>
      </c>
      <c r="O593" s="963">
        <f t="shared" si="36"/>
        <v>36.220800000000004</v>
      </c>
      <c r="P593" s="963">
        <f t="shared" si="37"/>
        <v>38.8568</v>
      </c>
      <c r="R593" s="963">
        <f t="shared" si="38"/>
        <v>30.246000000000002</v>
      </c>
      <c r="S593" s="963">
        <f t="shared" si="39"/>
        <v>32.838000000000001</v>
      </c>
    </row>
    <row r="594" spans="1:19" hidden="1" x14ac:dyDescent="0.25">
      <c r="A594" t="s">
        <v>744</v>
      </c>
      <c r="B594" t="s">
        <v>745</v>
      </c>
      <c r="C594" s="24" t="s">
        <v>1922</v>
      </c>
      <c r="D594" t="s">
        <v>1923</v>
      </c>
      <c r="E594" s="965">
        <v>27.27</v>
      </c>
      <c r="F594" s="966">
        <v>56730</v>
      </c>
      <c r="G594" s="967">
        <v>2.7</v>
      </c>
      <c r="H594" s="965">
        <v>22.5</v>
      </c>
      <c r="I594" s="965">
        <v>23.12</v>
      </c>
      <c r="J594" s="965">
        <v>27.8</v>
      </c>
      <c r="K594" s="965">
        <v>29.95</v>
      </c>
      <c r="L594" s="965">
        <v>34.630000000000003</v>
      </c>
      <c r="O594" s="963">
        <f t="shared" si="36"/>
        <v>28.058</v>
      </c>
      <c r="P594" s="963">
        <f t="shared" si="37"/>
        <v>28.917999999999999</v>
      </c>
      <c r="R594" s="963">
        <f t="shared" si="38"/>
        <v>24.056000000000001</v>
      </c>
      <c r="S594" s="963">
        <f t="shared" si="39"/>
        <v>25.928000000000001</v>
      </c>
    </row>
    <row r="595" spans="1:19" hidden="1" x14ac:dyDescent="0.25">
      <c r="A595" t="s">
        <v>744</v>
      </c>
      <c r="B595" t="s">
        <v>745</v>
      </c>
      <c r="C595" s="24" t="s">
        <v>1924</v>
      </c>
      <c r="D595" t="s">
        <v>1925</v>
      </c>
      <c r="E595" s="965">
        <v>34.44</v>
      </c>
      <c r="F595" s="966">
        <v>71640</v>
      </c>
      <c r="G595" s="967">
        <v>2</v>
      </c>
      <c r="H595" s="965">
        <v>23.33</v>
      </c>
      <c r="I595" s="965">
        <v>28.22</v>
      </c>
      <c r="J595" s="965">
        <v>32.44</v>
      </c>
      <c r="K595" s="965">
        <v>38.11</v>
      </c>
      <c r="L595" s="965">
        <v>49.73</v>
      </c>
      <c r="O595" s="963">
        <f t="shared" si="36"/>
        <v>33.120399999999997</v>
      </c>
      <c r="P595" s="963">
        <f t="shared" si="37"/>
        <v>35.388399999999997</v>
      </c>
      <c r="R595" s="963">
        <f t="shared" si="38"/>
        <v>29.064</v>
      </c>
      <c r="S595" s="963">
        <f t="shared" si="39"/>
        <v>30.751999999999999</v>
      </c>
    </row>
    <row r="596" spans="1:19" hidden="1" x14ac:dyDescent="0.25">
      <c r="A596" t="s">
        <v>744</v>
      </c>
      <c r="B596" t="s">
        <v>745</v>
      </c>
      <c r="C596" s="24" t="s">
        <v>1926</v>
      </c>
      <c r="D596" t="s">
        <v>1927</v>
      </c>
      <c r="E596" s="965">
        <v>31.4</v>
      </c>
      <c r="F596" s="966">
        <v>65310</v>
      </c>
      <c r="G596" s="967">
        <v>9.1</v>
      </c>
      <c r="H596" s="965">
        <v>17.62</v>
      </c>
      <c r="I596" s="965">
        <v>18.57</v>
      </c>
      <c r="J596" s="965">
        <v>29.25</v>
      </c>
      <c r="K596" s="965">
        <v>41.66</v>
      </c>
      <c r="L596" s="965">
        <v>50.9</v>
      </c>
      <c r="O596" s="963">
        <f t="shared" si="36"/>
        <v>30.7392</v>
      </c>
      <c r="P596" s="963">
        <f t="shared" si="37"/>
        <v>35.703199999999995</v>
      </c>
      <c r="R596" s="963">
        <f t="shared" si="38"/>
        <v>20.706000000000003</v>
      </c>
      <c r="S596" s="963">
        <f t="shared" si="39"/>
        <v>24.978000000000002</v>
      </c>
    </row>
    <row r="597" spans="1:19" hidden="1" x14ac:dyDescent="0.25">
      <c r="A597" t="s">
        <v>744</v>
      </c>
      <c r="B597" t="s">
        <v>745</v>
      </c>
      <c r="C597" s="24" t="s">
        <v>1928</v>
      </c>
      <c r="D597" t="s">
        <v>1929</v>
      </c>
      <c r="E597" s="965">
        <v>37.76</v>
      </c>
      <c r="F597" s="966">
        <v>78540</v>
      </c>
      <c r="G597" s="967">
        <v>8.6999999999999993</v>
      </c>
      <c r="H597" s="965">
        <v>26.59</v>
      </c>
      <c r="I597" s="965">
        <v>29.58</v>
      </c>
      <c r="J597" s="965">
        <v>35.86</v>
      </c>
      <c r="K597" s="965">
        <v>38.31</v>
      </c>
      <c r="L597" s="965">
        <v>47.16</v>
      </c>
      <c r="O597" s="963">
        <f t="shared" si="36"/>
        <v>36.154000000000003</v>
      </c>
      <c r="P597" s="963">
        <f t="shared" si="37"/>
        <v>37.134</v>
      </c>
      <c r="R597" s="963">
        <f t="shared" si="38"/>
        <v>30.835999999999999</v>
      </c>
      <c r="S597" s="963">
        <f t="shared" si="39"/>
        <v>33.347999999999999</v>
      </c>
    </row>
    <row r="598" spans="1:19" hidden="1" x14ac:dyDescent="0.25">
      <c r="A598" t="s">
        <v>744</v>
      </c>
      <c r="B598" t="s">
        <v>745</v>
      </c>
      <c r="C598" s="24" t="s">
        <v>1930</v>
      </c>
      <c r="D598" t="s">
        <v>1931</v>
      </c>
      <c r="E598" s="965">
        <v>46.71</v>
      </c>
      <c r="F598" s="966">
        <v>97160</v>
      </c>
      <c r="G598" s="967">
        <v>1.7</v>
      </c>
      <c r="H598" s="965">
        <v>32.270000000000003</v>
      </c>
      <c r="I598" s="965">
        <v>39.700000000000003</v>
      </c>
      <c r="J598" s="965">
        <v>48.42</v>
      </c>
      <c r="K598" s="965">
        <v>51.52</v>
      </c>
      <c r="L598" s="965">
        <v>58.3</v>
      </c>
      <c r="O598" s="963">
        <f t="shared" si="36"/>
        <v>48.792000000000002</v>
      </c>
      <c r="P598" s="963">
        <f t="shared" si="37"/>
        <v>50.032000000000004</v>
      </c>
      <c r="R598" s="963">
        <f t="shared" si="38"/>
        <v>41.444000000000003</v>
      </c>
      <c r="S598" s="963">
        <f t="shared" si="39"/>
        <v>44.932000000000002</v>
      </c>
    </row>
    <row r="599" spans="1:19" hidden="1" x14ac:dyDescent="0.25">
      <c r="A599" t="s">
        <v>744</v>
      </c>
      <c r="B599" t="s">
        <v>745</v>
      </c>
      <c r="C599" s="24" t="s">
        <v>1932</v>
      </c>
      <c r="D599" t="s">
        <v>1933</v>
      </c>
      <c r="E599" s="965">
        <v>44.37</v>
      </c>
      <c r="F599" s="966">
        <v>92290</v>
      </c>
      <c r="G599" s="967">
        <v>1.5</v>
      </c>
      <c r="H599" s="965">
        <v>30.25</v>
      </c>
      <c r="I599" s="965">
        <v>44.37</v>
      </c>
      <c r="J599" s="965">
        <v>47.4</v>
      </c>
      <c r="K599" s="965">
        <v>49.12</v>
      </c>
      <c r="L599" s="965">
        <v>50.86</v>
      </c>
      <c r="O599" s="963">
        <f t="shared" si="36"/>
        <v>47.606400000000001</v>
      </c>
      <c r="P599" s="963">
        <f t="shared" si="37"/>
        <v>48.294399999999996</v>
      </c>
      <c r="R599" s="963">
        <f t="shared" si="38"/>
        <v>44.975999999999999</v>
      </c>
      <c r="S599" s="963">
        <f t="shared" si="39"/>
        <v>46.187999999999995</v>
      </c>
    </row>
    <row r="600" spans="1:19" hidden="1" x14ac:dyDescent="0.25">
      <c r="A600" t="s">
        <v>744</v>
      </c>
      <c r="B600" t="s">
        <v>745</v>
      </c>
      <c r="C600" s="24" t="s">
        <v>1934</v>
      </c>
      <c r="D600" t="s">
        <v>1935</v>
      </c>
      <c r="E600" s="965">
        <v>35.17</v>
      </c>
      <c r="F600" s="966">
        <v>73160</v>
      </c>
      <c r="G600" s="967">
        <v>5.4</v>
      </c>
      <c r="H600" s="965">
        <v>20.09</v>
      </c>
      <c r="I600" s="965">
        <v>26.39</v>
      </c>
      <c r="J600" s="965">
        <v>32.99</v>
      </c>
      <c r="K600" s="965">
        <v>42.67</v>
      </c>
      <c r="L600" s="965">
        <v>51.98</v>
      </c>
      <c r="O600" s="963">
        <f t="shared" si="36"/>
        <v>34.151600000000002</v>
      </c>
      <c r="P600" s="963">
        <f t="shared" si="37"/>
        <v>38.023600000000002</v>
      </c>
      <c r="R600" s="963">
        <f t="shared" si="38"/>
        <v>27.71</v>
      </c>
      <c r="S600" s="963">
        <f t="shared" si="39"/>
        <v>30.35</v>
      </c>
    </row>
    <row r="601" spans="1:19" hidden="1" x14ac:dyDescent="0.25">
      <c r="A601" t="s">
        <v>744</v>
      </c>
      <c r="B601" t="s">
        <v>745</v>
      </c>
      <c r="C601" s="24" t="s">
        <v>1936</v>
      </c>
      <c r="D601" t="s">
        <v>1937</v>
      </c>
      <c r="E601" s="965">
        <v>26.83</v>
      </c>
      <c r="F601" s="966">
        <v>55800</v>
      </c>
      <c r="G601" s="967">
        <v>3.5</v>
      </c>
      <c r="H601" s="965">
        <v>19.850000000000001</v>
      </c>
      <c r="I601" s="965">
        <v>22.53</v>
      </c>
      <c r="J601" s="965">
        <v>28.33</v>
      </c>
      <c r="K601" s="965">
        <v>29.14</v>
      </c>
      <c r="L601" s="965">
        <v>31.91</v>
      </c>
      <c r="O601" s="963">
        <f t="shared" si="36"/>
        <v>28.427199999999999</v>
      </c>
      <c r="P601" s="963">
        <f t="shared" si="37"/>
        <v>28.751200000000001</v>
      </c>
      <c r="R601" s="963">
        <f t="shared" si="38"/>
        <v>23.69</v>
      </c>
      <c r="S601" s="963">
        <f t="shared" si="39"/>
        <v>26.009999999999998</v>
      </c>
    </row>
    <row r="602" spans="1:19" hidden="1" x14ac:dyDescent="0.25">
      <c r="A602" t="s">
        <v>744</v>
      </c>
      <c r="B602" t="s">
        <v>745</v>
      </c>
      <c r="C602" s="24" t="s">
        <v>1938</v>
      </c>
      <c r="D602" t="s">
        <v>1939</v>
      </c>
      <c r="E602" s="965">
        <v>30.98</v>
      </c>
      <c r="F602" s="966">
        <v>64430</v>
      </c>
      <c r="G602" s="967">
        <v>3.8</v>
      </c>
      <c r="H602" s="965">
        <v>16.16</v>
      </c>
      <c r="I602" s="965">
        <v>27.95</v>
      </c>
      <c r="J602" s="965">
        <v>30.08</v>
      </c>
      <c r="K602" s="965">
        <v>34.869999999999997</v>
      </c>
      <c r="L602" s="965">
        <v>45.47</v>
      </c>
      <c r="O602" s="963">
        <f t="shared" si="36"/>
        <v>30.654799999999998</v>
      </c>
      <c r="P602" s="963">
        <f t="shared" si="37"/>
        <v>32.570799999999998</v>
      </c>
      <c r="R602" s="963">
        <f t="shared" si="38"/>
        <v>28.375999999999998</v>
      </c>
      <c r="S602" s="963">
        <f t="shared" si="39"/>
        <v>29.227999999999998</v>
      </c>
    </row>
    <row r="603" spans="1:19" s="1006" customFormat="1" hidden="1" x14ac:dyDescent="0.25">
      <c r="A603" s="1006" t="s">
        <v>744</v>
      </c>
      <c r="B603" s="1006" t="s">
        <v>745</v>
      </c>
      <c r="C603" s="1007" t="s">
        <v>1940</v>
      </c>
      <c r="D603" s="1006" t="s">
        <v>1941</v>
      </c>
      <c r="E603" s="1008">
        <v>27.04</v>
      </c>
      <c r="F603" s="1009">
        <v>56250</v>
      </c>
      <c r="G603" s="1010">
        <v>0.9</v>
      </c>
      <c r="H603" s="1008">
        <v>17.48</v>
      </c>
      <c r="I603" s="1008">
        <v>21.39</v>
      </c>
      <c r="J603" s="1008">
        <v>25.46</v>
      </c>
      <c r="K603" s="1008">
        <v>31.15</v>
      </c>
      <c r="L603" s="1008">
        <v>38.03</v>
      </c>
      <c r="O603" s="1011">
        <f t="shared" si="36"/>
        <v>26.142800000000001</v>
      </c>
      <c r="P603" s="1011">
        <f t="shared" si="37"/>
        <v>28.418800000000001</v>
      </c>
      <c r="R603" s="963">
        <f t="shared" si="38"/>
        <v>22.204000000000001</v>
      </c>
      <c r="S603" s="963">
        <f t="shared" si="39"/>
        <v>23.832000000000001</v>
      </c>
    </row>
    <row r="604" spans="1:19" hidden="1" x14ac:dyDescent="0.25">
      <c r="A604" t="s">
        <v>744</v>
      </c>
      <c r="B604" t="s">
        <v>745</v>
      </c>
      <c r="C604" s="24" t="s">
        <v>1942</v>
      </c>
      <c r="D604" t="s">
        <v>1943</v>
      </c>
      <c r="E604" s="965">
        <v>27.25</v>
      </c>
      <c r="F604" s="966">
        <v>56670</v>
      </c>
      <c r="G604" s="967">
        <v>9.8000000000000007</v>
      </c>
      <c r="H604" s="965">
        <v>19.86</v>
      </c>
      <c r="I604" s="965">
        <v>25.15</v>
      </c>
      <c r="J604" s="965">
        <v>28.81</v>
      </c>
      <c r="K604" s="965">
        <v>30.58</v>
      </c>
      <c r="L604" s="965">
        <v>31.99</v>
      </c>
      <c r="O604" s="963">
        <f t="shared" si="36"/>
        <v>29.022399999999998</v>
      </c>
      <c r="P604" s="963">
        <f t="shared" si="37"/>
        <v>29.730399999999999</v>
      </c>
      <c r="R604" s="963">
        <f t="shared" si="38"/>
        <v>25.881999999999998</v>
      </c>
      <c r="S604" s="963">
        <f t="shared" si="39"/>
        <v>27.346</v>
      </c>
    </row>
    <row r="605" spans="1:19" hidden="1" x14ac:dyDescent="0.25">
      <c r="A605" t="s">
        <v>744</v>
      </c>
      <c r="B605" t="s">
        <v>745</v>
      </c>
      <c r="C605" s="24" t="s">
        <v>1944</v>
      </c>
      <c r="D605" t="s">
        <v>1945</v>
      </c>
      <c r="E605" s="965">
        <v>29.56</v>
      </c>
      <c r="F605" s="966">
        <v>61490</v>
      </c>
      <c r="G605" s="967">
        <v>1.6</v>
      </c>
      <c r="H605" s="965">
        <v>21.18</v>
      </c>
      <c r="I605" s="965">
        <v>24.33</v>
      </c>
      <c r="J605" s="965">
        <v>29.33</v>
      </c>
      <c r="K605" s="965">
        <v>35.770000000000003</v>
      </c>
      <c r="L605" s="965">
        <v>37.549999999999997</v>
      </c>
      <c r="O605" s="963">
        <f t="shared" si="36"/>
        <v>30.102799999999998</v>
      </c>
      <c r="P605" s="963">
        <f t="shared" si="37"/>
        <v>32.678800000000003</v>
      </c>
      <c r="R605" s="963">
        <f t="shared" si="38"/>
        <v>25.33</v>
      </c>
      <c r="S605" s="963">
        <f t="shared" si="39"/>
        <v>27.33</v>
      </c>
    </row>
    <row r="606" spans="1:19" hidden="1" x14ac:dyDescent="0.25">
      <c r="A606" t="s">
        <v>744</v>
      </c>
      <c r="B606" t="s">
        <v>745</v>
      </c>
      <c r="C606" s="24" t="s">
        <v>1946</v>
      </c>
      <c r="D606" t="s">
        <v>1947</v>
      </c>
      <c r="E606" s="965">
        <v>35.79</v>
      </c>
      <c r="F606" s="966">
        <v>74450</v>
      </c>
      <c r="G606" s="967">
        <v>3.7</v>
      </c>
      <c r="H606" s="965">
        <v>23.29</v>
      </c>
      <c r="I606" s="965">
        <v>28.61</v>
      </c>
      <c r="J606" s="965">
        <v>36.74</v>
      </c>
      <c r="K606" s="965">
        <v>43.09</v>
      </c>
      <c r="L606" s="965">
        <v>44.14</v>
      </c>
      <c r="O606" s="963">
        <f t="shared" si="36"/>
        <v>37.502000000000002</v>
      </c>
      <c r="P606" s="963">
        <f t="shared" si="37"/>
        <v>40.042000000000002</v>
      </c>
      <c r="R606" s="963">
        <f t="shared" si="38"/>
        <v>30.236000000000001</v>
      </c>
      <c r="S606" s="963">
        <f t="shared" si="39"/>
        <v>33.488</v>
      </c>
    </row>
    <row r="607" spans="1:19" hidden="1" x14ac:dyDescent="0.25">
      <c r="A607" t="s">
        <v>744</v>
      </c>
      <c r="B607" t="s">
        <v>745</v>
      </c>
      <c r="C607" s="24" t="s">
        <v>1948</v>
      </c>
      <c r="D607" t="s">
        <v>1949</v>
      </c>
      <c r="E607" s="965">
        <v>40.97</v>
      </c>
      <c r="F607" s="966">
        <v>85220</v>
      </c>
      <c r="G607" s="967">
        <v>0.7</v>
      </c>
      <c r="H607" s="965">
        <v>26.7</v>
      </c>
      <c r="I607" s="965">
        <v>35.450000000000003</v>
      </c>
      <c r="J607" s="965">
        <v>45.05</v>
      </c>
      <c r="K607" s="965">
        <v>46.01</v>
      </c>
      <c r="L607" s="965">
        <v>46.01</v>
      </c>
      <c r="O607" s="963">
        <f t="shared" si="36"/>
        <v>45.165199999999999</v>
      </c>
      <c r="P607" s="963">
        <f t="shared" si="37"/>
        <v>45.549199999999999</v>
      </c>
      <c r="R607" s="963">
        <f t="shared" si="38"/>
        <v>37.370000000000005</v>
      </c>
      <c r="S607" s="963">
        <f t="shared" si="39"/>
        <v>41.21</v>
      </c>
    </row>
    <row r="608" spans="1:19" hidden="1" x14ac:dyDescent="0.25">
      <c r="A608" t="s">
        <v>744</v>
      </c>
      <c r="B608" t="s">
        <v>745</v>
      </c>
      <c r="C608" s="24" t="s">
        <v>1950</v>
      </c>
      <c r="D608" t="s">
        <v>1951</v>
      </c>
      <c r="E608" s="965">
        <v>19.68</v>
      </c>
      <c r="F608" s="966">
        <v>40940</v>
      </c>
      <c r="G608" s="967">
        <v>5.9</v>
      </c>
      <c r="H608" s="965">
        <v>15.25</v>
      </c>
      <c r="I608" s="965">
        <v>16</v>
      </c>
      <c r="J608" s="965">
        <v>16.75</v>
      </c>
      <c r="K608" s="965">
        <v>21.32</v>
      </c>
      <c r="L608" s="965">
        <v>23.47</v>
      </c>
      <c r="O608" s="963">
        <f t="shared" si="36"/>
        <v>17.298400000000001</v>
      </c>
      <c r="P608" s="963">
        <f t="shared" si="37"/>
        <v>19.1264</v>
      </c>
      <c r="R608" s="963">
        <f t="shared" si="38"/>
        <v>16.149999999999999</v>
      </c>
      <c r="S608" s="963">
        <f t="shared" si="39"/>
        <v>16.45</v>
      </c>
    </row>
    <row r="609" spans="1:19" s="1006" customFormat="1" hidden="1" x14ac:dyDescent="0.25">
      <c r="A609" s="1006" t="s">
        <v>744</v>
      </c>
      <c r="B609" s="1006" t="s">
        <v>745</v>
      </c>
      <c r="C609" s="1007" t="s">
        <v>1952</v>
      </c>
      <c r="D609" s="1006" t="s">
        <v>1953</v>
      </c>
      <c r="E609" s="1008">
        <v>26.53</v>
      </c>
      <c r="F609" s="1009">
        <v>55170</v>
      </c>
      <c r="G609" s="1010">
        <v>2.4</v>
      </c>
      <c r="H609" s="1008">
        <v>18.53</v>
      </c>
      <c r="I609" s="1008">
        <v>22.17</v>
      </c>
      <c r="J609" s="1008">
        <v>24.11</v>
      </c>
      <c r="K609" s="1008">
        <v>29.05</v>
      </c>
      <c r="L609" s="1008">
        <v>35.14</v>
      </c>
      <c r="O609" s="1011">
        <f t="shared" si="36"/>
        <v>24.7028</v>
      </c>
      <c r="P609" s="1011">
        <f t="shared" si="37"/>
        <v>26.678799999999999</v>
      </c>
      <c r="R609" s="963">
        <f t="shared" si="38"/>
        <v>22.558</v>
      </c>
      <c r="S609" s="963">
        <f t="shared" si="39"/>
        <v>23.334</v>
      </c>
    </row>
    <row r="610" spans="1:19" hidden="1" x14ac:dyDescent="0.25">
      <c r="A610" t="s">
        <v>744</v>
      </c>
      <c r="B610" t="s">
        <v>745</v>
      </c>
      <c r="C610" s="24" t="s">
        <v>1954</v>
      </c>
      <c r="D610" t="s">
        <v>1955</v>
      </c>
      <c r="E610" s="965">
        <v>24.91</v>
      </c>
      <c r="F610" s="966">
        <v>51820</v>
      </c>
      <c r="G610" s="967">
        <v>0.5</v>
      </c>
      <c r="H610" s="965">
        <v>16.41</v>
      </c>
      <c r="I610" s="965">
        <v>18.29</v>
      </c>
      <c r="J610" s="965">
        <v>22.57</v>
      </c>
      <c r="K610" s="965">
        <v>29.06</v>
      </c>
      <c r="L610" s="965">
        <v>37</v>
      </c>
      <c r="O610" s="963">
        <f t="shared" si="36"/>
        <v>23.348800000000001</v>
      </c>
      <c r="P610" s="963">
        <f t="shared" si="37"/>
        <v>25.944800000000001</v>
      </c>
      <c r="R610" s="963">
        <f t="shared" si="38"/>
        <v>19.146000000000001</v>
      </c>
      <c r="S610" s="963">
        <f t="shared" si="39"/>
        <v>20.858000000000001</v>
      </c>
    </row>
    <row r="611" spans="1:19" hidden="1" x14ac:dyDescent="0.25">
      <c r="A611" t="s">
        <v>744</v>
      </c>
      <c r="B611" t="s">
        <v>745</v>
      </c>
      <c r="C611" s="24" t="s">
        <v>1956</v>
      </c>
      <c r="D611" t="s">
        <v>1957</v>
      </c>
      <c r="E611" s="965">
        <v>36.85</v>
      </c>
      <c r="F611" s="966">
        <v>76650</v>
      </c>
      <c r="G611" s="967">
        <v>0.7</v>
      </c>
      <c r="H611" s="965">
        <v>22.86</v>
      </c>
      <c r="I611" s="965">
        <v>28.21</v>
      </c>
      <c r="J611" s="965">
        <v>36.130000000000003</v>
      </c>
      <c r="K611" s="965">
        <v>45.35</v>
      </c>
      <c r="L611" s="965">
        <v>51.88</v>
      </c>
      <c r="O611" s="963">
        <f t="shared" si="36"/>
        <v>37.236400000000003</v>
      </c>
      <c r="P611" s="963">
        <f t="shared" si="37"/>
        <v>40.924400000000006</v>
      </c>
      <c r="R611" s="963">
        <f t="shared" si="38"/>
        <v>29.794000000000004</v>
      </c>
      <c r="S611" s="963">
        <f t="shared" si="39"/>
        <v>32.962000000000003</v>
      </c>
    </row>
    <row r="612" spans="1:19" hidden="1" x14ac:dyDescent="0.25">
      <c r="A612" t="s">
        <v>744</v>
      </c>
      <c r="B612" t="s">
        <v>745</v>
      </c>
      <c r="C612" s="24" t="s">
        <v>1958</v>
      </c>
      <c r="D612" t="s">
        <v>1959</v>
      </c>
      <c r="E612" s="965">
        <v>21.2</v>
      </c>
      <c r="F612" s="966">
        <v>44100</v>
      </c>
      <c r="G612" s="967">
        <v>5.0999999999999996</v>
      </c>
      <c r="H612" s="965">
        <v>16.579999999999998</v>
      </c>
      <c r="I612" s="965">
        <v>18.05</v>
      </c>
      <c r="J612" s="965">
        <v>18.829999999999998</v>
      </c>
      <c r="K612" s="965">
        <v>20.51</v>
      </c>
      <c r="L612" s="965">
        <v>35.69</v>
      </c>
      <c r="O612" s="963">
        <f t="shared" si="36"/>
        <v>19.031599999999997</v>
      </c>
      <c r="P612" s="963">
        <f t="shared" si="37"/>
        <v>19.703600000000002</v>
      </c>
      <c r="R612" s="963">
        <f t="shared" si="38"/>
        <v>18.206</v>
      </c>
      <c r="S612" s="963">
        <f t="shared" si="39"/>
        <v>18.518000000000001</v>
      </c>
    </row>
    <row r="613" spans="1:19" hidden="1" x14ac:dyDescent="0.25">
      <c r="A613" t="s">
        <v>744</v>
      </c>
      <c r="B613" t="s">
        <v>745</v>
      </c>
      <c r="C613" s="24" t="s">
        <v>1960</v>
      </c>
      <c r="D613" t="s">
        <v>1961</v>
      </c>
      <c r="E613" s="965">
        <v>22.69</v>
      </c>
      <c r="F613" s="966">
        <v>47190</v>
      </c>
      <c r="G613" s="967">
        <v>1.3</v>
      </c>
      <c r="H613" s="965">
        <v>17.61</v>
      </c>
      <c r="I613" s="965">
        <v>18.899999999999999</v>
      </c>
      <c r="J613" s="965">
        <v>22.28</v>
      </c>
      <c r="K613" s="965">
        <v>23.88</v>
      </c>
      <c r="L613" s="965">
        <v>28.93</v>
      </c>
      <c r="O613" s="963">
        <f t="shared" si="36"/>
        <v>22.472000000000001</v>
      </c>
      <c r="P613" s="963">
        <f t="shared" si="37"/>
        <v>23.112000000000002</v>
      </c>
      <c r="R613" s="963">
        <f t="shared" si="38"/>
        <v>19.576000000000001</v>
      </c>
      <c r="S613" s="963">
        <f t="shared" si="39"/>
        <v>20.928000000000001</v>
      </c>
    </row>
    <row r="614" spans="1:19" hidden="1" x14ac:dyDescent="0.25">
      <c r="A614" t="s">
        <v>744</v>
      </c>
      <c r="B614" t="s">
        <v>745</v>
      </c>
      <c r="C614" s="24" t="s">
        <v>1962</v>
      </c>
      <c r="D614" t="s">
        <v>1963</v>
      </c>
      <c r="E614" s="965">
        <v>25.93</v>
      </c>
      <c r="F614" s="966">
        <v>53940</v>
      </c>
      <c r="G614" s="967">
        <v>3.5</v>
      </c>
      <c r="H614" s="965">
        <v>18.899999999999999</v>
      </c>
      <c r="I614" s="965">
        <v>18.899999999999999</v>
      </c>
      <c r="J614" s="965">
        <v>26.38</v>
      </c>
      <c r="K614" s="965">
        <v>28.47</v>
      </c>
      <c r="L614" s="965">
        <v>41.12</v>
      </c>
      <c r="O614" s="963">
        <f t="shared" si="36"/>
        <v>26.630800000000001</v>
      </c>
      <c r="P614" s="963">
        <f t="shared" si="37"/>
        <v>27.466799999999999</v>
      </c>
      <c r="R614" s="963">
        <f t="shared" si="38"/>
        <v>20.396000000000001</v>
      </c>
      <c r="S614" s="963">
        <f t="shared" si="39"/>
        <v>23.387999999999998</v>
      </c>
    </row>
    <row r="615" spans="1:19" hidden="1" x14ac:dyDescent="0.25">
      <c r="A615" t="s">
        <v>744</v>
      </c>
      <c r="B615" t="s">
        <v>745</v>
      </c>
      <c r="C615" s="24" t="s">
        <v>1964</v>
      </c>
      <c r="D615" t="s">
        <v>1965</v>
      </c>
      <c r="E615" s="965">
        <v>28.33</v>
      </c>
      <c r="F615" s="966">
        <v>58920</v>
      </c>
      <c r="G615" s="967">
        <v>1.8</v>
      </c>
      <c r="H615" s="965">
        <v>19.07</v>
      </c>
      <c r="I615" s="965">
        <v>24</v>
      </c>
      <c r="J615" s="965">
        <v>28.91</v>
      </c>
      <c r="K615" s="965">
        <v>30.72</v>
      </c>
      <c r="L615" s="965">
        <v>36.35</v>
      </c>
      <c r="O615" s="963">
        <f t="shared" si="36"/>
        <v>29.127199999999998</v>
      </c>
      <c r="P615" s="963">
        <f t="shared" si="37"/>
        <v>29.851199999999999</v>
      </c>
      <c r="R615" s="963">
        <f t="shared" si="38"/>
        <v>24.981999999999999</v>
      </c>
      <c r="S615" s="963">
        <f t="shared" si="39"/>
        <v>26.946000000000002</v>
      </c>
    </row>
    <row r="616" spans="1:19" hidden="1" x14ac:dyDescent="0.25">
      <c r="A616" t="s">
        <v>744</v>
      </c>
      <c r="B616" t="s">
        <v>745</v>
      </c>
      <c r="C616" s="24" t="s">
        <v>1966</v>
      </c>
      <c r="D616" t="s">
        <v>1967</v>
      </c>
      <c r="E616" s="965">
        <v>23.65</v>
      </c>
      <c r="F616" s="966">
        <v>49200</v>
      </c>
      <c r="G616" s="967">
        <v>5.2</v>
      </c>
      <c r="H616" s="965">
        <v>17.649999999999999</v>
      </c>
      <c r="I616" s="965">
        <v>18.899999999999999</v>
      </c>
      <c r="J616" s="965">
        <v>21.52</v>
      </c>
      <c r="K616" s="965">
        <v>26.83</v>
      </c>
      <c r="L616" s="965">
        <v>35.33</v>
      </c>
      <c r="O616" s="963">
        <f t="shared" si="36"/>
        <v>22.1572</v>
      </c>
      <c r="P616" s="963">
        <f t="shared" si="37"/>
        <v>24.281199999999998</v>
      </c>
      <c r="R616" s="963">
        <f t="shared" si="38"/>
        <v>19.423999999999999</v>
      </c>
      <c r="S616" s="963">
        <f t="shared" si="39"/>
        <v>20.471999999999998</v>
      </c>
    </row>
    <row r="617" spans="1:19" hidden="1" x14ac:dyDescent="0.25">
      <c r="A617" t="s">
        <v>744</v>
      </c>
      <c r="B617" t="s">
        <v>745</v>
      </c>
      <c r="C617" s="24" t="s">
        <v>1968</v>
      </c>
      <c r="D617" t="s">
        <v>1969</v>
      </c>
      <c r="E617" s="965">
        <v>21.23</v>
      </c>
      <c r="F617" s="966">
        <v>44150</v>
      </c>
      <c r="G617" s="967">
        <v>1.2</v>
      </c>
      <c r="H617" s="965">
        <v>15.99</v>
      </c>
      <c r="I617" s="965">
        <v>17.45</v>
      </c>
      <c r="J617" s="965">
        <v>19.71</v>
      </c>
      <c r="K617" s="965">
        <v>23.27</v>
      </c>
      <c r="L617" s="965">
        <v>28.71</v>
      </c>
      <c r="O617" s="963">
        <f t="shared" si="36"/>
        <v>20.1372</v>
      </c>
      <c r="P617" s="963">
        <f t="shared" si="37"/>
        <v>21.561199999999999</v>
      </c>
      <c r="R617" s="963">
        <f t="shared" si="38"/>
        <v>17.902000000000001</v>
      </c>
      <c r="S617" s="963">
        <f t="shared" si="39"/>
        <v>18.806000000000001</v>
      </c>
    </row>
    <row r="618" spans="1:19" hidden="1" x14ac:dyDescent="0.25">
      <c r="A618" t="s">
        <v>744</v>
      </c>
      <c r="B618" t="s">
        <v>745</v>
      </c>
      <c r="C618" s="24" t="s">
        <v>1970</v>
      </c>
      <c r="D618" t="s">
        <v>1971</v>
      </c>
      <c r="E618" s="965">
        <v>19.93</v>
      </c>
      <c r="F618" s="966">
        <v>41450</v>
      </c>
      <c r="G618" s="967">
        <v>1.3</v>
      </c>
      <c r="H618" s="965">
        <v>15.52</v>
      </c>
      <c r="I618" s="965">
        <v>17.09</v>
      </c>
      <c r="J618" s="965">
        <v>18.309999999999999</v>
      </c>
      <c r="K618" s="965">
        <v>20.83</v>
      </c>
      <c r="L618" s="965">
        <v>29.34</v>
      </c>
      <c r="O618" s="963">
        <f t="shared" si="36"/>
        <v>18.612399999999997</v>
      </c>
      <c r="P618" s="963">
        <f t="shared" si="37"/>
        <v>19.6204</v>
      </c>
      <c r="R618" s="963">
        <f t="shared" si="38"/>
        <v>17.334</v>
      </c>
      <c r="S618" s="963">
        <f t="shared" si="39"/>
        <v>17.821999999999999</v>
      </c>
    </row>
    <row r="619" spans="1:19" hidden="1" x14ac:dyDescent="0.25">
      <c r="A619" t="s">
        <v>744</v>
      </c>
      <c r="B619" t="s">
        <v>745</v>
      </c>
      <c r="C619" s="24" t="s">
        <v>1972</v>
      </c>
      <c r="D619" t="s">
        <v>1973</v>
      </c>
      <c r="E619" s="965">
        <v>23.9</v>
      </c>
      <c r="F619" s="966">
        <v>49710</v>
      </c>
      <c r="G619" s="967">
        <v>1.9</v>
      </c>
      <c r="H619" s="965">
        <v>16.739999999999998</v>
      </c>
      <c r="I619" s="965">
        <v>18.45</v>
      </c>
      <c r="J619" s="965">
        <v>23</v>
      </c>
      <c r="K619" s="965">
        <v>28.79</v>
      </c>
      <c r="L619" s="965">
        <v>30.78</v>
      </c>
      <c r="O619" s="963">
        <f t="shared" si="36"/>
        <v>23.694800000000001</v>
      </c>
      <c r="P619" s="963">
        <f t="shared" si="37"/>
        <v>26.0108</v>
      </c>
      <c r="R619" s="963">
        <f t="shared" si="38"/>
        <v>19.36</v>
      </c>
      <c r="S619" s="963">
        <f t="shared" si="39"/>
        <v>21.18</v>
      </c>
    </row>
    <row r="620" spans="1:19" hidden="1" x14ac:dyDescent="0.25">
      <c r="A620" t="s">
        <v>744</v>
      </c>
      <c r="B620" t="s">
        <v>745</v>
      </c>
      <c r="C620" s="24" t="s">
        <v>1974</v>
      </c>
      <c r="D620" t="s">
        <v>1975</v>
      </c>
      <c r="E620" s="965">
        <v>17.72</v>
      </c>
      <c r="F620" s="966">
        <v>36860</v>
      </c>
      <c r="G620" s="967">
        <v>1.2</v>
      </c>
      <c r="H620" s="965">
        <v>15.07</v>
      </c>
      <c r="I620" s="965">
        <v>15.51</v>
      </c>
      <c r="J620" s="965">
        <v>15.85</v>
      </c>
      <c r="K620" s="965">
        <v>19.52</v>
      </c>
      <c r="L620" s="965">
        <v>23.93</v>
      </c>
      <c r="O620" s="963">
        <f t="shared" si="36"/>
        <v>16.290400000000002</v>
      </c>
      <c r="P620" s="963">
        <f t="shared" si="37"/>
        <v>17.758399999999998</v>
      </c>
      <c r="R620" s="963">
        <f t="shared" si="38"/>
        <v>15.577999999999999</v>
      </c>
      <c r="S620" s="963">
        <f t="shared" si="39"/>
        <v>15.714</v>
      </c>
    </row>
    <row r="621" spans="1:19" hidden="1" x14ac:dyDescent="0.25">
      <c r="A621" t="s">
        <v>744</v>
      </c>
      <c r="B621" t="s">
        <v>745</v>
      </c>
      <c r="C621" s="24" t="s">
        <v>1976</v>
      </c>
      <c r="D621" t="s">
        <v>1977</v>
      </c>
      <c r="E621" s="965">
        <v>18.89</v>
      </c>
      <c r="F621" s="966">
        <v>39280</v>
      </c>
      <c r="G621" s="967">
        <v>5.5</v>
      </c>
      <c r="H621" s="965">
        <v>16.350000000000001</v>
      </c>
      <c r="I621" s="965">
        <v>16.72</v>
      </c>
      <c r="J621" s="965">
        <v>16.920000000000002</v>
      </c>
      <c r="K621" s="965">
        <v>18.86</v>
      </c>
      <c r="L621" s="965">
        <v>26.56</v>
      </c>
      <c r="O621" s="963">
        <f t="shared" si="36"/>
        <v>17.152800000000003</v>
      </c>
      <c r="P621" s="963">
        <f t="shared" si="37"/>
        <v>17.928799999999999</v>
      </c>
      <c r="R621" s="963">
        <f t="shared" si="38"/>
        <v>16.759999999999998</v>
      </c>
      <c r="S621" s="963">
        <f t="shared" si="39"/>
        <v>16.84</v>
      </c>
    </row>
    <row r="622" spans="1:19" hidden="1" x14ac:dyDescent="0.25">
      <c r="A622" t="s">
        <v>744</v>
      </c>
      <c r="B622" t="s">
        <v>745</v>
      </c>
      <c r="C622" s="24" t="s">
        <v>1978</v>
      </c>
      <c r="D622" t="s">
        <v>1979</v>
      </c>
      <c r="E622" s="965">
        <v>21.64</v>
      </c>
      <c r="F622" s="966">
        <v>45010</v>
      </c>
      <c r="G622" s="967">
        <v>3.8</v>
      </c>
      <c r="H622" s="965">
        <v>16.829999999999998</v>
      </c>
      <c r="I622" s="965">
        <v>18.75</v>
      </c>
      <c r="J622" s="965">
        <v>22.21</v>
      </c>
      <c r="K622" s="965">
        <v>24.61</v>
      </c>
      <c r="L622" s="965">
        <v>25.11</v>
      </c>
      <c r="O622" s="963">
        <f t="shared" si="36"/>
        <v>22.498000000000001</v>
      </c>
      <c r="P622" s="963">
        <f t="shared" si="37"/>
        <v>23.457999999999998</v>
      </c>
      <c r="R622" s="963">
        <f t="shared" si="38"/>
        <v>19.442</v>
      </c>
      <c r="S622" s="963">
        <f t="shared" si="39"/>
        <v>20.826000000000001</v>
      </c>
    </row>
    <row r="623" spans="1:19" hidden="1" x14ac:dyDescent="0.25">
      <c r="A623" t="s">
        <v>744</v>
      </c>
      <c r="B623" t="s">
        <v>745</v>
      </c>
      <c r="C623" s="24" t="s">
        <v>1980</v>
      </c>
      <c r="D623" t="s">
        <v>1981</v>
      </c>
      <c r="E623" s="965">
        <v>18.12</v>
      </c>
      <c r="F623" s="966">
        <v>37700</v>
      </c>
      <c r="G623" s="967">
        <v>1.5</v>
      </c>
      <c r="H623" s="965">
        <v>15</v>
      </c>
      <c r="I623" s="965">
        <v>15.97</v>
      </c>
      <c r="J623" s="965">
        <v>16.93</v>
      </c>
      <c r="K623" s="965">
        <v>18.59</v>
      </c>
      <c r="L623" s="965">
        <v>23.63</v>
      </c>
      <c r="O623" s="963">
        <f t="shared" si="36"/>
        <v>17.129200000000001</v>
      </c>
      <c r="P623" s="963">
        <f t="shared" si="37"/>
        <v>17.793199999999999</v>
      </c>
      <c r="R623" s="963">
        <f t="shared" si="38"/>
        <v>16.161999999999999</v>
      </c>
      <c r="S623" s="963">
        <f t="shared" si="39"/>
        <v>16.545999999999999</v>
      </c>
    </row>
    <row r="624" spans="1:19" hidden="1" x14ac:dyDescent="0.25">
      <c r="A624" t="s">
        <v>744</v>
      </c>
      <c r="B624" t="s">
        <v>745</v>
      </c>
      <c r="C624" s="24" t="s">
        <v>1982</v>
      </c>
      <c r="D624" t="s">
        <v>1983</v>
      </c>
      <c r="E624" s="965">
        <v>19.27</v>
      </c>
      <c r="F624" s="966">
        <v>40080</v>
      </c>
      <c r="G624" s="967">
        <v>3</v>
      </c>
      <c r="H624" s="965">
        <v>15.17</v>
      </c>
      <c r="I624" s="965">
        <v>18.100000000000001</v>
      </c>
      <c r="J624" s="965">
        <v>19.690000000000001</v>
      </c>
      <c r="K624" s="965">
        <v>20.51</v>
      </c>
      <c r="L624" s="965">
        <v>22.07</v>
      </c>
      <c r="O624" s="963">
        <f t="shared" si="36"/>
        <v>19.788400000000003</v>
      </c>
      <c r="P624" s="963">
        <f t="shared" si="37"/>
        <v>20.116400000000002</v>
      </c>
      <c r="R624" s="963">
        <f t="shared" si="38"/>
        <v>18.418000000000003</v>
      </c>
      <c r="S624" s="963">
        <f t="shared" si="39"/>
        <v>19.054000000000002</v>
      </c>
    </row>
    <row r="625" spans="1:19" hidden="1" x14ac:dyDescent="0.25">
      <c r="A625" t="s">
        <v>744</v>
      </c>
      <c r="B625" t="s">
        <v>745</v>
      </c>
      <c r="C625" s="24" t="s">
        <v>1984</v>
      </c>
      <c r="D625" t="s">
        <v>1985</v>
      </c>
      <c r="E625" s="965">
        <v>19.79</v>
      </c>
      <c r="F625" s="966">
        <v>41150</v>
      </c>
      <c r="G625" s="967">
        <v>1.1000000000000001</v>
      </c>
      <c r="H625" s="965">
        <v>16.34</v>
      </c>
      <c r="I625" s="965">
        <v>18.73</v>
      </c>
      <c r="J625" s="965">
        <v>19.899999999999999</v>
      </c>
      <c r="K625" s="965">
        <v>21.73</v>
      </c>
      <c r="L625" s="965">
        <v>22.74</v>
      </c>
      <c r="O625" s="963">
        <f t="shared" si="36"/>
        <v>20.119599999999998</v>
      </c>
      <c r="P625" s="963">
        <f t="shared" si="37"/>
        <v>20.851600000000001</v>
      </c>
      <c r="R625" s="963">
        <f t="shared" si="38"/>
        <v>18.963999999999999</v>
      </c>
      <c r="S625" s="963">
        <f t="shared" si="39"/>
        <v>19.431999999999999</v>
      </c>
    </row>
    <row r="626" spans="1:19" hidden="1" x14ac:dyDescent="0.25">
      <c r="A626" t="s">
        <v>744</v>
      </c>
      <c r="B626" t="s">
        <v>745</v>
      </c>
      <c r="C626" s="24" t="s">
        <v>1986</v>
      </c>
      <c r="D626" t="s">
        <v>1987</v>
      </c>
      <c r="E626" s="965">
        <v>22.61</v>
      </c>
      <c r="F626" s="966">
        <v>47040</v>
      </c>
      <c r="G626" s="967">
        <v>2</v>
      </c>
      <c r="H626" s="965">
        <v>17.149999999999999</v>
      </c>
      <c r="I626" s="965">
        <v>19.27</v>
      </c>
      <c r="J626" s="965">
        <v>22.72</v>
      </c>
      <c r="K626" s="965">
        <v>24.72</v>
      </c>
      <c r="L626" s="965">
        <v>27.28</v>
      </c>
      <c r="O626" s="963">
        <f t="shared" si="36"/>
        <v>22.96</v>
      </c>
      <c r="P626" s="963">
        <f t="shared" si="37"/>
        <v>23.759999999999998</v>
      </c>
      <c r="R626" s="963">
        <f t="shared" si="38"/>
        <v>19.96</v>
      </c>
      <c r="S626" s="963">
        <f t="shared" si="39"/>
        <v>21.34</v>
      </c>
    </row>
    <row r="627" spans="1:19" hidden="1" x14ac:dyDescent="0.25">
      <c r="A627" t="s">
        <v>744</v>
      </c>
      <c r="B627" t="s">
        <v>745</v>
      </c>
      <c r="C627" s="24" t="s">
        <v>1988</v>
      </c>
      <c r="D627" t="s">
        <v>1989</v>
      </c>
      <c r="E627" s="965">
        <v>23.73</v>
      </c>
      <c r="F627" s="966">
        <v>49350</v>
      </c>
      <c r="G627" s="967">
        <v>2.5</v>
      </c>
      <c r="H627" s="965">
        <v>20.100000000000001</v>
      </c>
      <c r="I627" s="965">
        <v>21.37</v>
      </c>
      <c r="J627" s="965">
        <v>22.91</v>
      </c>
      <c r="K627" s="965">
        <v>23.9</v>
      </c>
      <c r="L627" s="965">
        <v>30.11</v>
      </c>
      <c r="O627" s="963">
        <f t="shared" si="36"/>
        <v>23.0288</v>
      </c>
      <c r="P627" s="963">
        <f t="shared" si="37"/>
        <v>23.424799999999998</v>
      </c>
      <c r="R627" s="963">
        <f t="shared" si="38"/>
        <v>21.678000000000001</v>
      </c>
      <c r="S627" s="963">
        <f t="shared" si="39"/>
        <v>22.294</v>
      </c>
    </row>
    <row r="628" spans="1:19" hidden="1" x14ac:dyDescent="0.25">
      <c r="A628" t="s">
        <v>744</v>
      </c>
      <c r="B628" t="s">
        <v>745</v>
      </c>
      <c r="C628" s="24" t="s">
        <v>1990</v>
      </c>
      <c r="D628" t="s">
        <v>1991</v>
      </c>
      <c r="E628" s="965">
        <v>23.42</v>
      </c>
      <c r="F628" s="966">
        <v>48710</v>
      </c>
      <c r="G628" s="967">
        <v>1.3</v>
      </c>
      <c r="H628" s="965">
        <v>18.38</v>
      </c>
      <c r="I628" s="965">
        <v>19.86</v>
      </c>
      <c r="J628" s="965">
        <v>22.76</v>
      </c>
      <c r="K628" s="965">
        <v>26.55</v>
      </c>
      <c r="L628" s="965">
        <v>28.69</v>
      </c>
      <c r="O628" s="963">
        <f t="shared" si="36"/>
        <v>23.2148</v>
      </c>
      <c r="P628" s="963">
        <f t="shared" si="37"/>
        <v>24.730800000000002</v>
      </c>
      <c r="R628" s="963">
        <f t="shared" si="38"/>
        <v>20.440000000000001</v>
      </c>
      <c r="S628" s="963">
        <f t="shared" si="39"/>
        <v>21.6</v>
      </c>
    </row>
    <row r="629" spans="1:19" hidden="1" x14ac:dyDescent="0.25">
      <c r="A629" t="s">
        <v>744</v>
      </c>
      <c r="B629" t="s">
        <v>745</v>
      </c>
      <c r="C629" s="24" t="s">
        <v>1992</v>
      </c>
      <c r="D629" t="s">
        <v>1993</v>
      </c>
      <c r="E629" s="965">
        <v>21.54</v>
      </c>
      <c r="F629" s="966">
        <v>44800</v>
      </c>
      <c r="G629" s="967">
        <v>3.4</v>
      </c>
      <c r="H629" s="965">
        <v>17</v>
      </c>
      <c r="I629" s="965">
        <v>17.93</v>
      </c>
      <c r="J629" s="965">
        <v>20.65</v>
      </c>
      <c r="K629" s="965">
        <v>23.49</v>
      </c>
      <c r="L629" s="965">
        <v>28.19</v>
      </c>
      <c r="O629" s="963">
        <f t="shared" si="36"/>
        <v>20.9908</v>
      </c>
      <c r="P629" s="963">
        <f t="shared" si="37"/>
        <v>22.126799999999999</v>
      </c>
      <c r="R629" s="963">
        <f t="shared" si="38"/>
        <v>18.474</v>
      </c>
      <c r="S629" s="963">
        <f t="shared" si="39"/>
        <v>19.561999999999998</v>
      </c>
    </row>
    <row r="630" spans="1:19" hidden="1" x14ac:dyDescent="0.25">
      <c r="A630" t="s">
        <v>744</v>
      </c>
      <c r="B630" t="s">
        <v>745</v>
      </c>
      <c r="C630" s="24" t="s">
        <v>1994</v>
      </c>
      <c r="D630" t="s">
        <v>1995</v>
      </c>
      <c r="E630" s="965">
        <v>33.94</v>
      </c>
      <c r="F630" s="966">
        <v>70590</v>
      </c>
      <c r="G630" s="967">
        <v>3.4</v>
      </c>
      <c r="H630" s="965">
        <v>30.91</v>
      </c>
      <c r="I630" s="965">
        <v>30.92</v>
      </c>
      <c r="J630" s="965">
        <v>37.5</v>
      </c>
      <c r="K630" s="965">
        <v>37.5</v>
      </c>
      <c r="L630" s="965">
        <v>38.43</v>
      </c>
      <c r="O630" s="963">
        <f t="shared" si="36"/>
        <v>37.5</v>
      </c>
      <c r="P630" s="963">
        <f t="shared" si="37"/>
        <v>37.5</v>
      </c>
      <c r="R630" s="963">
        <f t="shared" si="38"/>
        <v>32.236000000000004</v>
      </c>
      <c r="S630" s="963">
        <f t="shared" si="39"/>
        <v>34.868000000000002</v>
      </c>
    </row>
    <row r="631" spans="1:19" hidden="1" x14ac:dyDescent="0.25">
      <c r="A631" t="s">
        <v>744</v>
      </c>
      <c r="B631" t="s">
        <v>745</v>
      </c>
      <c r="C631" s="24" t="s">
        <v>1996</v>
      </c>
      <c r="D631" t="s">
        <v>1997</v>
      </c>
      <c r="E631" s="965">
        <v>23.58</v>
      </c>
      <c r="F631" s="966">
        <v>49050</v>
      </c>
      <c r="G631" s="967">
        <v>1.2</v>
      </c>
      <c r="H631" s="965">
        <v>17.84</v>
      </c>
      <c r="I631" s="965">
        <v>19.47</v>
      </c>
      <c r="J631" s="965">
        <v>22.04</v>
      </c>
      <c r="K631" s="965">
        <v>25.24</v>
      </c>
      <c r="L631" s="965">
        <v>32.94</v>
      </c>
      <c r="O631" s="963">
        <f t="shared" si="36"/>
        <v>22.423999999999999</v>
      </c>
      <c r="P631" s="963">
        <f t="shared" si="37"/>
        <v>23.704000000000001</v>
      </c>
      <c r="R631" s="963">
        <f t="shared" si="38"/>
        <v>19.983999999999998</v>
      </c>
      <c r="S631" s="963">
        <f t="shared" si="39"/>
        <v>21.012</v>
      </c>
    </row>
    <row r="632" spans="1:19" hidden="1" x14ac:dyDescent="0.25">
      <c r="A632" t="s">
        <v>744</v>
      </c>
      <c r="B632" t="s">
        <v>745</v>
      </c>
      <c r="C632" s="24" t="s">
        <v>1998</v>
      </c>
      <c r="D632" t="s">
        <v>1999</v>
      </c>
      <c r="E632" s="965">
        <v>29.12</v>
      </c>
      <c r="F632" s="966">
        <v>60570</v>
      </c>
      <c r="G632" s="967">
        <v>2.6</v>
      </c>
      <c r="H632" s="965">
        <v>22.24</v>
      </c>
      <c r="I632" s="965">
        <v>23.66</v>
      </c>
      <c r="J632" s="965">
        <v>29.41</v>
      </c>
      <c r="K632" s="965">
        <v>33.270000000000003</v>
      </c>
      <c r="L632" s="965">
        <v>38.44</v>
      </c>
      <c r="O632" s="963">
        <f t="shared" si="36"/>
        <v>29.873200000000001</v>
      </c>
      <c r="P632" s="963">
        <f t="shared" si="37"/>
        <v>31.417200000000001</v>
      </c>
      <c r="R632" s="963">
        <f t="shared" si="38"/>
        <v>24.810000000000002</v>
      </c>
      <c r="S632" s="963">
        <f t="shared" si="39"/>
        <v>27.11</v>
      </c>
    </row>
    <row r="633" spans="1:19" hidden="1" x14ac:dyDescent="0.25">
      <c r="A633" t="s">
        <v>744</v>
      </c>
      <c r="B633" t="s">
        <v>745</v>
      </c>
      <c r="C633" s="24" t="s">
        <v>2000</v>
      </c>
      <c r="D633" t="s">
        <v>2001</v>
      </c>
      <c r="E633" s="965">
        <v>26.39</v>
      </c>
      <c r="F633" s="966">
        <v>54900</v>
      </c>
      <c r="G633" s="967">
        <v>3.1</v>
      </c>
      <c r="H633" s="965">
        <v>18.07</v>
      </c>
      <c r="I633" s="965">
        <v>18.32</v>
      </c>
      <c r="J633" s="965">
        <v>26.07</v>
      </c>
      <c r="K633" s="965">
        <v>31.52</v>
      </c>
      <c r="L633" s="965">
        <v>36.94</v>
      </c>
      <c r="O633" s="963">
        <f t="shared" si="36"/>
        <v>26.724</v>
      </c>
      <c r="P633" s="963">
        <f t="shared" si="37"/>
        <v>28.904</v>
      </c>
      <c r="R633" s="963">
        <f t="shared" si="38"/>
        <v>19.87</v>
      </c>
      <c r="S633" s="963">
        <f t="shared" si="39"/>
        <v>22.97</v>
      </c>
    </row>
    <row r="634" spans="1:19" hidden="1" x14ac:dyDescent="0.25">
      <c r="A634" t="s">
        <v>744</v>
      </c>
      <c r="B634" t="s">
        <v>745</v>
      </c>
      <c r="C634" s="24" t="s">
        <v>2002</v>
      </c>
      <c r="D634" t="s">
        <v>2003</v>
      </c>
      <c r="E634" s="965">
        <v>29.88</v>
      </c>
      <c r="F634" s="966">
        <v>62160</v>
      </c>
      <c r="G634" s="967">
        <v>1.2</v>
      </c>
      <c r="H634" s="965">
        <v>21.17</v>
      </c>
      <c r="I634" s="965">
        <v>23.56</v>
      </c>
      <c r="J634" s="965">
        <v>29.47</v>
      </c>
      <c r="K634" s="965">
        <v>35.33</v>
      </c>
      <c r="L634" s="965">
        <v>38.75</v>
      </c>
      <c r="O634" s="963">
        <f t="shared" si="36"/>
        <v>30.173199999999998</v>
      </c>
      <c r="P634" s="963">
        <f t="shared" si="37"/>
        <v>32.517199999999995</v>
      </c>
      <c r="R634" s="963">
        <f t="shared" si="38"/>
        <v>24.742000000000001</v>
      </c>
      <c r="S634" s="963">
        <f t="shared" si="39"/>
        <v>27.105999999999998</v>
      </c>
    </row>
    <row r="635" spans="1:19" hidden="1" x14ac:dyDescent="0.25">
      <c r="A635" t="s">
        <v>744</v>
      </c>
      <c r="B635" t="s">
        <v>745</v>
      </c>
      <c r="C635" s="24" t="s">
        <v>2004</v>
      </c>
      <c r="D635" t="s">
        <v>2005</v>
      </c>
      <c r="E635" s="965">
        <v>23.73</v>
      </c>
      <c r="F635" s="966">
        <v>49360</v>
      </c>
      <c r="G635" s="967">
        <v>2.4</v>
      </c>
      <c r="H635" s="965">
        <v>19.149999999999999</v>
      </c>
      <c r="I635" s="965">
        <v>20.190000000000001</v>
      </c>
      <c r="J635" s="965">
        <v>21.53</v>
      </c>
      <c r="K635" s="965">
        <v>26.91</v>
      </c>
      <c r="L635" s="965">
        <v>32.58</v>
      </c>
      <c r="O635" s="963">
        <f t="shared" si="36"/>
        <v>22.175600000000003</v>
      </c>
      <c r="P635" s="963">
        <f t="shared" si="37"/>
        <v>24.3276</v>
      </c>
      <c r="R635" s="963">
        <f t="shared" si="38"/>
        <v>20.458000000000002</v>
      </c>
      <c r="S635" s="963">
        <f t="shared" si="39"/>
        <v>20.994</v>
      </c>
    </row>
    <row r="636" spans="1:19" hidden="1" x14ac:dyDescent="0.25">
      <c r="A636" t="s">
        <v>744</v>
      </c>
      <c r="B636" t="s">
        <v>745</v>
      </c>
      <c r="C636" s="24" t="s">
        <v>2006</v>
      </c>
      <c r="D636" t="s">
        <v>2007</v>
      </c>
      <c r="E636" s="965">
        <v>27.22</v>
      </c>
      <c r="F636" s="966">
        <v>56620</v>
      </c>
      <c r="G636" s="967">
        <v>4.5999999999999996</v>
      </c>
      <c r="H636" s="965">
        <v>23.74</v>
      </c>
      <c r="I636" s="965">
        <v>25.95</v>
      </c>
      <c r="J636" s="965">
        <v>26.96</v>
      </c>
      <c r="K636" s="965">
        <v>29.32</v>
      </c>
      <c r="L636" s="965">
        <v>29.32</v>
      </c>
      <c r="O636" s="963">
        <f t="shared" si="36"/>
        <v>27.243200000000002</v>
      </c>
      <c r="P636" s="963">
        <f t="shared" si="37"/>
        <v>28.187200000000001</v>
      </c>
      <c r="R636" s="963">
        <f t="shared" si="38"/>
        <v>26.152000000000001</v>
      </c>
      <c r="S636" s="963">
        <f t="shared" si="39"/>
        <v>26.556000000000001</v>
      </c>
    </row>
    <row r="637" spans="1:19" hidden="1" x14ac:dyDescent="0.25">
      <c r="A637" t="s">
        <v>744</v>
      </c>
      <c r="B637" t="s">
        <v>745</v>
      </c>
      <c r="C637" s="24" t="s">
        <v>2008</v>
      </c>
      <c r="D637" t="s">
        <v>2009</v>
      </c>
      <c r="E637" s="965">
        <v>34.72</v>
      </c>
      <c r="F637" s="966">
        <v>72210</v>
      </c>
      <c r="G637" s="967">
        <v>4.3</v>
      </c>
      <c r="H637" s="965">
        <v>24.92</v>
      </c>
      <c r="I637" s="965">
        <v>28.3</v>
      </c>
      <c r="J637" s="965">
        <v>34.1</v>
      </c>
      <c r="K637" s="965">
        <v>39.49</v>
      </c>
      <c r="L637" s="965">
        <v>46.68</v>
      </c>
      <c r="O637" s="963">
        <f t="shared" si="36"/>
        <v>34.7468</v>
      </c>
      <c r="P637" s="963">
        <f t="shared" si="37"/>
        <v>36.902799999999999</v>
      </c>
      <c r="R637" s="963">
        <f t="shared" si="38"/>
        <v>29.46</v>
      </c>
      <c r="S637" s="963">
        <f t="shared" si="39"/>
        <v>31.78</v>
      </c>
    </row>
    <row r="638" spans="1:19" hidden="1" x14ac:dyDescent="0.25">
      <c r="A638" t="s">
        <v>744</v>
      </c>
      <c r="B638" t="s">
        <v>745</v>
      </c>
      <c r="C638" s="24" t="s">
        <v>2010</v>
      </c>
      <c r="D638" t="s">
        <v>2011</v>
      </c>
      <c r="E638" s="965">
        <v>19.78</v>
      </c>
      <c r="F638" s="966">
        <v>41150</v>
      </c>
      <c r="G638" s="967">
        <v>2.6</v>
      </c>
      <c r="H638" s="965">
        <v>16.77</v>
      </c>
      <c r="I638" s="965">
        <v>16.84</v>
      </c>
      <c r="J638" s="965">
        <v>18.18</v>
      </c>
      <c r="K638" s="965">
        <v>18.18</v>
      </c>
      <c r="L638" s="965">
        <v>29.93</v>
      </c>
      <c r="O638" s="963">
        <f t="shared" si="36"/>
        <v>18.18</v>
      </c>
      <c r="P638" s="963">
        <f t="shared" si="37"/>
        <v>18.18</v>
      </c>
      <c r="R638" s="963">
        <f t="shared" si="38"/>
        <v>17.108000000000001</v>
      </c>
      <c r="S638" s="963">
        <f t="shared" si="39"/>
        <v>17.643999999999998</v>
      </c>
    </row>
    <row r="639" spans="1:19" hidden="1" x14ac:dyDescent="0.25">
      <c r="A639" t="s">
        <v>744</v>
      </c>
      <c r="B639" t="s">
        <v>745</v>
      </c>
      <c r="C639" s="24" t="s">
        <v>2012</v>
      </c>
      <c r="D639" t="s">
        <v>2013</v>
      </c>
      <c r="E639" s="965">
        <v>21.42</v>
      </c>
      <c r="F639" s="966">
        <v>44550</v>
      </c>
      <c r="G639" s="967">
        <v>1.4</v>
      </c>
      <c r="H639" s="965">
        <v>19.18</v>
      </c>
      <c r="I639" s="965">
        <v>19.18</v>
      </c>
      <c r="J639" s="965">
        <v>22.16</v>
      </c>
      <c r="K639" s="965">
        <v>23.94</v>
      </c>
      <c r="L639" s="965">
        <v>24.76</v>
      </c>
      <c r="O639" s="963">
        <f t="shared" si="36"/>
        <v>22.3736</v>
      </c>
      <c r="P639" s="963">
        <f t="shared" si="37"/>
        <v>23.085599999999999</v>
      </c>
      <c r="R639" s="963">
        <f t="shared" si="38"/>
        <v>19.776</v>
      </c>
      <c r="S639" s="963">
        <f t="shared" si="39"/>
        <v>20.968</v>
      </c>
    </row>
    <row r="640" spans="1:19" hidden="1" x14ac:dyDescent="0.25">
      <c r="A640" t="s">
        <v>744</v>
      </c>
      <c r="B640" t="s">
        <v>745</v>
      </c>
      <c r="C640" s="24" t="s">
        <v>2014</v>
      </c>
      <c r="D640" t="s">
        <v>2015</v>
      </c>
      <c r="E640" s="965">
        <v>19.850000000000001</v>
      </c>
      <c r="F640" s="966">
        <v>41290</v>
      </c>
      <c r="G640" s="967">
        <v>1.1000000000000001</v>
      </c>
      <c r="H640" s="965">
        <v>16</v>
      </c>
      <c r="I640" s="965">
        <v>17.100000000000001</v>
      </c>
      <c r="J640" s="965">
        <v>18.170000000000002</v>
      </c>
      <c r="K640" s="965">
        <v>21.85</v>
      </c>
      <c r="L640" s="965">
        <v>26.87</v>
      </c>
      <c r="O640" s="963">
        <f t="shared" si="36"/>
        <v>18.611600000000003</v>
      </c>
      <c r="P640" s="963">
        <f t="shared" si="37"/>
        <v>20.083600000000001</v>
      </c>
      <c r="R640" s="963">
        <f t="shared" si="38"/>
        <v>17.314</v>
      </c>
      <c r="S640" s="963">
        <f t="shared" si="39"/>
        <v>17.742000000000001</v>
      </c>
    </row>
    <row r="641" spans="1:19" hidden="1" x14ac:dyDescent="0.25">
      <c r="A641" t="s">
        <v>744</v>
      </c>
      <c r="B641" t="s">
        <v>745</v>
      </c>
      <c r="C641" s="24" t="s">
        <v>2016</v>
      </c>
      <c r="D641" t="s">
        <v>2017</v>
      </c>
      <c r="E641" s="965">
        <v>22.92</v>
      </c>
      <c r="F641" s="966">
        <v>47670</v>
      </c>
      <c r="G641" s="967">
        <v>1.9</v>
      </c>
      <c r="H641" s="965">
        <v>17.48</v>
      </c>
      <c r="I641" s="965">
        <v>18.989999999999998</v>
      </c>
      <c r="J641" s="965">
        <v>22.5</v>
      </c>
      <c r="K641" s="965">
        <v>25.41</v>
      </c>
      <c r="L641" s="965">
        <v>29.28</v>
      </c>
      <c r="O641" s="963">
        <f t="shared" si="36"/>
        <v>22.8492</v>
      </c>
      <c r="P641" s="963">
        <f t="shared" si="37"/>
        <v>24.013200000000001</v>
      </c>
      <c r="R641" s="963">
        <f t="shared" si="38"/>
        <v>19.692</v>
      </c>
      <c r="S641" s="963">
        <f t="shared" si="39"/>
        <v>21.096</v>
      </c>
    </row>
    <row r="642" spans="1:19" hidden="1" x14ac:dyDescent="0.25">
      <c r="A642" t="s">
        <v>744</v>
      </c>
      <c r="B642" t="s">
        <v>745</v>
      </c>
      <c r="C642" s="24" t="s">
        <v>2018</v>
      </c>
      <c r="D642" t="s">
        <v>2019</v>
      </c>
      <c r="E642" s="965">
        <v>32.549999999999997</v>
      </c>
      <c r="F642" s="966">
        <v>67700</v>
      </c>
      <c r="G642" s="967">
        <v>0.9</v>
      </c>
      <c r="H642" s="965">
        <v>23.21</v>
      </c>
      <c r="I642" s="965">
        <v>28.33</v>
      </c>
      <c r="J642" s="965">
        <v>32.590000000000003</v>
      </c>
      <c r="K642" s="965">
        <v>37.130000000000003</v>
      </c>
      <c r="L642" s="965">
        <v>40.89</v>
      </c>
      <c r="O642" s="963">
        <f t="shared" ref="O642:O705" si="40">_xlfn.PERCENTILE.INC((H642:L642),$W$1)</f>
        <v>33.134800000000006</v>
      </c>
      <c r="P642" s="963">
        <f t="shared" ref="P642:P705" si="41">_xlfn.PERCENTILE.INC((H642:L642),$X$1)</f>
        <v>34.950800000000001</v>
      </c>
      <c r="R642" s="963">
        <f t="shared" si="38"/>
        <v>29.181999999999999</v>
      </c>
      <c r="S642" s="963">
        <f t="shared" si="39"/>
        <v>30.886000000000003</v>
      </c>
    </row>
    <row r="643" spans="1:19" hidden="1" x14ac:dyDescent="0.25">
      <c r="A643" t="s">
        <v>744</v>
      </c>
      <c r="B643" t="s">
        <v>745</v>
      </c>
      <c r="C643" s="24" t="s">
        <v>2020</v>
      </c>
      <c r="D643" t="s">
        <v>2021</v>
      </c>
      <c r="E643" s="965">
        <v>29.47</v>
      </c>
      <c r="F643" s="966">
        <v>61300</v>
      </c>
      <c r="G643" s="967">
        <v>1.6</v>
      </c>
      <c r="H643" s="965">
        <v>20.78</v>
      </c>
      <c r="I643" s="965">
        <v>23.9</v>
      </c>
      <c r="J643" s="965">
        <v>28.52</v>
      </c>
      <c r="K643" s="965">
        <v>33.54</v>
      </c>
      <c r="L643" s="965">
        <v>38.49</v>
      </c>
      <c r="O643" s="963">
        <f t="shared" si="40"/>
        <v>29.122399999999999</v>
      </c>
      <c r="P643" s="963">
        <f t="shared" si="41"/>
        <v>31.130399999999998</v>
      </c>
      <c r="R643" s="963">
        <f t="shared" ref="R643:R706" si="42">_xlfn.PERCENTILE.INC((H643:L643),$Y$1)</f>
        <v>24.823999999999998</v>
      </c>
      <c r="S643" s="963">
        <f t="shared" ref="S643:S706" si="43">_xlfn.PERCENTILE.INC((H643:L643),$Z$1)</f>
        <v>26.672000000000001</v>
      </c>
    </row>
    <row r="644" spans="1:19" hidden="1" x14ac:dyDescent="0.25">
      <c r="A644" t="s">
        <v>744</v>
      </c>
      <c r="B644" t="s">
        <v>745</v>
      </c>
      <c r="C644" s="24" t="s">
        <v>2022</v>
      </c>
      <c r="D644" t="s">
        <v>2023</v>
      </c>
      <c r="E644" s="965">
        <v>23.02</v>
      </c>
      <c r="F644" s="966">
        <v>47890</v>
      </c>
      <c r="G644" s="967">
        <v>1.7</v>
      </c>
      <c r="H644" s="965">
        <v>17.03</v>
      </c>
      <c r="I644" s="965">
        <v>18.18</v>
      </c>
      <c r="J644" s="965">
        <v>22.69</v>
      </c>
      <c r="K644" s="965">
        <v>25.92</v>
      </c>
      <c r="L644" s="965">
        <v>29.48</v>
      </c>
      <c r="O644" s="963">
        <f t="shared" si="40"/>
        <v>23.0776</v>
      </c>
      <c r="P644" s="963">
        <f t="shared" si="41"/>
        <v>24.369600000000002</v>
      </c>
      <c r="R644" s="963">
        <f t="shared" si="42"/>
        <v>19.082000000000001</v>
      </c>
      <c r="S644" s="963">
        <f t="shared" si="43"/>
        <v>20.886000000000003</v>
      </c>
    </row>
    <row r="645" spans="1:19" hidden="1" x14ac:dyDescent="0.25">
      <c r="A645" t="s">
        <v>744</v>
      </c>
      <c r="B645" t="s">
        <v>745</v>
      </c>
      <c r="C645" s="24" t="s">
        <v>2024</v>
      </c>
      <c r="D645" t="s">
        <v>2025</v>
      </c>
      <c r="E645" s="965">
        <v>25.06</v>
      </c>
      <c r="F645" s="966">
        <v>52130</v>
      </c>
      <c r="G645" s="967">
        <v>1.8</v>
      </c>
      <c r="H645" s="965">
        <v>17.920000000000002</v>
      </c>
      <c r="I645" s="965">
        <v>19.760000000000002</v>
      </c>
      <c r="J645" s="965">
        <v>24.45</v>
      </c>
      <c r="K645" s="965">
        <v>27.99</v>
      </c>
      <c r="L645" s="965">
        <v>39.54</v>
      </c>
      <c r="O645" s="963">
        <f t="shared" si="40"/>
        <v>24.8748</v>
      </c>
      <c r="P645" s="963">
        <f t="shared" si="41"/>
        <v>26.290799999999997</v>
      </c>
      <c r="R645" s="963">
        <f t="shared" si="42"/>
        <v>20.698</v>
      </c>
      <c r="S645" s="963">
        <f t="shared" si="43"/>
        <v>22.574000000000002</v>
      </c>
    </row>
    <row r="646" spans="1:19" hidden="1" x14ac:dyDescent="0.25">
      <c r="A646" t="s">
        <v>744</v>
      </c>
      <c r="B646" t="s">
        <v>745</v>
      </c>
      <c r="C646" s="24" t="s">
        <v>2026</v>
      </c>
      <c r="D646" t="s">
        <v>2027</v>
      </c>
      <c r="E646" s="965">
        <v>24.3</v>
      </c>
      <c r="F646" s="966">
        <v>50550</v>
      </c>
      <c r="G646" s="967">
        <v>12.8</v>
      </c>
      <c r="H646" s="965">
        <v>16.29</v>
      </c>
      <c r="I646" s="965">
        <v>17.41</v>
      </c>
      <c r="J646" s="965">
        <v>26.62</v>
      </c>
      <c r="K646" s="965">
        <v>30.01</v>
      </c>
      <c r="L646" s="965">
        <v>32.909999999999997</v>
      </c>
      <c r="O646" s="963">
        <f t="shared" si="40"/>
        <v>27.026800000000001</v>
      </c>
      <c r="P646" s="963">
        <f t="shared" si="41"/>
        <v>28.382800000000003</v>
      </c>
      <c r="R646" s="963">
        <f t="shared" si="42"/>
        <v>19.252000000000002</v>
      </c>
      <c r="S646" s="963">
        <f t="shared" si="43"/>
        <v>22.936</v>
      </c>
    </row>
    <row r="647" spans="1:19" hidden="1" x14ac:dyDescent="0.25">
      <c r="A647" t="s">
        <v>744</v>
      </c>
      <c r="B647" t="s">
        <v>745</v>
      </c>
      <c r="C647" s="24" t="s">
        <v>2028</v>
      </c>
      <c r="D647" t="s">
        <v>2029</v>
      </c>
      <c r="E647" s="965">
        <v>21.08</v>
      </c>
      <c r="F647" s="966">
        <v>43850</v>
      </c>
      <c r="G647" s="967">
        <v>2.6</v>
      </c>
      <c r="H647" s="965">
        <v>16.59</v>
      </c>
      <c r="I647" s="965">
        <v>17.7</v>
      </c>
      <c r="J647" s="965">
        <v>19.5</v>
      </c>
      <c r="K647" s="965">
        <v>22.84</v>
      </c>
      <c r="L647" s="965">
        <v>28.75</v>
      </c>
      <c r="O647" s="963">
        <f t="shared" si="40"/>
        <v>19.9008</v>
      </c>
      <c r="P647" s="963">
        <f t="shared" si="41"/>
        <v>21.236799999999999</v>
      </c>
      <c r="R647" s="963">
        <f t="shared" si="42"/>
        <v>18.059999999999999</v>
      </c>
      <c r="S647" s="963">
        <f t="shared" si="43"/>
        <v>18.78</v>
      </c>
    </row>
    <row r="648" spans="1:19" hidden="1" x14ac:dyDescent="0.25">
      <c r="A648" t="s">
        <v>744</v>
      </c>
      <c r="B648" t="s">
        <v>745</v>
      </c>
      <c r="C648" s="24" t="s">
        <v>2030</v>
      </c>
      <c r="D648" t="s">
        <v>2031</v>
      </c>
      <c r="E648" s="965">
        <v>24.94</v>
      </c>
      <c r="F648" s="966">
        <v>51870</v>
      </c>
      <c r="G648" s="967">
        <v>3.4</v>
      </c>
      <c r="H648" s="965">
        <v>21.99</v>
      </c>
      <c r="I648" s="965">
        <v>23.1</v>
      </c>
      <c r="J648" s="965">
        <v>24.82</v>
      </c>
      <c r="K648" s="965">
        <v>25.07</v>
      </c>
      <c r="L648" s="965">
        <v>27.09</v>
      </c>
      <c r="O648" s="963">
        <f t="shared" si="40"/>
        <v>24.85</v>
      </c>
      <c r="P648" s="963">
        <f t="shared" si="41"/>
        <v>24.95</v>
      </c>
      <c r="R648" s="963">
        <f t="shared" si="42"/>
        <v>23.444000000000003</v>
      </c>
      <c r="S648" s="963">
        <f t="shared" si="43"/>
        <v>24.132000000000001</v>
      </c>
    </row>
    <row r="649" spans="1:19" hidden="1" x14ac:dyDescent="0.25">
      <c r="A649" t="s">
        <v>744</v>
      </c>
      <c r="B649" t="s">
        <v>745</v>
      </c>
      <c r="C649" s="24" t="s">
        <v>2032</v>
      </c>
      <c r="D649" t="s">
        <v>2033</v>
      </c>
      <c r="E649" s="965">
        <v>26.15</v>
      </c>
      <c r="F649" s="966">
        <v>54380</v>
      </c>
      <c r="G649" s="967">
        <v>7.2</v>
      </c>
      <c r="H649" s="965">
        <v>19.32</v>
      </c>
      <c r="I649" s="965">
        <v>19.97</v>
      </c>
      <c r="J649" s="965">
        <v>25.28</v>
      </c>
      <c r="K649" s="965">
        <v>26.98</v>
      </c>
      <c r="L649" s="965">
        <v>40.83</v>
      </c>
      <c r="O649" s="963">
        <f t="shared" si="40"/>
        <v>25.484000000000002</v>
      </c>
      <c r="P649" s="963">
        <f t="shared" si="41"/>
        <v>26.164000000000001</v>
      </c>
      <c r="R649" s="963">
        <f t="shared" si="42"/>
        <v>21.032</v>
      </c>
      <c r="S649" s="963">
        <f t="shared" si="43"/>
        <v>23.155999999999999</v>
      </c>
    </row>
    <row r="650" spans="1:19" hidden="1" x14ac:dyDescent="0.25">
      <c r="A650" t="s">
        <v>744</v>
      </c>
      <c r="B650" t="s">
        <v>745</v>
      </c>
      <c r="C650" s="24" t="s">
        <v>2034</v>
      </c>
      <c r="D650" t="s">
        <v>2035</v>
      </c>
      <c r="E650" s="965">
        <v>26.02</v>
      </c>
      <c r="F650" s="966">
        <v>54130</v>
      </c>
      <c r="G650" s="967">
        <v>3.6</v>
      </c>
      <c r="H650" s="965">
        <v>17.79</v>
      </c>
      <c r="I650" s="965">
        <v>22.46</v>
      </c>
      <c r="J650" s="965">
        <v>25.28</v>
      </c>
      <c r="K650" s="965">
        <v>29.87</v>
      </c>
      <c r="L650" s="965">
        <v>35.06</v>
      </c>
      <c r="O650" s="963">
        <f t="shared" si="40"/>
        <v>25.8308</v>
      </c>
      <c r="P650" s="963">
        <f t="shared" si="41"/>
        <v>27.666800000000002</v>
      </c>
      <c r="R650" s="963">
        <f t="shared" si="42"/>
        <v>23.024000000000001</v>
      </c>
      <c r="S650" s="963">
        <f t="shared" si="43"/>
        <v>24.152000000000001</v>
      </c>
    </row>
    <row r="651" spans="1:19" hidden="1" x14ac:dyDescent="0.25">
      <c r="A651" t="s">
        <v>744</v>
      </c>
      <c r="B651" t="s">
        <v>745</v>
      </c>
      <c r="C651" s="24" t="s">
        <v>2036</v>
      </c>
      <c r="D651" t="s">
        <v>2037</v>
      </c>
      <c r="E651" s="965">
        <v>24.29</v>
      </c>
      <c r="F651" s="966">
        <v>50520</v>
      </c>
      <c r="G651" s="967">
        <v>1.5</v>
      </c>
      <c r="H651" s="965">
        <v>17.61</v>
      </c>
      <c r="I651" s="965">
        <v>20.28</v>
      </c>
      <c r="J651" s="965">
        <v>23.27</v>
      </c>
      <c r="K651" s="965">
        <v>28.33</v>
      </c>
      <c r="L651" s="965">
        <v>30.87</v>
      </c>
      <c r="O651" s="963">
        <f t="shared" si="40"/>
        <v>23.877199999999998</v>
      </c>
      <c r="P651" s="963">
        <f t="shared" si="41"/>
        <v>25.901199999999999</v>
      </c>
      <c r="R651" s="963">
        <f t="shared" si="42"/>
        <v>20.878</v>
      </c>
      <c r="S651" s="963">
        <f t="shared" si="43"/>
        <v>22.074000000000002</v>
      </c>
    </row>
    <row r="652" spans="1:19" hidden="1" x14ac:dyDescent="0.25">
      <c r="A652" t="s">
        <v>744</v>
      </c>
      <c r="B652" t="s">
        <v>745</v>
      </c>
      <c r="C652" s="24" t="s">
        <v>2038</v>
      </c>
      <c r="D652" t="s">
        <v>2039</v>
      </c>
      <c r="E652" s="965">
        <v>21.27</v>
      </c>
      <c r="F652" s="966">
        <v>44250</v>
      </c>
      <c r="G652" s="967">
        <v>4.2</v>
      </c>
      <c r="H652" s="965">
        <v>16.12</v>
      </c>
      <c r="I652" s="965">
        <v>17.41</v>
      </c>
      <c r="J652" s="965">
        <v>20.25</v>
      </c>
      <c r="K652" s="965">
        <v>23.56</v>
      </c>
      <c r="L652" s="965">
        <v>27.85</v>
      </c>
      <c r="O652" s="963">
        <f t="shared" si="40"/>
        <v>20.647200000000002</v>
      </c>
      <c r="P652" s="963">
        <f t="shared" si="41"/>
        <v>21.9712</v>
      </c>
      <c r="R652" s="963">
        <f t="shared" si="42"/>
        <v>17.978000000000002</v>
      </c>
      <c r="S652" s="963">
        <f t="shared" si="43"/>
        <v>19.114000000000001</v>
      </c>
    </row>
    <row r="653" spans="1:19" hidden="1" x14ac:dyDescent="0.25">
      <c r="A653" t="s">
        <v>744</v>
      </c>
      <c r="B653" t="s">
        <v>745</v>
      </c>
      <c r="C653" s="24" t="s">
        <v>2040</v>
      </c>
      <c r="D653" t="s">
        <v>2041</v>
      </c>
      <c r="E653" s="965">
        <v>17.059999999999999</v>
      </c>
      <c r="F653" s="966">
        <v>35490</v>
      </c>
      <c r="G653" s="967">
        <v>1.2</v>
      </c>
      <c r="H653" s="965">
        <v>15</v>
      </c>
      <c r="I653" s="965">
        <v>15.67</v>
      </c>
      <c r="J653" s="965">
        <v>16.559999999999999</v>
      </c>
      <c r="K653" s="965">
        <v>17.350000000000001</v>
      </c>
      <c r="L653" s="965">
        <v>19.48</v>
      </c>
      <c r="O653" s="963">
        <f t="shared" si="40"/>
        <v>16.654799999999998</v>
      </c>
      <c r="P653" s="963">
        <f t="shared" si="41"/>
        <v>16.970800000000001</v>
      </c>
      <c r="R653" s="963">
        <f t="shared" si="42"/>
        <v>15.847999999999999</v>
      </c>
      <c r="S653" s="963">
        <f t="shared" si="43"/>
        <v>16.204000000000001</v>
      </c>
    </row>
    <row r="654" spans="1:19" hidden="1" x14ac:dyDescent="0.25">
      <c r="A654" t="s">
        <v>744</v>
      </c>
      <c r="B654" t="s">
        <v>745</v>
      </c>
      <c r="C654" s="24" t="s">
        <v>2042</v>
      </c>
      <c r="D654" t="s">
        <v>2043</v>
      </c>
      <c r="E654" s="965">
        <v>19.93</v>
      </c>
      <c r="F654" s="966">
        <v>41440</v>
      </c>
      <c r="G654" s="967">
        <v>5.2</v>
      </c>
      <c r="H654" s="965">
        <v>15.71</v>
      </c>
      <c r="I654" s="965">
        <v>17.38</v>
      </c>
      <c r="J654" s="965">
        <v>18.62</v>
      </c>
      <c r="K654" s="965">
        <v>23.48</v>
      </c>
      <c r="L654" s="965">
        <v>23.48</v>
      </c>
      <c r="O654" s="963">
        <f t="shared" si="40"/>
        <v>19.203200000000002</v>
      </c>
      <c r="P654" s="963">
        <f t="shared" si="41"/>
        <v>21.147200000000002</v>
      </c>
      <c r="R654" s="963">
        <f t="shared" si="42"/>
        <v>17.628</v>
      </c>
      <c r="S654" s="963">
        <f t="shared" si="43"/>
        <v>18.123999999999999</v>
      </c>
    </row>
    <row r="655" spans="1:19" hidden="1" x14ac:dyDescent="0.25">
      <c r="A655" t="s">
        <v>744</v>
      </c>
      <c r="B655" t="s">
        <v>745</v>
      </c>
      <c r="C655" s="24" t="s">
        <v>2044</v>
      </c>
      <c r="D655" t="s">
        <v>2045</v>
      </c>
      <c r="E655" s="965">
        <v>19.09</v>
      </c>
      <c r="F655" s="966">
        <v>39700</v>
      </c>
      <c r="G655" s="967">
        <v>1.1000000000000001</v>
      </c>
      <c r="H655" s="965">
        <v>15.4</v>
      </c>
      <c r="I655" s="965">
        <v>16.27</v>
      </c>
      <c r="J655" s="965">
        <v>17.89</v>
      </c>
      <c r="K655" s="965">
        <v>21.85</v>
      </c>
      <c r="L655" s="965">
        <v>24.57</v>
      </c>
      <c r="O655" s="963">
        <f t="shared" si="40"/>
        <v>18.365200000000002</v>
      </c>
      <c r="P655" s="963">
        <f t="shared" si="41"/>
        <v>19.949200000000001</v>
      </c>
      <c r="R655" s="963">
        <f t="shared" si="42"/>
        <v>16.594000000000001</v>
      </c>
      <c r="S655" s="963">
        <f t="shared" si="43"/>
        <v>17.242000000000001</v>
      </c>
    </row>
    <row r="656" spans="1:19" hidden="1" x14ac:dyDescent="0.25">
      <c r="A656" t="s">
        <v>744</v>
      </c>
      <c r="B656" t="s">
        <v>745</v>
      </c>
      <c r="C656" s="24" t="s">
        <v>2046</v>
      </c>
      <c r="D656" t="s">
        <v>2047</v>
      </c>
      <c r="E656" s="965">
        <v>20.51</v>
      </c>
      <c r="F656" s="966">
        <v>42660</v>
      </c>
      <c r="G656" s="967">
        <v>5.2</v>
      </c>
      <c r="H656" s="965">
        <v>15.24</v>
      </c>
      <c r="I656" s="965">
        <v>16.59</v>
      </c>
      <c r="J656" s="965">
        <v>21.57</v>
      </c>
      <c r="K656" s="965">
        <v>23.77</v>
      </c>
      <c r="L656" s="965">
        <v>26.56</v>
      </c>
      <c r="O656" s="963">
        <f t="shared" si="40"/>
        <v>21.834</v>
      </c>
      <c r="P656" s="963">
        <f t="shared" si="41"/>
        <v>22.713999999999999</v>
      </c>
      <c r="R656" s="963">
        <f t="shared" si="42"/>
        <v>17.586000000000002</v>
      </c>
      <c r="S656" s="963">
        <f t="shared" si="43"/>
        <v>19.577999999999999</v>
      </c>
    </row>
    <row r="657" spans="1:19" hidden="1" x14ac:dyDescent="0.25">
      <c r="A657" t="s">
        <v>744</v>
      </c>
      <c r="B657" t="s">
        <v>745</v>
      </c>
      <c r="C657" s="24" t="s">
        <v>2048</v>
      </c>
      <c r="D657" t="s">
        <v>2049</v>
      </c>
      <c r="E657" s="965">
        <v>18.43</v>
      </c>
      <c r="F657" s="966">
        <v>38330</v>
      </c>
      <c r="G657" s="967">
        <v>6.2</v>
      </c>
      <c r="H657" s="965">
        <v>15.97</v>
      </c>
      <c r="I657" s="965">
        <v>17.059999999999999</v>
      </c>
      <c r="J657" s="965">
        <v>17.07</v>
      </c>
      <c r="K657" s="965">
        <v>17.57</v>
      </c>
      <c r="L657" s="965">
        <v>25.03</v>
      </c>
      <c r="O657" s="963">
        <f t="shared" si="40"/>
        <v>17.13</v>
      </c>
      <c r="P657" s="963">
        <f t="shared" si="41"/>
        <v>17.330000000000002</v>
      </c>
      <c r="R657" s="963">
        <f t="shared" si="42"/>
        <v>17.061999999999998</v>
      </c>
      <c r="S657" s="963">
        <f t="shared" si="43"/>
        <v>17.065999999999999</v>
      </c>
    </row>
    <row r="658" spans="1:19" hidden="1" x14ac:dyDescent="0.25">
      <c r="A658" t="s">
        <v>744</v>
      </c>
      <c r="B658" t="s">
        <v>745</v>
      </c>
      <c r="C658" s="24" t="s">
        <v>2050</v>
      </c>
      <c r="D658" t="s">
        <v>2051</v>
      </c>
      <c r="E658" s="965">
        <v>21.07</v>
      </c>
      <c r="F658" s="966">
        <v>43830</v>
      </c>
      <c r="G658" s="967">
        <v>3.9</v>
      </c>
      <c r="H658" s="965">
        <v>18.96</v>
      </c>
      <c r="I658" s="965">
        <v>21.27</v>
      </c>
      <c r="J658" s="965">
        <v>21.27</v>
      </c>
      <c r="K658" s="965">
        <v>21.27</v>
      </c>
      <c r="L658" s="965">
        <v>22.06</v>
      </c>
      <c r="O658" s="963">
        <f t="shared" si="40"/>
        <v>21.27</v>
      </c>
      <c r="P658" s="963">
        <f t="shared" si="41"/>
        <v>21.27</v>
      </c>
      <c r="R658" s="963">
        <f t="shared" si="42"/>
        <v>21.27</v>
      </c>
      <c r="S658" s="963">
        <f t="shared" si="43"/>
        <v>21.27</v>
      </c>
    </row>
    <row r="659" spans="1:19" hidden="1" x14ac:dyDescent="0.25">
      <c r="A659" t="s">
        <v>744</v>
      </c>
      <c r="B659" t="s">
        <v>745</v>
      </c>
      <c r="C659" s="24" t="s">
        <v>2052</v>
      </c>
      <c r="D659" t="s">
        <v>2053</v>
      </c>
      <c r="E659" s="965">
        <v>22.73</v>
      </c>
      <c r="F659" s="966">
        <v>47270</v>
      </c>
      <c r="G659" s="967">
        <v>5.0999999999999996</v>
      </c>
      <c r="H659" s="965">
        <v>19.63</v>
      </c>
      <c r="I659" s="965">
        <v>21.26</v>
      </c>
      <c r="J659" s="965">
        <v>22.57</v>
      </c>
      <c r="K659" s="965">
        <v>24.34</v>
      </c>
      <c r="L659" s="965">
        <v>24.42</v>
      </c>
      <c r="O659" s="963">
        <f t="shared" si="40"/>
        <v>22.782399999999999</v>
      </c>
      <c r="P659" s="963">
        <f t="shared" si="41"/>
        <v>23.490400000000001</v>
      </c>
      <c r="R659" s="963">
        <f t="shared" si="42"/>
        <v>21.522000000000002</v>
      </c>
      <c r="S659" s="963">
        <f t="shared" si="43"/>
        <v>22.045999999999999</v>
      </c>
    </row>
    <row r="660" spans="1:19" hidden="1" x14ac:dyDescent="0.25">
      <c r="A660" t="s">
        <v>744</v>
      </c>
      <c r="B660" t="s">
        <v>745</v>
      </c>
      <c r="C660" s="24" t="s">
        <v>2054</v>
      </c>
      <c r="D660" t="s">
        <v>2055</v>
      </c>
      <c r="E660" s="965">
        <v>19.989999999999998</v>
      </c>
      <c r="F660" s="966">
        <v>41580</v>
      </c>
      <c r="G660" s="967">
        <v>1.8</v>
      </c>
      <c r="H660" s="965">
        <v>17.22</v>
      </c>
      <c r="I660" s="965">
        <v>18.100000000000001</v>
      </c>
      <c r="J660" s="965">
        <v>18.940000000000001</v>
      </c>
      <c r="K660" s="965">
        <v>20.45</v>
      </c>
      <c r="L660" s="965">
        <v>24.21</v>
      </c>
      <c r="O660" s="963">
        <f t="shared" si="40"/>
        <v>19.121200000000002</v>
      </c>
      <c r="P660" s="963">
        <f t="shared" si="41"/>
        <v>19.725200000000001</v>
      </c>
      <c r="R660" s="963">
        <f t="shared" si="42"/>
        <v>18.268000000000001</v>
      </c>
      <c r="S660" s="963">
        <f t="shared" si="43"/>
        <v>18.604000000000003</v>
      </c>
    </row>
    <row r="661" spans="1:19" hidden="1" x14ac:dyDescent="0.25">
      <c r="A661" t="s">
        <v>744</v>
      </c>
      <c r="B661" t="s">
        <v>745</v>
      </c>
      <c r="C661" s="24" t="s">
        <v>2056</v>
      </c>
      <c r="D661" t="s">
        <v>2057</v>
      </c>
      <c r="E661" s="965">
        <v>18.48</v>
      </c>
      <c r="F661" s="966">
        <v>38430</v>
      </c>
      <c r="G661" s="967">
        <v>8.4</v>
      </c>
      <c r="H661" s="965">
        <v>17.84</v>
      </c>
      <c r="I661" s="965">
        <v>17.93</v>
      </c>
      <c r="J661" s="965">
        <v>18.07</v>
      </c>
      <c r="K661" s="965">
        <v>18.66</v>
      </c>
      <c r="L661" s="965">
        <v>19.940000000000001</v>
      </c>
      <c r="O661" s="963">
        <f t="shared" si="40"/>
        <v>18.140799999999999</v>
      </c>
      <c r="P661" s="963">
        <f t="shared" si="41"/>
        <v>18.376799999999999</v>
      </c>
      <c r="R661" s="963">
        <f t="shared" si="42"/>
        <v>17.957999999999998</v>
      </c>
      <c r="S661" s="963">
        <f t="shared" si="43"/>
        <v>18.013999999999999</v>
      </c>
    </row>
    <row r="662" spans="1:19" hidden="1" x14ac:dyDescent="0.25">
      <c r="A662" t="s">
        <v>744</v>
      </c>
      <c r="B662" t="s">
        <v>745</v>
      </c>
      <c r="C662" s="24" t="s">
        <v>2058</v>
      </c>
      <c r="D662" t="s">
        <v>2059</v>
      </c>
      <c r="E662" s="965">
        <v>19.22</v>
      </c>
      <c r="F662" s="966">
        <v>39980</v>
      </c>
      <c r="G662" s="967">
        <v>2.2999999999999998</v>
      </c>
      <c r="H662" s="965">
        <v>16.96</v>
      </c>
      <c r="I662" s="965">
        <v>18.34</v>
      </c>
      <c r="J662" s="965">
        <v>19.28</v>
      </c>
      <c r="K662" s="965">
        <v>19.28</v>
      </c>
      <c r="L662" s="965">
        <v>22.57</v>
      </c>
      <c r="O662" s="963">
        <f t="shared" si="40"/>
        <v>19.28</v>
      </c>
      <c r="P662" s="963">
        <f t="shared" si="41"/>
        <v>19.28</v>
      </c>
      <c r="R662" s="963">
        <f t="shared" si="42"/>
        <v>18.527999999999999</v>
      </c>
      <c r="S662" s="963">
        <f t="shared" si="43"/>
        <v>18.904</v>
      </c>
    </row>
    <row r="663" spans="1:19" hidden="1" x14ac:dyDescent="0.25">
      <c r="A663" t="s">
        <v>744</v>
      </c>
      <c r="B663" t="s">
        <v>745</v>
      </c>
      <c r="C663" s="24" t="s">
        <v>2060</v>
      </c>
      <c r="D663" t="s">
        <v>2061</v>
      </c>
      <c r="E663" s="965">
        <v>26.64</v>
      </c>
      <c r="F663" s="966">
        <v>55410</v>
      </c>
      <c r="G663" s="967">
        <v>7.7</v>
      </c>
      <c r="H663" s="965">
        <v>18.22</v>
      </c>
      <c r="I663" s="965">
        <v>22.54</v>
      </c>
      <c r="J663" s="965">
        <v>28.01</v>
      </c>
      <c r="K663" s="965">
        <v>30.28</v>
      </c>
      <c r="L663" s="965">
        <v>30.28</v>
      </c>
      <c r="O663" s="963">
        <f t="shared" si="40"/>
        <v>28.282400000000003</v>
      </c>
      <c r="P663" s="963">
        <f t="shared" si="41"/>
        <v>29.1904</v>
      </c>
      <c r="R663" s="963">
        <f t="shared" si="42"/>
        <v>23.634</v>
      </c>
      <c r="S663" s="963">
        <f t="shared" si="43"/>
        <v>25.822000000000003</v>
      </c>
    </row>
    <row r="664" spans="1:19" hidden="1" x14ac:dyDescent="0.25">
      <c r="A664" t="s">
        <v>744</v>
      </c>
      <c r="B664" t="s">
        <v>745</v>
      </c>
      <c r="C664" s="24" t="s">
        <v>2062</v>
      </c>
      <c r="D664" t="s">
        <v>2063</v>
      </c>
      <c r="E664" s="965">
        <v>23.84</v>
      </c>
      <c r="F664" s="966">
        <v>49590</v>
      </c>
      <c r="G664" s="967">
        <v>3.4</v>
      </c>
      <c r="H664" s="965">
        <v>17.87</v>
      </c>
      <c r="I664" s="965">
        <v>19.41</v>
      </c>
      <c r="J664" s="965">
        <v>21.46</v>
      </c>
      <c r="K664" s="965">
        <v>29</v>
      </c>
      <c r="L664" s="965">
        <v>30.05</v>
      </c>
      <c r="O664" s="963">
        <f t="shared" si="40"/>
        <v>22.364800000000002</v>
      </c>
      <c r="P664" s="963">
        <f t="shared" si="41"/>
        <v>25.380800000000001</v>
      </c>
      <c r="R664" s="963">
        <f t="shared" si="42"/>
        <v>19.82</v>
      </c>
      <c r="S664" s="963">
        <f t="shared" si="43"/>
        <v>20.64</v>
      </c>
    </row>
    <row r="665" spans="1:19" hidden="1" x14ac:dyDescent="0.25">
      <c r="A665" t="s">
        <v>744</v>
      </c>
      <c r="B665" t="s">
        <v>745</v>
      </c>
      <c r="C665" s="24" t="s">
        <v>2064</v>
      </c>
      <c r="D665" t="s">
        <v>2065</v>
      </c>
      <c r="E665" s="965">
        <v>21.13</v>
      </c>
      <c r="F665" s="966">
        <v>43950</v>
      </c>
      <c r="G665" s="967">
        <v>5.4</v>
      </c>
      <c r="H665" s="965">
        <v>15.78</v>
      </c>
      <c r="I665" s="965">
        <v>16.47</v>
      </c>
      <c r="J665" s="965">
        <v>17.13</v>
      </c>
      <c r="K665" s="965">
        <v>26.18</v>
      </c>
      <c r="L665" s="965">
        <v>29.67</v>
      </c>
      <c r="O665" s="963">
        <f t="shared" si="40"/>
        <v>18.216000000000001</v>
      </c>
      <c r="P665" s="963">
        <f t="shared" si="41"/>
        <v>21.835999999999999</v>
      </c>
      <c r="R665" s="963">
        <f t="shared" si="42"/>
        <v>16.602</v>
      </c>
      <c r="S665" s="963">
        <f t="shared" si="43"/>
        <v>16.866</v>
      </c>
    </row>
    <row r="666" spans="1:19" hidden="1" x14ac:dyDescent="0.25">
      <c r="A666" t="s">
        <v>744</v>
      </c>
      <c r="B666" t="s">
        <v>745</v>
      </c>
      <c r="C666" s="24" t="s">
        <v>2066</v>
      </c>
      <c r="D666" t="s">
        <v>2067</v>
      </c>
      <c r="E666" s="965">
        <v>26.54</v>
      </c>
      <c r="F666" s="966">
        <v>55210</v>
      </c>
      <c r="G666" s="967">
        <v>2</v>
      </c>
      <c r="H666" s="965">
        <v>18.68</v>
      </c>
      <c r="I666" s="965">
        <v>22.36</v>
      </c>
      <c r="J666" s="965">
        <v>25.4</v>
      </c>
      <c r="K666" s="965">
        <v>29.1</v>
      </c>
      <c r="L666" s="965">
        <v>37.18</v>
      </c>
      <c r="O666" s="963">
        <f t="shared" si="40"/>
        <v>25.843999999999998</v>
      </c>
      <c r="P666" s="963">
        <f t="shared" si="41"/>
        <v>27.324000000000002</v>
      </c>
      <c r="R666" s="963">
        <f t="shared" si="42"/>
        <v>22.968</v>
      </c>
      <c r="S666" s="963">
        <f t="shared" si="43"/>
        <v>24.183999999999997</v>
      </c>
    </row>
    <row r="667" spans="1:19" hidden="1" x14ac:dyDescent="0.25">
      <c r="A667" t="s">
        <v>744</v>
      </c>
      <c r="B667" t="s">
        <v>745</v>
      </c>
      <c r="C667" s="24" t="s">
        <v>2068</v>
      </c>
      <c r="D667" t="s">
        <v>2069</v>
      </c>
      <c r="E667" s="965">
        <v>28.78</v>
      </c>
      <c r="F667" s="966">
        <v>59860</v>
      </c>
      <c r="G667" s="967">
        <v>4.4000000000000004</v>
      </c>
      <c r="H667" s="965">
        <v>21.73</v>
      </c>
      <c r="I667" s="965">
        <v>26.87</v>
      </c>
      <c r="J667" s="965">
        <v>28.99</v>
      </c>
      <c r="K667" s="965">
        <v>33.15</v>
      </c>
      <c r="L667" s="965">
        <v>33.729999999999997</v>
      </c>
      <c r="O667" s="963">
        <f t="shared" si="40"/>
        <v>29.4892</v>
      </c>
      <c r="P667" s="963">
        <f t="shared" si="41"/>
        <v>31.153199999999998</v>
      </c>
      <c r="R667" s="963">
        <f t="shared" si="42"/>
        <v>27.294</v>
      </c>
      <c r="S667" s="963">
        <f t="shared" si="43"/>
        <v>28.141999999999999</v>
      </c>
    </row>
    <row r="668" spans="1:19" hidden="1" x14ac:dyDescent="0.25">
      <c r="A668" t="s">
        <v>744</v>
      </c>
      <c r="B668" t="s">
        <v>745</v>
      </c>
      <c r="C668" s="24" t="s">
        <v>2070</v>
      </c>
      <c r="D668" t="s">
        <v>2071</v>
      </c>
      <c r="E668" s="965">
        <v>22.68</v>
      </c>
      <c r="F668" s="966">
        <v>47180</v>
      </c>
      <c r="G668" s="967">
        <v>4.5</v>
      </c>
      <c r="H668" s="965">
        <v>17.78</v>
      </c>
      <c r="I668" s="965">
        <v>18.37</v>
      </c>
      <c r="J668" s="965">
        <v>22.5</v>
      </c>
      <c r="K668" s="965">
        <v>25.72</v>
      </c>
      <c r="L668" s="965">
        <v>27.74</v>
      </c>
      <c r="O668" s="963">
        <f t="shared" si="40"/>
        <v>22.886400000000002</v>
      </c>
      <c r="P668" s="963">
        <f t="shared" si="41"/>
        <v>24.174399999999999</v>
      </c>
      <c r="R668" s="963">
        <f t="shared" si="42"/>
        <v>19.196000000000002</v>
      </c>
      <c r="S668" s="963">
        <f t="shared" si="43"/>
        <v>20.847999999999999</v>
      </c>
    </row>
    <row r="669" spans="1:19" hidden="1" x14ac:dyDescent="0.25">
      <c r="A669" t="s">
        <v>744</v>
      </c>
      <c r="B669" t="s">
        <v>745</v>
      </c>
      <c r="C669" s="24" t="s">
        <v>2072</v>
      </c>
      <c r="D669" t="s">
        <v>2073</v>
      </c>
      <c r="E669" s="965">
        <v>21.38</v>
      </c>
      <c r="F669" s="966">
        <v>44470</v>
      </c>
      <c r="G669" s="967">
        <v>3.1</v>
      </c>
      <c r="H669" s="965">
        <v>17.100000000000001</v>
      </c>
      <c r="I669" s="965">
        <v>17.61</v>
      </c>
      <c r="J669" s="965">
        <v>19.690000000000001</v>
      </c>
      <c r="K669" s="965">
        <v>23.55</v>
      </c>
      <c r="L669" s="965">
        <v>29.08</v>
      </c>
      <c r="O669" s="963">
        <f t="shared" si="40"/>
        <v>20.153200000000002</v>
      </c>
      <c r="P669" s="963">
        <f t="shared" si="41"/>
        <v>21.697200000000002</v>
      </c>
      <c r="R669" s="963">
        <f t="shared" si="42"/>
        <v>18.026</v>
      </c>
      <c r="S669" s="963">
        <f t="shared" si="43"/>
        <v>18.858000000000001</v>
      </c>
    </row>
    <row r="670" spans="1:19" hidden="1" x14ac:dyDescent="0.25">
      <c r="A670" t="s">
        <v>744</v>
      </c>
      <c r="B670" t="s">
        <v>745</v>
      </c>
      <c r="C670" s="24" t="s">
        <v>2074</v>
      </c>
      <c r="D670" t="s">
        <v>2075</v>
      </c>
      <c r="E670" s="965">
        <v>42.82</v>
      </c>
      <c r="F670" s="966">
        <v>89070</v>
      </c>
      <c r="G670" s="967">
        <v>6.2</v>
      </c>
      <c r="H670" s="965">
        <v>24.44</v>
      </c>
      <c r="I670" s="965">
        <v>30.28</v>
      </c>
      <c r="J670" s="965">
        <v>46.58</v>
      </c>
      <c r="K670" s="965">
        <v>50.57</v>
      </c>
      <c r="L670" s="965">
        <v>57.32</v>
      </c>
      <c r="O670" s="963">
        <f t="shared" si="40"/>
        <v>47.058799999999998</v>
      </c>
      <c r="P670" s="963">
        <f t="shared" si="41"/>
        <v>48.654800000000002</v>
      </c>
      <c r="R670" s="963">
        <f t="shared" si="42"/>
        <v>33.540000000000006</v>
      </c>
      <c r="S670" s="963">
        <f t="shared" si="43"/>
        <v>40.06</v>
      </c>
    </row>
    <row r="671" spans="1:19" hidden="1" x14ac:dyDescent="0.25">
      <c r="A671" t="s">
        <v>744</v>
      </c>
      <c r="B671" t="s">
        <v>745</v>
      </c>
      <c r="C671" s="24" t="s">
        <v>2076</v>
      </c>
      <c r="D671" t="s">
        <v>2077</v>
      </c>
      <c r="E671" s="965">
        <v>35.42</v>
      </c>
      <c r="F671" s="966">
        <v>73670</v>
      </c>
      <c r="G671" s="967">
        <v>1.1000000000000001</v>
      </c>
      <c r="H671" s="965">
        <v>24.89</v>
      </c>
      <c r="I671" s="965">
        <v>30.49</v>
      </c>
      <c r="J671" s="965">
        <v>35.159999999999997</v>
      </c>
      <c r="K671" s="965">
        <v>40.24</v>
      </c>
      <c r="L671" s="965">
        <v>46.44</v>
      </c>
      <c r="O671" s="963">
        <f t="shared" si="40"/>
        <v>35.769599999999997</v>
      </c>
      <c r="P671" s="963">
        <f t="shared" si="41"/>
        <v>37.801600000000001</v>
      </c>
      <c r="R671" s="963">
        <f t="shared" si="42"/>
        <v>31.423999999999999</v>
      </c>
      <c r="S671" s="963">
        <f t="shared" si="43"/>
        <v>33.291999999999994</v>
      </c>
    </row>
    <row r="672" spans="1:19" hidden="1" x14ac:dyDescent="0.25">
      <c r="A672" t="s">
        <v>744</v>
      </c>
      <c r="B672" t="s">
        <v>745</v>
      </c>
      <c r="C672" s="24" t="s">
        <v>2078</v>
      </c>
      <c r="D672" t="s">
        <v>2079</v>
      </c>
      <c r="E672" s="965">
        <v>32.44</v>
      </c>
      <c r="F672" s="966">
        <v>67470</v>
      </c>
      <c r="G672" s="967">
        <v>1.1000000000000001</v>
      </c>
      <c r="H672" s="965">
        <v>22.71</v>
      </c>
      <c r="I672" s="965">
        <v>28.28</v>
      </c>
      <c r="J672" s="965">
        <v>30.93</v>
      </c>
      <c r="K672" s="965">
        <v>36.11</v>
      </c>
      <c r="L672" s="965">
        <v>40.26</v>
      </c>
      <c r="O672" s="963">
        <f t="shared" si="40"/>
        <v>31.551600000000001</v>
      </c>
      <c r="P672" s="963">
        <f t="shared" si="41"/>
        <v>33.623599999999996</v>
      </c>
      <c r="R672" s="963">
        <f t="shared" si="42"/>
        <v>28.810000000000002</v>
      </c>
      <c r="S672" s="963">
        <f t="shared" si="43"/>
        <v>29.87</v>
      </c>
    </row>
    <row r="673" spans="1:19" hidden="1" x14ac:dyDescent="0.25">
      <c r="A673" t="s">
        <v>744</v>
      </c>
      <c r="B673" t="s">
        <v>745</v>
      </c>
      <c r="C673" s="24" t="s">
        <v>2080</v>
      </c>
      <c r="D673" t="s">
        <v>2081</v>
      </c>
      <c r="E673" s="965">
        <v>34.43</v>
      </c>
      <c r="F673" s="966">
        <v>71620</v>
      </c>
      <c r="G673" s="967">
        <v>1.1000000000000001</v>
      </c>
      <c r="H673" s="965">
        <v>26.17</v>
      </c>
      <c r="I673" s="965">
        <v>28.74</v>
      </c>
      <c r="J673" s="965">
        <v>28.77</v>
      </c>
      <c r="K673" s="965">
        <v>39.08</v>
      </c>
      <c r="L673" s="965">
        <v>47.67</v>
      </c>
      <c r="O673" s="963">
        <f t="shared" si="40"/>
        <v>30.007200000000001</v>
      </c>
      <c r="P673" s="963">
        <f t="shared" si="41"/>
        <v>34.1312</v>
      </c>
      <c r="R673" s="963">
        <f t="shared" si="42"/>
        <v>28.745999999999999</v>
      </c>
      <c r="S673" s="963">
        <f t="shared" si="43"/>
        <v>28.757999999999999</v>
      </c>
    </row>
    <row r="674" spans="1:19" hidden="1" x14ac:dyDescent="0.25">
      <c r="A674" t="s">
        <v>744</v>
      </c>
      <c r="B674" t="s">
        <v>745</v>
      </c>
      <c r="C674" s="24" t="s">
        <v>2082</v>
      </c>
      <c r="D674" t="s">
        <v>2083</v>
      </c>
      <c r="E674" s="965">
        <v>27.67</v>
      </c>
      <c r="F674" s="966">
        <v>57550</v>
      </c>
      <c r="G674" s="967">
        <v>2.2999999999999998</v>
      </c>
      <c r="H674" s="965">
        <v>18.97</v>
      </c>
      <c r="I674" s="965">
        <v>22.44</v>
      </c>
      <c r="J674" s="965">
        <v>26.68</v>
      </c>
      <c r="K674" s="965">
        <v>30.84</v>
      </c>
      <c r="L674" s="965">
        <v>39.36</v>
      </c>
      <c r="O674" s="963">
        <f t="shared" si="40"/>
        <v>27.179200000000002</v>
      </c>
      <c r="P674" s="963">
        <f t="shared" si="41"/>
        <v>28.8432</v>
      </c>
      <c r="R674" s="963">
        <f t="shared" si="42"/>
        <v>23.288</v>
      </c>
      <c r="S674" s="963">
        <f t="shared" si="43"/>
        <v>24.984000000000002</v>
      </c>
    </row>
    <row r="675" spans="1:19" hidden="1" x14ac:dyDescent="0.25">
      <c r="A675" t="s">
        <v>744</v>
      </c>
      <c r="B675" t="s">
        <v>745</v>
      </c>
      <c r="C675" s="24" t="s">
        <v>2084</v>
      </c>
      <c r="D675" t="s">
        <v>2085</v>
      </c>
      <c r="E675" s="965">
        <v>21.95</v>
      </c>
      <c r="F675" s="966">
        <v>45650</v>
      </c>
      <c r="G675" s="967">
        <v>1.9</v>
      </c>
      <c r="H675" s="965">
        <v>15.59</v>
      </c>
      <c r="I675" s="965">
        <v>17.399999999999999</v>
      </c>
      <c r="J675" s="965">
        <v>21.3</v>
      </c>
      <c r="K675" s="965">
        <v>23.55</v>
      </c>
      <c r="L675" s="965">
        <v>30</v>
      </c>
      <c r="O675" s="963">
        <f t="shared" si="40"/>
        <v>21.57</v>
      </c>
      <c r="P675" s="963">
        <f t="shared" si="41"/>
        <v>22.47</v>
      </c>
      <c r="R675" s="963">
        <f t="shared" si="42"/>
        <v>18.18</v>
      </c>
      <c r="S675" s="963">
        <f t="shared" si="43"/>
        <v>19.740000000000002</v>
      </c>
    </row>
    <row r="676" spans="1:19" hidden="1" x14ac:dyDescent="0.25">
      <c r="A676" t="s">
        <v>744</v>
      </c>
      <c r="B676" t="s">
        <v>745</v>
      </c>
      <c r="C676" s="24" t="s">
        <v>2086</v>
      </c>
      <c r="D676" t="s">
        <v>2087</v>
      </c>
      <c r="E676" s="965">
        <v>26.61</v>
      </c>
      <c r="F676" s="966">
        <v>55340</v>
      </c>
      <c r="G676" s="967">
        <v>2.8</v>
      </c>
      <c r="H676" s="965">
        <v>19.440000000000001</v>
      </c>
      <c r="I676" s="965">
        <v>22.42</v>
      </c>
      <c r="J676" s="965">
        <v>26.08</v>
      </c>
      <c r="K676" s="965">
        <v>30.59</v>
      </c>
      <c r="L676" s="965">
        <v>33.07</v>
      </c>
      <c r="O676" s="963">
        <f t="shared" si="40"/>
        <v>26.621199999999998</v>
      </c>
      <c r="P676" s="963">
        <f t="shared" si="41"/>
        <v>28.4252</v>
      </c>
      <c r="R676" s="963">
        <f t="shared" si="42"/>
        <v>23.152000000000001</v>
      </c>
      <c r="S676" s="963">
        <f t="shared" si="43"/>
        <v>24.616</v>
      </c>
    </row>
    <row r="677" spans="1:19" hidden="1" x14ac:dyDescent="0.25">
      <c r="A677" t="s">
        <v>744</v>
      </c>
      <c r="B677" t="s">
        <v>745</v>
      </c>
      <c r="C677" s="24" t="s">
        <v>2088</v>
      </c>
      <c r="D677" t="s">
        <v>2089</v>
      </c>
      <c r="E677" s="965">
        <v>22.29</v>
      </c>
      <c r="F677" s="966">
        <v>46370</v>
      </c>
      <c r="G677" s="967">
        <v>3.8</v>
      </c>
      <c r="H677" s="965">
        <v>17.399999999999999</v>
      </c>
      <c r="I677" s="965">
        <v>18.920000000000002</v>
      </c>
      <c r="J677" s="965">
        <v>20.329999999999998</v>
      </c>
      <c r="K677" s="965">
        <v>27.75</v>
      </c>
      <c r="L677" s="965">
        <v>29.13</v>
      </c>
      <c r="O677" s="963">
        <f t="shared" si="40"/>
        <v>21.220399999999998</v>
      </c>
      <c r="P677" s="963">
        <f t="shared" si="41"/>
        <v>24.188399999999998</v>
      </c>
      <c r="R677" s="963">
        <f t="shared" si="42"/>
        <v>19.202000000000002</v>
      </c>
      <c r="S677" s="963">
        <f t="shared" si="43"/>
        <v>19.765999999999998</v>
      </c>
    </row>
    <row r="678" spans="1:19" hidden="1" x14ac:dyDescent="0.25">
      <c r="A678" t="s">
        <v>744</v>
      </c>
      <c r="B678" t="s">
        <v>745</v>
      </c>
      <c r="C678" s="24" t="s">
        <v>2090</v>
      </c>
      <c r="D678" t="s">
        <v>2091</v>
      </c>
      <c r="E678" s="965">
        <v>25.31</v>
      </c>
      <c r="F678" s="966">
        <v>52650</v>
      </c>
      <c r="G678" s="967">
        <v>2</v>
      </c>
      <c r="H678" s="965">
        <v>19.48</v>
      </c>
      <c r="I678" s="965">
        <v>20.2</v>
      </c>
      <c r="J678" s="965">
        <v>24.64</v>
      </c>
      <c r="K678" s="965">
        <v>28.35</v>
      </c>
      <c r="L678" s="965">
        <v>34.130000000000003</v>
      </c>
      <c r="O678" s="963">
        <f t="shared" si="40"/>
        <v>25.0852</v>
      </c>
      <c r="P678" s="963">
        <f t="shared" si="41"/>
        <v>26.569200000000002</v>
      </c>
      <c r="R678" s="963">
        <f t="shared" si="42"/>
        <v>21.088000000000001</v>
      </c>
      <c r="S678" s="963">
        <f t="shared" si="43"/>
        <v>22.864000000000001</v>
      </c>
    </row>
    <row r="679" spans="1:19" hidden="1" x14ac:dyDescent="0.25">
      <c r="A679" t="s">
        <v>744</v>
      </c>
      <c r="B679" t="s">
        <v>745</v>
      </c>
      <c r="C679" s="24" t="s">
        <v>2092</v>
      </c>
      <c r="D679" t="s">
        <v>2093</v>
      </c>
      <c r="E679" s="965">
        <v>19.13</v>
      </c>
      <c r="F679" s="966">
        <v>39780</v>
      </c>
      <c r="G679" s="967">
        <v>3.1</v>
      </c>
      <c r="H679" s="965">
        <v>17.510000000000002</v>
      </c>
      <c r="I679" s="965">
        <v>17.600000000000001</v>
      </c>
      <c r="J679" s="965">
        <v>19.14</v>
      </c>
      <c r="K679" s="965">
        <v>19.5</v>
      </c>
      <c r="L679" s="965">
        <v>22.39</v>
      </c>
      <c r="O679" s="963">
        <f t="shared" si="40"/>
        <v>19.183199999999999</v>
      </c>
      <c r="P679" s="963">
        <f t="shared" si="41"/>
        <v>19.327200000000001</v>
      </c>
      <c r="R679" s="963">
        <f t="shared" si="42"/>
        <v>17.908000000000001</v>
      </c>
      <c r="S679" s="963">
        <f t="shared" si="43"/>
        <v>18.524000000000001</v>
      </c>
    </row>
    <row r="680" spans="1:19" hidden="1" x14ac:dyDescent="0.25">
      <c r="A680" t="s">
        <v>744</v>
      </c>
      <c r="B680" t="s">
        <v>745</v>
      </c>
      <c r="C680" s="24" t="s">
        <v>2094</v>
      </c>
      <c r="D680" t="s">
        <v>2095</v>
      </c>
      <c r="E680" s="965">
        <v>21.55</v>
      </c>
      <c r="F680" s="966">
        <v>44830</v>
      </c>
      <c r="G680" s="967">
        <v>1.7</v>
      </c>
      <c r="H680" s="965">
        <v>16.760000000000002</v>
      </c>
      <c r="I680" s="965">
        <v>18.579999999999998</v>
      </c>
      <c r="J680" s="965">
        <v>20.64</v>
      </c>
      <c r="K680" s="965">
        <v>24.24</v>
      </c>
      <c r="L680" s="965">
        <v>26.84</v>
      </c>
      <c r="O680" s="963">
        <f t="shared" si="40"/>
        <v>21.071999999999999</v>
      </c>
      <c r="P680" s="963">
        <f t="shared" si="41"/>
        <v>22.512</v>
      </c>
      <c r="R680" s="963">
        <f t="shared" si="42"/>
        <v>18.991999999999997</v>
      </c>
      <c r="S680" s="963">
        <f t="shared" si="43"/>
        <v>19.815999999999999</v>
      </c>
    </row>
    <row r="681" spans="1:19" hidden="1" x14ac:dyDescent="0.25">
      <c r="A681" t="s">
        <v>744</v>
      </c>
      <c r="B681" t="s">
        <v>745</v>
      </c>
      <c r="C681" s="24" t="s">
        <v>2096</v>
      </c>
      <c r="D681" t="s">
        <v>2097</v>
      </c>
      <c r="E681" s="965">
        <v>21.57</v>
      </c>
      <c r="F681" s="966">
        <v>44870</v>
      </c>
      <c r="G681" s="967">
        <v>1.7</v>
      </c>
      <c r="H681" s="965">
        <v>16.61</v>
      </c>
      <c r="I681" s="965">
        <v>19.399999999999999</v>
      </c>
      <c r="J681" s="965">
        <v>20.66</v>
      </c>
      <c r="K681" s="965">
        <v>23.12</v>
      </c>
      <c r="L681" s="965">
        <v>27.68</v>
      </c>
      <c r="O681" s="963">
        <f t="shared" si="40"/>
        <v>20.955200000000001</v>
      </c>
      <c r="P681" s="963">
        <f t="shared" si="41"/>
        <v>21.9392</v>
      </c>
      <c r="R681" s="963">
        <f t="shared" si="42"/>
        <v>19.651999999999997</v>
      </c>
      <c r="S681" s="963">
        <f t="shared" si="43"/>
        <v>20.155999999999999</v>
      </c>
    </row>
    <row r="682" spans="1:19" hidden="1" x14ac:dyDescent="0.25">
      <c r="A682" t="s">
        <v>744</v>
      </c>
      <c r="B682" t="s">
        <v>745</v>
      </c>
      <c r="C682" s="24" t="s">
        <v>2098</v>
      </c>
      <c r="D682" t="s">
        <v>2099</v>
      </c>
      <c r="E682" s="965">
        <v>26.17</v>
      </c>
      <c r="F682" s="966">
        <v>54440</v>
      </c>
      <c r="G682" s="967">
        <v>7.1</v>
      </c>
      <c r="H682" s="965">
        <v>18.54</v>
      </c>
      <c r="I682" s="965">
        <v>20.23</v>
      </c>
      <c r="J682" s="965">
        <v>27.86</v>
      </c>
      <c r="K682" s="965">
        <v>31.42</v>
      </c>
      <c r="L682" s="965">
        <v>33.5</v>
      </c>
      <c r="O682" s="963">
        <f t="shared" si="40"/>
        <v>28.287199999999999</v>
      </c>
      <c r="P682" s="963">
        <f t="shared" si="41"/>
        <v>29.711200000000002</v>
      </c>
      <c r="R682" s="963">
        <f t="shared" si="42"/>
        <v>21.756</v>
      </c>
      <c r="S682" s="963">
        <f t="shared" si="43"/>
        <v>24.808</v>
      </c>
    </row>
    <row r="683" spans="1:19" hidden="1" x14ac:dyDescent="0.25">
      <c r="A683" t="s">
        <v>744</v>
      </c>
      <c r="B683" t="s">
        <v>745</v>
      </c>
      <c r="C683" s="24" t="s">
        <v>2100</v>
      </c>
      <c r="D683" t="s">
        <v>2101</v>
      </c>
      <c r="E683" s="965">
        <v>26.81</v>
      </c>
      <c r="F683" s="966">
        <v>55750</v>
      </c>
      <c r="G683" s="967">
        <v>1.7</v>
      </c>
      <c r="H683" s="965">
        <v>18</v>
      </c>
      <c r="I683" s="965">
        <v>21.08</v>
      </c>
      <c r="J683" s="965">
        <v>24.35</v>
      </c>
      <c r="K683" s="965">
        <v>30.4</v>
      </c>
      <c r="L683" s="965">
        <v>38.64</v>
      </c>
      <c r="O683" s="963">
        <f t="shared" si="40"/>
        <v>25.076000000000001</v>
      </c>
      <c r="P683" s="963">
        <f t="shared" si="41"/>
        <v>27.495999999999999</v>
      </c>
      <c r="R683" s="963">
        <f t="shared" si="42"/>
        <v>21.733999999999998</v>
      </c>
      <c r="S683" s="963">
        <f t="shared" si="43"/>
        <v>23.042000000000002</v>
      </c>
    </row>
    <row r="684" spans="1:19" hidden="1" x14ac:dyDescent="0.25">
      <c r="A684" t="s">
        <v>744</v>
      </c>
      <c r="B684" t="s">
        <v>745</v>
      </c>
      <c r="C684" s="24" t="s">
        <v>2102</v>
      </c>
      <c r="D684" t="s">
        <v>2103</v>
      </c>
      <c r="E684" s="965">
        <v>26.75</v>
      </c>
      <c r="F684" s="966">
        <v>55650</v>
      </c>
      <c r="G684" s="967">
        <v>7.6</v>
      </c>
      <c r="H684" s="965">
        <v>16.579999999999998</v>
      </c>
      <c r="I684" s="965">
        <v>17.66</v>
      </c>
      <c r="J684" s="965">
        <v>25.6</v>
      </c>
      <c r="K684" s="965">
        <v>31.9</v>
      </c>
      <c r="L684" s="965">
        <v>38.020000000000003</v>
      </c>
      <c r="O684" s="963">
        <f t="shared" si="40"/>
        <v>26.356000000000002</v>
      </c>
      <c r="P684" s="963">
        <f t="shared" si="41"/>
        <v>28.876000000000001</v>
      </c>
      <c r="R684" s="963">
        <f t="shared" si="42"/>
        <v>19.248000000000001</v>
      </c>
      <c r="S684" s="963">
        <f t="shared" si="43"/>
        <v>22.423999999999999</v>
      </c>
    </row>
    <row r="685" spans="1:19" hidden="1" x14ac:dyDescent="0.25">
      <c r="A685" t="s">
        <v>744</v>
      </c>
      <c r="B685" t="s">
        <v>745</v>
      </c>
      <c r="C685" s="24" t="s">
        <v>2104</v>
      </c>
      <c r="D685" t="s">
        <v>2105</v>
      </c>
      <c r="E685" s="965">
        <v>29.89</v>
      </c>
      <c r="F685" s="966">
        <v>62180</v>
      </c>
      <c r="G685" s="967">
        <v>6.2</v>
      </c>
      <c r="H685" s="965">
        <v>20.13</v>
      </c>
      <c r="I685" s="965">
        <v>21.79</v>
      </c>
      <c r="J685" s="965">
        <v>29.43</v>
      </c>
      <c r="K685" s="965">
        <v>30.57</v>
      </c>
      <c r="L685" s="965">
        <v>54.58</v>
      </c>
      <c r="O685" s="963">
        <f t="shared" si="40"/>
        <v>29.566800000000001</v>
      </c>
      <c r="P685" s="963">
        <f t="shared" si="41"/>
        <v>30.0228</v>
      </c>
      <c r="R685" s="963">
        <f t="shared" si="42"/>
        <v>23.318000000000001</v>
      </c>
      <c r="S685" s="963">
        <f t="shared" si="43"/>
        <v>26.374000000000002</v>
      </c>
    </row>
    <row r="686" spans="1:19" hidden="1" x14ac:dyDescent="0.25">
      <c r="A686" t="s">
        <v>744</v>
      </c>
      <c r="B686" t="s">
        <v>745</v>
      </c>
      <c r="C686" s="24" t="s">
        <v>2106</v>
      </c>
      <c r="D686" t="s">
        <v>2107</v>
      </c>
      <c r="E686" s="965">
        <v>23.54</v>
      </c>
      <c r="F686" s="966">
        <v>48970</v>
      </c>
      <c r="G686" s="967">
        <v>11.6</v>
      </c>
      <c r="H686" s="965">
        <v>19.46</v>
      </c>
      <c r="I686" s="965">
        <v>21.42</v>
      </c>
      <c r="J686" s="965">
        <v>21.62</v>
      </c>
      <c r="K686" s="965">
        <v>24.93</v>
      </c>
      <c r="L686" s="965">
        <v>32.520000000000003</v>
      </c>
      <c r="O686" s="963">
        <f t="shared" si="40"/>
        <v>22.017200000000003</v>
      </c>
      <c r="P686" s="963">
        <f t="shared" si="41"/>
        <v>23.341200000000001</v>
      </c>
      <c r="R686" s="963">
        <f t="shared" si="42"/>
        <v>21.46</v>
      </c>
      <c r="S686" s="963">
        <f t="shared" si="43"/>
        <v>21.540000000000003</v>
      </c>
    </row>
    <row r="687" spans="1:19" hidden="1" x14ac:dyDescent="0.25">
      <c r="A687" t="s">
        <v>744</v>
      </c>
      <c r="B687" t="s">
        <v>745</v>
      </c>
      <c r="C687" s="24" t="s">
        <v>2108</v>
      </c>
      <c r="D687" t="s">
        <v>2109</v>
      </c>
      <c r="E687" s="965">
        <v>22.01</v>
      </c>
      <c r="F687" s="966">
        <v>45780</v>
      </c>
      <c r="G687" s="967">
        <v>3.2</v>
      </c>
      <c r="H687" s="965">
        <v>17.88</v>
      </c>
      <c r="I687" s="965">
        <v>18.97</v>
      </c>
      <c r="J687" s="965">
        <v>22.29</v>
      </c>
      <c r="K687" s="965">
        <v>24.22</v>
      </c>
      <c r="L687" s="965">
        <v>27.09</v>
      </c>
      <c r="O687" s="963">
        <f t="shared" si="40"/>
        <v>22.521599999999999</v>
      </c>
      <c r="P687" s="963">
        <f t="shared" si="41"/>
        <v>23.293599999999998</v>
      </c>
      <c r="R687" s="963">
        <f t="shared" si="42"/>
        <v>19.634</v>
      </c>
      <c r="S687" s="963">
        <f t="shared" si="43"/>
        <v>20.962</v>
      </c>
    </row>
    <row r="688" spans="1:19" hidden="1" x14ac:dyDescent="0.25">
      <c r="A688" t="s">
        <v>744</v>
      </c>
      <c r="B688" t="s">
        <v>745</v>
      </c>
      <c r="C688" s="24" t="s">
        <v>2110</v>
      </c>
      <c r="D688" t="s">
        <v>2111</v>
      </c>
      <c r="E688" s="965">
        <v>18.71</v>
      </c>
      <c r="F688" s="966">
        <v>38920</v>
      </c>
      <c r="G688" s="967">
        <v>1.1000000000000001</v>
      </c>
      <c r="H688" s="965">
        <v>15</v>
      </c>
      <c r="I688" s="965">
        <v>16.13</v>
      </c>
      <c r="J688" s="965">
        <v>17.690000000000001</v>
      </c>
      <c r="K688" s="965">
        <v>20.75</v>
      </c>
      <c r="L688" s="965">
        <v>23</v>
      </c>
      <c r="O688" s="963">
        <f t="shared" si="40"/>
        <v>18.057200000000002</v>
      </c>
      <c r="P688" s="963">
        <f t="shared" si="41"/>
        <v>19.281200000000002</v>
      </c>
      <c r="R688" s="963">
        <f t="shared" si="42"/>
        <v>16.442</v>
      </c>
      <c r="S688" s="963">
        <f t="shared" si="43"/>
        <v>17.065999999999999</v>
      </c>
    </row>
    <row r="689" spans="1:19" hidden="1" x14ac:dyDescent="0.25">
      <c r="A689" t="s">
        <v>744</v>
      </c>
      <c r="B689" t="s">
        <v>745</v>
      </c>
      <c r="C689" s="24" t="s">
        <v>2112</v>
      </c>
      <c r="D689" t="s">
        <v>2113</v>
      </c>
      <c r="E689" s="965">
        <v>21.27</v>
      </c>
      <c r="F689" s="966">
        <v>44250</v>
      </c>
      <c r="G689" s="967">
        <v>3.4</v>
      </c>
      <c r="H689" s="965">
        <v>16.940000000000001</v>
      </c>
      <c r="I689" s="965">
        <v>18.41</v>
      </c>
      <c r="J689" s="965">
        <v>19.510000000000002</v>
      </c>
      <c r="K689" s="965">
        <v>23.8</v>
      </c>
      <c r="L689" s="965">
        <v>27.64</v>
      </c>
      <c r="O689" s="963">
        <f t="shared" si="40"/>
        <v>20.024800000000003</v>
      </c>
      <c r="P689" s="963">
        <f t="shared" si="41"/>
        <v>21.7408</v>
      </c>
      <c r="R689" s="963">
        <f t="shared" si="42"/>
        <v>18.63</v>
      </c>
      <c r="S689" s="963">
        <f t="shared" si="43"/>
        <v>19.07</v>
      </c>
    </row>
    <row r="690" spans="1:19" hidden="1" x14ac:dyDescent="0.25">
      <c r="A690" t="s">
        <v>744</v>
      </c>
      <c r="B690" t="s">
        <v>745</v>
      </c>
      <c r="C690" s="24" t="s">
        <v>2114</v>
      </c>
      <c r="D690" t="s">
        <v>2115</v>
      </c>
      <c r="E690" s="965">
        <v>23.92</v>
      </c>
      <c r="F690" s="966">
        <v>49760</v>
      </c>
      <c r="G690" s="967">
        <v>2.1</v>
      </c>
      <c r="H690" s="965">
        <v>16.940000000000001</v>
      </c>
      <c r="I690" s="965">
        <v>18.72</v>
      </c>
      <c r="J690" s="965">
        <v>22.46</v>
      </c>
      <c r="K690" s="965">
        <v>28.32</v>
      </c>
      <c r="L690" s="965">
        <v>31.55</v>
      </c>
      <c r="O690" s="963">
        <f t="shared" si="40"/>
        <v>23.1632</v>
      </c>
      <c r="P690" s="963">
        <f t="shared" si="41"/>
        <v>25.507200000000001</v>
      </c>
      <c r="R690" s="963">
        <f t="shared" si="42"/>
        <v>19.468</v>
      </c>
      <c r="S690" s="963">
        <f t="shared" si="43"/>
        <v>20.963999999999999</v>
      </c>
    </row>
    <row r="691" spans="1:19" hidden="1" x14ac:dyDescent="0.25">
      <c r="A691" t="s">
        <v>744</v>
      </c>
      <c r="B691" t="s">
        <v>745</v>
      </c>
      <c r="C691" s="24" t="s">
        <v>2116</v>
      </c>
      <c r="D691" t="s">
        <v>2117</v>
      </c>
      <c r="E691" s="965">
        <v>24.56</v>
      </c>
      <c r="F691" s="966">
        <v>51090</v>
      </c>
      <c r="G691" s="967">
        <v>0.4</v>
      </c>
      <c r="H691" s="965">
        <v>18.489999999999998</v>
      </c>
      <c r="I691" s="965">
        <v>19.600000000000001</v>
      </c>
      <c r="J691" s="965">
        <v>24.14</v>
      </c>
      <c r="K691" s="965">
        <v>29.31</v>
      </c>
      <c r="L691" s="965">
        <v>30.52</v>
      </c>
      <c r="O691" s="963">
        <f t="shared" si="40"/>
        <v>24.760400000000001</v>
      </c>
      <c r="P691" s="963">
        <f t="shared" si="41"/>
        <v>26.828399999999998</v>
      </c>
      <c r="R691" s="963">
        <f t="shared" si="42"/>
        <v>20.508000000000003</v>
      </c>
      <c r="S691" s="963">
        <f t="shared" si="43"/>
        <v>22.324000000000002</v>
      </c>
    </row>
    <row r="692" spans="1:19" hidden="1" x14ac:dyDescent="0.25">
      <c r="A692" t="s">
        <v>744</v>
      </c>
      <c r="B692" t="s">
        <v>745</v>
      </c>
      <c r="C692" s="24" t="s">
        <v>2118</v>
      </c>
      <c r="D692" t="s">
        <v>2119</v>
      </c>
      <c r="E692" s="965" t="s">
        <v>719</v>
      </c>
      <c r="F692" s="966" t="s">
        <v>719</v>
      </c>
      <c r="G692" s="967" t="s">
        <v>719</v>
      </c>
      <c r="H692" s="965" t="s">
        <v>719</v>
      </c>
      <c r="I692" s="965" t="s">
        <v>719</v>
      </c>
      <c r="J692" s="965" t="s">
        <v>719</v>
      </c>
      <c r="K692" s="965" t="s">
        <v>719</v>
      </c>
      <c r="L692" s="965" t="s">
        <v>719</v>
      </c>
      <c r="O692" s="963" t="e">
        <f t="shared" si="40"/>
        <v>#NUM!</v>
      </c>
      <c r="P692" s="963" t="e">
        <f t="shared" si="41"/>
        <v>#NUM!</v>
      </c>
      <c r="R692" s="963" t="e">
        <f t="shared" si="42"/>
        <v>#NUM!</v>
      </c>
      <c r="S692" s="963" t="e">
        <f t="shared" si="43"/>
        <v>#NUM!</v>
      </c>
    </row>
    <row r="693" spans="1:19" hidden="1" x14ac:dyDescent="0.25">
      <c r="A693" t="s">
        <v>744</v>
      </c>
      <c r="B693" t="s">
        <v>745</v>
      </c>
      <c r="C693" s="24" t="s">
        <v>2120</v>
      </c>
      <c r="D693" t="s">
        <v>2121</v>
      </c>
      <c r="E693" s="965">
        <v>27.74</v>
      </c>
      <c r="F693" s="966">
        <v>57710</v>
      </c>
      <c r="G693" s="967">
        <v>0.6</v>
      </c>
      <c r="H693" s="965">
        <v>21.53</v>
      </c>
      <c r="I693" s="965">
        <v>23.54</v>
      </c>
      <c r="J693" s="965">
        <v>28.38</v>
      </c>
      <c r="K693" s="965">
        <v>29.58</v>
      </c>
      <c r="L693" s="965">
        <v>36.53</v>
      </c>
      <c r="O693" s="963">
        <f t="shared" si="40"/>
        <v>28.523999999999997</v>
      </c>
      <c r="P693" s="963">
        <f t="shared" si="41"/>
        <v>29.003999999999998</v>
      </c>
      <c r="R693" s="963">
        <f t="shared" si="42"/>
        <v>24.507999999999999</v>
      </c>
      <c r="S693" s="963">
        <f t="shared" si="43"/>
        <v>26.443999999999999</v>
      </c>
    </row>
    <row r="694" spans="1:19" hidden="1" x14ac:dyDescent="0.25">
      <c r="A694" t="s">
        <v>744</v>
      </c>
      <c r="B694" t="s">
        <v>745</v>
      </c>
      <c r="C694" s="24" t="s">
        <v>2122</v>
      </c>
      <c r="D694" t="s">
        <v>2123</v>
      </c>
      <c r="E694" s="965">
        <v>35.28</v>
      </c>
      <c r="F694" s="966">
        <v>73390</v>
      </c>
      <c r="G694" s="967">
        <v>2</v>
      </c>
      <c r="H694" s="965">
        <v>23</v>
      </c>
      <c r="I694" s="965">
        <v>29.4</v>
      </c>
      <c r="J694" s="965">
        <v>36.68</v>
      </c>
      <c r="K694" s="965">
        <v>39.79</v>
      </c>
      <c r="L694" s="965">
        <v>46.06</v>
      </c>
      <c r="O694" s="963">
        <f t="shared" si="40"/>
        <v>37.053199999999997</v>
      </c>
      <c r="P694" s="963">
        <f t="shared" si="41"/>
        <v>38.297199999999997</v>
      </c>
      <c r="R694" s="963">
        <f t="shared" si="42"/>
        <v>30.856000000000002</v>
      </c>
      <c r="S694" s="963">
        <f t="shared" si="43"/>
        <v>33.768000000000001</v>
      </c>
    </row>
    <row r="695" spans="1:19" hidden="1" x14ac:dyDescent="0.25">
      <c r="A695" t="s">
        <v>744</v>
      </c>
      <c r="B695" t="s">
        <v>745</v>
      </c>
      <c r="C695" s="24" t="s">
        <v>2124</v>
      </c>
      <c r="D695" t="s">
        <v>2125</v>
      </c>
      <c r="E695" s="965">
        <v>20.5</v>
      </c>
      <c r="F695" s="966">
        <v>42640</v>
      </c>
      <c r="G695" s="967">
        <v>4.8</v>
      </c>
      <c r="H695" s="965">
        <v>15.2</v>
      </c>
      <c r="I695" s="965">
        <v>16.04</v>
      </c>
      <c r="J695" s="965">
        <v>17.72</v>
      </c>
      <c r="K695" s="965">
        <v>24.41</v>
      </c>
      <c r="L695" s="965">
        <v>28.31</v>
      </c>
      <c r="O695" s="963">
        <f t="shared" si="40"/>
        <v>18.5228</v>
      </c>
      <c r="P695" s="963">
        <f t="shared" si="41"/>
        <v>21.198799999999999</v>
      </c>
      <c r="R695" s="963">
        <f t="shared" si="42"/>
        <v>16.375999999999998</v>
      </c>
      <c r="S695" s="963">
        <f t="shared" si="43"/>
        <v>17.047999999999998</v>
      </c>
    </row>
    <row r="696" spans="1:19" hidden="1" x14ac:dyDescent="0.25">
      <c r="A696" t="s">
        <v>744</v>
      </c>
      <c r="B696" t="s">
        <v>745</v>
      </c>
      <c r="C696" s="24" t="s">
        <v>2126</v>
      </c>
      <c r="D696" t="s">
        <v>2127</v>
      </c>
      <c r="E696" s="965">
        <v>18.28</v>
      </c>
      <c r="F696" s="966">
        <v>38030</v>
      </c>
      <c r="G696" s="967">
        <v>1.7</v>
      </c>
      <c r="H696" s="965">
        <v>15.37</v>
      </c>
      <c r="I696" s="965">
        <v>16.649999999999999</v>
      </c>
      <c r="J696" s="965">
        <v>17.05</v>
      </c>
      <c r="K696" s="965">
        <v>19.670000000000002</v>
      </c>
      <c r="L696" s="965">
        <v>22.92</v>
      </c>
      <c r="O696" s="963">
        <f t="shared" si="40"/>
        <v>17.3644</v>
      </c>
      <c r="P696" s="963">
        <f t="shared" si="41"/>
        <v>18.412400000000002</v>
      </c>
      <c r="R696" s="963">
        <f t="shared" si="42"/>
        <v>16.73</v>
      </c>
      <c r="S696" s="963">
        <f t="shared" si="43"/>
        <v>16.89</v>
      </c>
    </row>
    <row r="697" spans="1:19" hidden="1" x14ac:dyDescent="0.25">
      <c r="A697" t="s">
        <v>744</v>
      </c>
      <c r="B697" t="s">
        <v>745</v>
      </c>
      <c r="C697" s="24" t="s">
        <v>2128</v>
      </c>
      <c r="D697" t="s">
        <v>2129</v>
      </c>
      <c r="E697" s="965">
        <v>21.21</v>
      </c>
      <c r="F697" s="966">
        <v>44120</v>
      </c>
      <c r="G697" s="967">
        <v>5.2</v>
      </c>
      <c r="H697" s="965">
        <v>16.47</v>
      </c>
      <c r="I697" s="965">
        <v>18.059999999999999</v>
      </c>
      <c r="J697" s="965">
        <v>21.85</v>
      </c>
      <c r="K697" s="965">
        <v>22.92</v>
      </c>
      <c r="L697" s="965">
        <v>27.38</v>
      </c>
      <c r="O697" s="963">
        <f t="shared" si="40"/>
        <v>21.978400000000001</v>
      </c>
      <c r="P697" s="963">
        <f t="shared" si="41"/>
        <v>22.406400000000001</v>
      </c>
      <c r="R697" s="963">
        <f t="shared" si="42"/>
        <v>18.818000000000001</v>
      </c>
      <c r="S697" s="963">
        <f t="shared" si="43"/>
        <v>20.334</v>
      </c>
    </row>
    <row r="698" spans="1:19" hidden="1" x14ac:dyDescent="0.25">
      <c r="A698" t="s">
        <v>744</v>
      </c>
      <c r="B698" t="s">
        <v>745</v>
      </c>
      <c r="C698" s="24" t="s">
        <v>2130</v>
      </c>
      <c r="D698" t="s">
        <v>2131</v>
      </c>
      <c r="E698" s="965">
        <v>20.79</v>
      </c>
      <c r="F698" s="966">
        <v>43240</v>
      </c>
      <c r="G698" s="967">
        <v>3</v>
      </c>
      <c r="H698" s="965">
        <v>15.29</v>
      </c>
      <c r="I698" s="965">
        <v>18.11</v>
      </c>
      <c r="J698" s="965">
        <v>18.72</v>
      </c>
      <c r="K698" s="965">
        <v>22.95</v>
      </c>
      <c r="L698" s="965">
        <v>27.58</v>
      </c>
      <c r="O698" s="963">
        <f t="shared" si="40"/>
        <v>19.227599999999999</v>
      </c>
      <c r="P698" s="963">
        <f t="shared" si="41"/>
        <v>20.919599999999999</v>
      </c>
      <c r="R698" s="963">
        <f t="shared" si="42"/>
        <v>18.231999999999999</v>
      </c>
      <c r="S698" s="963">
        <f t="shared" si="43"/>
        <v>18.475999999999999</v>
      </c>
    </row>
    <row r="699" spans="1:19" hidden="1" x14ac:dyDescent="0.25">
      <c r="A699" t="s">
        <v>744</v>
      </c>
      <c r="B699" t="s">
        <v>745</v>
      </c>
      <c r="C699" s="24" t="s">
        <v>2132</v>
      </c>
      <c r="D699" t="s">
        <v>2133</v>
      </c>
      <c r="E699" s="965">
        <v>22.19</v>
      </c>
      <c r="F699" s="966">
        <v>46150</v>
      </c>
      <c r="G699" s="967">
        <v>1.9</v>
      </c>
      <c r="H699" s="965">
        <v>17.239999999999998</v>
      </c>
      <c r="I699" s="965">
        <v>19.47</v>
      </c>
      <c r="J699" s="965">
        <v>21.94</v>
      </c>
      <c r="K699" s="965">
        <v>24.71</v>
      </c>
      <c r="L699" s="965">
        <v>28</v>
      </c>
      <c r="O699" s="963">
        <f t="shared" si="40"/>
        <v>22.272400000000001</v>
      </c>
      <c r="P699" s="963">
        <f t="shared" si="41"/>
        <v>23.380400000000002</v>
      </c>
      <c r="R699" s="963">
        <f t="shared" si="42"/>
        <v>19.963999999999999</v>
      </c>
      <c r="S699" s="963">
        <f t="shared" si="43"/>
        <v>20.952000000000002</v>
      </c>
    </row>
    <row r="700" spans="1:19" hidden="1" x14ac:dyDescent="0.25">
      <c r="A700" t="s">
        <v>744</v>
      </c>
      <c r="B700" t="s">
        <v>745</v>
      </c>
      <c r="C700" s="24" t="s">
        <v>2134</v>
      </c>
      <c r="D700" t="s">
        <v>2135</v>
      </c>
      <c r="E700" s="965">
        <v>23.46</v>
      </c>
      <c r="F700" s="966">
        <v>48800</v>
      </c>
      <c r="G700" s="967">
        <v>1.1000000000000001</v>
      </c>
      <c r="H700" s="965">
        <v>18.39</v>
      </c>
      <c r="I700" s="965">
        <v>20.8</v>
      </c>
      <c r="J700" s="965">
        <v>22.77</v>
      </c>
      <c r="K700" s="965">
        <v>25.44</v>
      </c>
      <c r="L700" s="965">
        <v>28.91</v>
      </c>
      <c r="O700" s="963">
        <f t="shared" si="40"/>
        <v>23.090399999999999</v>
      </c>
      <c r="P700" s="963">
        <f t="shared" si="41"/>
        <v>24.1584</v>
      </c>
      <c r="R700" s="963">
        <f t="shared" si="42"/>
        <v>21.194000000000003</v>
      </c>
      <c r="S700" s="963">
        <f t="shared" si="43"/>
        <v>21.981999999999999</v>
      </c>
    </row>
    <row r="701" spans="1:19" hidden="1" x14ac:dyDescent="0.25">
      <c r="A701" t="s">
        <v>744</v>
      </c>
      <c r="B701" t="s">
        <v>745</v>
      </c>
      <c r="C701" s="24" t="s">
        <v>2136</v>
      </c>
      <c r="D701" t="s">
        <v>2137</v>
      </c>
      <c r="E701" s="965">
        <v>19.11</v>
      </c>
      <c r="F701" s="966">
        <v>39760</v>
      </c>
      <c r="G701" s="967">
        <v>2.5</v>
      </c>
      <c r="H701" s="965">
        <v>15</v>
      </c>
      <c r="I701" s="965">
        <v>16.41</v>
      </c>
      <c r="J701" s="965">
        <v>18.18</v>
      </c>
      <c r="K701" s="965">
        <v>20.8</v>
      </c>
      <c r="L701" s="965">
        <v>24.49</v>
      </c>
      <c r="O701" s="963">
        <f t="shared" si="40"/>
        <v>18.494399999999999</v>
      </c>
      <c r="P701" s="963">
        <f t="shared" si="41"/>
        <v>19.542400000000001</v>
      </c>
      <c r="R701" s="963">
        <f t="shared" si="42"/>
        <v>16.763999999999999</v>
      </c>
      <c r="S701" s="963">
        <f t="shared" si="43"/>
        <v>17.472000000000001</v>
      </c>
    </row>
    <row r="702" spans="1:19" hidden="1" x14ac:dyDescent="0.25">
      <c r="A702" t="s">
        <v>744</v>
      </c>
      <c r="B702" t="s">
        <v>745</v>
      </c>
      <c r="C702" s="24" t="s">
        <v>2138</v>
      </c>
      <c r="D702" t="s">
        <v>2139</v>
      </c>
      <c r="E702" s="965">
        <v>30.27</v>
      </c>
      <c r="F702" s="966">
        <v>62960</v>
      </c>
      <c r="G702" s="967">
        <v>3.8</v>
      </c>
      <c r="H702" s="965">
        <v>18.239999999999998</v>
      </c>
      <c r="I702" s="965">
        <v>22.08</v>
      </c>
      <c r="J702" s="965">
        <v>28.85</v>
      </c>
      <c r="K702" s="965">
        <v>36.44</v>
      </c>
      <c r="L702" s="965">
        <v>46.36</v>
      </c>
      <c r="O702" s="963">
        <f t="shared" si="40"/>
        <v>29.760800000000003</v>
      </c>
      <c r="P702" s="963">
        <f t="shared" si="41"/>
        <v>32.796799999999998</v>
      </c>
      <c r="R702" s="963">
        <f t="shared" si="42"/>
        <v>23.434000000000001</v>
      </c>
      <c r="S702" s="963">
        <f t="shared" si="43"/>
        <v>26.141999999999999</v>
      </c>
    </row>
    <row r="703" spans="1:19" hidden="1" x14ac:dyDescent="0.25">
      <c r="A703" t="s">
        <v>744</v>
      </c>
      <c r="B703" t="s">
        <v>745</v>
      </c>
      <c r="C703" s="24" t="s">
        <v>2140</v>
      </c>
      <c r="D703" t="s">
        <v>2141</v>
      </c>
      <c r="E703" s="965">
        <v>24.08</v>
      </c>
      <c r="F703" s="966">
        <v>50080</v>
      </c>
      <c r="G703" s="967">
        <v>0.4</v>
      </c>
      <c r="H703" s="965">
        <v>16.059999999999999</v>
      </c>
      <c r="I703" s="965">
        <v>17.5</v>
      </c>
      <c r="J703" s="965">
        <v>20.86</v>
      </c>
      <c r="K703" s="965">
        <v>27.16</v>
      </c>
      <c r="L703" s="965">
        <v>32.96</v>
      </c>
      <c r="O703" s="963">
        <f t="shared" si="40"/>
        <v>21.616</v>
      </c>
      <c r="P703" s="963">
        <f t="shared" si="41"/>
        <v>24.135999999999999</v>
      </c>
      <c r="R703" s="963">
        <f t="shared" si="42"/>
        <v>18.172000000000001</v>
      </c>
      <c r="S703" s="963">
        <f t="shared" si="43"/>
        <v>19.515999999999998</v>
      </c>
    </row>
    <row r="704" spans="1:19" hidden="1" x14ac:dyDescent="0.25">
      <c r="A704" t="s">
        <v>744</v>
      </c>
      <c r="B704" t="s">
        <v>745</v>
      </c>
      <c r="C704" s="24" t="s">
        <v>2142</v>
      </c>
      <c r="D704" t="s">
        <v>2143</v>
      </c>
      <c r="E704" s="965">
        <v>37.340000000000003</v>
      </c>
      <c r="F704" s="966">
        <v>77670</v>
      </c>
      <c r="G704" s="967">
        <v>2.1</v>
      </c>
      <c r="H704" s="965">
        <v>22.88</v>
      </c>
      <c r="I704" s="965">
        <v>31.87</v>
      </c>
      <c r="J704" s="965">
        <v>39.380000000000003</v>
      </c>
      <c r="K704" s="965">
        <v>44.03</v>
      </c>
      <c r="L704" s="965">
        <v>47.07</v>
      </c>
      <c r="O704" s="963">
        <f t="shared" si="40"/>
        <v>39.938000000000002</v>
      </c>
      <c r="P704" s="963">
        <f t="shared" si="41"/>
        <v>41.798000000000002</v>
      </c>
      <c r="R704" s="963">
        <f t="shared" si="42"/>
        <v>33.372</v>
      </c>
      <c r="S704" s="963">
        <f t="shared" si="43"/>
        <v>36.376000000000005</v>
      </c>
    </row>
    <row r="705" spans="1:19" hidden="1" x14ac:dyDescent="0.25">
      <c r="A705" t="s">
        <v>744</v>
      </c>
      <c r="B705" t="s">
        <v>745</v>
      </c>
      <c r="C705" s="24" t="s">
        <v>2144</v>
      </c>
      <c r="D705" t="s">
        <v>2145</v>
      </c>
      <c r="E705" s="965">
        <v>32.32</v>
      </c>
      <c r="F705" s="966">
        <v>67230</v>
      </c>
      <c r="G705" s="967">
        <v>1.1000000000000001</v>
      </c>
      <c r="H705" s="965">
        <v>20.5</v>
      </c>
      <c r="I705" s="965">
        <v>24.29</v>
      </c>
      <c r="J705" s="965">
        <v>30.65</v>
      </c>
      <c r="K705" s="965">
        <v>38.07</v>
      </c>
      <c r="L705" s="965">
        <v>45.89</v>
      </c>
      <c r="O705" s="963">
        <f t="shared" si="40"/>
        <v>31.540399999999998</v>
      </c>
      <c r="P705" s="963">
        <f t="shared" si="41"/>
        <v>34.508400000000002</v>
      </c>
      <c r="R705" s="963">
        <f t="shared" si="42"/>
        <v>25.562000000000001</v>
      </c>
      <c r="S705" s="963">
        <f t="shared" si="43"/>
        <v>28.105999999999998</v>
      </c>
    </row>
    <row r="706" spans="1:19" hidden="1" x14ac:dyDescent="0.25">
      <c r="A706" t="s">
        <v>744</v>
      </c>
      <c r="B706" t="s">
        <v>745</v>
      </c>
      <c r="C706" s="24" t="s">
        <v>2146</v>
      </c>
      <c r="D706" t="s">
        <v>2147</v>
      </c>
      <c r="E706" s="965" t="s">
        <v>719</v>
      </c>
      <c r="F706" s="966">
        <v>110820</v>
      </c>
      <c r="G706" s="967">
        <v>15</v>
      </c>
      <c r="H706" s="965" t="s">
        <v>719</v>
      </c>
      <c r="I706" s="965" t="s">
        <v>719</v>
      </c>
      <c r="J706" s="965" t="s">
        <v>719</v>
      </c>
      <c r="K706" s="965" t="s">
        <v>719</v>
      </c>
      <c r="L706" s="965" t="s">
        <v>719</v>
      </c>
      <c r="O706" s="963" t="e">
        <f t="shared" ref="O706:O742" si="44">_xlfn.PERCENTILE.INC((H706:L706),$W$1)</f>
        <v>#NUM!</v>
      </c>
      <c r="P706" s="963" t="e">
        <f t="shared" ref="P706:P742" si="45">_xlfn.PERCENTILE.INC((H706:L706),$X$1)</f>
        <v>#NUM!</v>
      </c>
      <c r="R706" s="963" t="e">
        <f t="shared" si="42"/>
        <v>#NUM!</v>
      </c>
      <c r="S706" s="963" t="e">
        <f t="shared" si="43"/>
        <v>#NUM!</v>
      </c>
    </row>
    <row r="707" spans="1:19" hidden="1" x14ac:dyDescent="0.25">
      <c r="A707" t="s">
        <v>744</v>
      </c>
      <c r="B707" t="s">
        <v>745</v>
      </c>
      <c r="C707" s="24" t="s">
        <v>2148</v>
      </c>
      <c r="D707" t="s">
        <v>2149</v>
      </c>
      <c r="E707" s="965">
        <v>56.53</v>
      </c>
      <c r="F707" s="966">
        <v>117580</v>
      </c>
      <c r="G707" s="967">
        <v>3</v>
      </c>
      <c r="H707" s="965">
        <v>37.31</v>
      </c>
      <c r="I707" s="965">
        <v>39.08</v>
      </c>
      <c r="J707" s="965">
        <v>46.33</v>
      </c>
      <c r="K707" s="965">
        <v>73.7</v>
      </c>
      <c r="L707" s="965">
        <v>87.37</v>
      </c>
      <c r="O707" s="963">
        <f t="shared" si="44"/>
        <v>49.614400000000003</v>
      </c>
      <c r="P707" s="963">
        <f t="shared" si="45"/>
        <v>60.562400000000004</v>
      </c>
      <c r="R707" s="963">
        <f t="shared" ref="R707:R742" si="46">_xlfn.PERCENTILE.INC((H707:L707),$Y$1)</f>
        <v>40.53</v>
      </c>
      <c r="S707" s="963">
        <f t="shared" ref="S707:S742" si="47">_xlfn.PERCENTILE.INC((H707:L707),$Z$1)</f>
        <v>43.43</v>
      </c>
    </row>
    <row r="708" spans="1:19" hidden="1" x14ac:dyDescent="0.25">
      <c r="A708" t="s">
        <v>744</v>
      </c>
      <c r="B708" t="s">
        <v>745</v>
      </c>
      <c r="C708" s="24" t="s">
        <v>2150</v>
      </c>
      <c r="D708" t="s">
        <v>2151</v>
      </c>
      <c r="E708" s="965" t="s">
        <v>719</v>
      </c>
      <c r="F708" s="966">
        <v>65980</v>
      </c>
      <c r="G708" s="967">
        <v>0.4</v>
      </c>
      <c r="H708" s="965" t="s">
        <v>719</v>
      </c>
      <c r="I708" s="965" t="s">
        <v>719</v>
      </c>
      <c r="J708" s="965" t="s">
        <v>719</v>
      </c>
      <c r="K708" s="965" t="s">
        <v>719</v>
      </c>
      <c r="L708" s="965" t="s">
        <v>719</v>
      </c>
      <c r="O708" s="963" t="e">
        <f t="shared" si="44"/>
        <v>#NUM!</v>
      </c>
      <c r="P708" s="963" t="e">
        <f t="shared" si="45"/>
        <v>#NUM!</v>
      </c>
      <c r="R708" s="963" t="e">
        <f t="shared" si="46"/>
        <v>#NUM!</v>
      </c>
      <c r="S708" s="963" t="e">
        <f t="shared" si="47"/>
        <v>#NUM!</v>
      </c>
    </row>
    <row r="709" spans="1:19" hidden="1" x14ac:dyDescent="0.25">
      <c r="A709" t="s">
        <v>744</v>
      </c>
      <c r="B709" t="s">
        <v>745</v>
      </c>
      <c r="C709" s="24" t="s">
        <v>2152</v>
      </c>
      <c r="D709" t="s">
        <v>2153</v>
      </c>
      <c r="E709" s="965">
        <v>19.54</v>
      </c>
      <c r="F709" s="966">
        <v>40650</v>
      </c>
      <c r="G709" s="967">
        <v>4.3</v>
      </c>
      <c r="H709" s="965">
        <v>17.100000000000001</v>
      </c>
      <c r="I709" s="965">
        <v>17.71</v>
      </c>
      <c r="J709" s="965">
        <v>18.23</v>
      </c>
      <c r="K709" s="965">
        <v>18.54</v>
      </c>
      <c r="L709" s="965">
        <v>22.38</v>
      </c>
      <c r="O709" s="963">
        <f t="shared" si="44"/>
        <v>18.267199999999999</v>
      </c>
      <c r="P709" s="963">
        <f t="shared" si="45"/>
        <v>18.391200000000001</v>
      </c>
      <c r="R709" s="963">
        <f t="shared" si="46"/>
        <v>17.814</v>
      </c>
      <c r="S709" s="963">
        <f t="shared" si="47"/>
        <v>18.022000000000002</v>
      </c>
    </row>
    <row r="710" spans="1:19" hidden="1" x14ac:dyDescent="0.25">
      <c r="A710" t="s">
        <v>744</v>
      </c>
      <c r="B710" t="s">
        <v>745</v>
      </c>
      <c r="C710" s="24" t="s">
        <v>2154</v>
      </c>
      <c r="D710" t="s">
        <v>2155</v>
      </c>
      <c r="E710" s="965">
        <v>19.89</v>
      </c>
      <c r="F710" s="966">
        <v>41380</v>
      </c>
      <c r="G710" s="967">
        <v>3</v>
      </c>
      <c r="H710" s="965">
        <v>15</v>
      </c>
      <c r="I710" s="965">
        <v>16.309999999999999</v>
      </c>
      <c r="J710" s="965">
        <v>17.12</v>
      </c>
      <c r="K710" s="965">
        <v>24.33</v>
      </c>
      <c r="L710" s="965">
        <v>28.21</v>
      </c>
      <c r="O710" s="963">
        <f t="shared" si="44"/>
        <v>17.985200000000003</v>
      </c>
      <c r="P710" s="963">
        <f t="shared" si="45"/>
        <v>20.869199999999999</v>
      </c>
      <c r="R710" s="963">
        <f t="shared" si="46"/>
        <v>16.471999999999998</v>
      </c>
      <c r="S710" s="963">
        <f t="shared" si="47"/>
        <v>16.795999999999999</v>
      </c>
    </row>
    <row r="711" spans="1:19" hidden="1" x14ac:dyDescent="0.25">
      <c r="A711" t="s">
        <v>744</v>
      </c>
      <c r="B711" t="s">
        <v>745</v>
      </c>
      <c r="C711" s="24" t="s">
        <v>2156</v>
      </c>
      <c r="D711" t="s">
        <v>2157</v>
      </c>
      <c r="E711" s="965">
        <v>27.6</v>
      </c>
      <c r="F711" s="966">
        <v>57400</v>
      </c>
      <c r="G711" s="967">
        <v>0.9</v>
      </c>
      <c r="H711" s="965">
        <v>19.71</v>
      </c>
      <c r="I711" s="965">
        <v>22.93</v>
      </c>
      <c r="J711" s="965">
        <v>28.35</v>
      </c>
      <c r="K711" s="965">
        <v>30.61</v>
      </c>
      <c r="L711" s="965">
        <v>34.950000000000003</v>
      </c>
      <c r="O711" s="963">
        <f t="shared" si="44"/>
        <v>28.621200000000002</v>
      </c>
      <c r="P711" s="963">
        <f t="shared" si="45"/>
        <v>29.525200000000002</v>
      </c>
      <c r="R711" s="963">
        <f t="shared" si="46"/>
        <v>24.014000000000003</v>
      </c>
      <c r="S711" s="963">
        <f t="shared" si="47"/>
        <v>26.182000000000002</v>
      </c>
    </row>
    <row r="712" spans="1:19" hidden="1" x14ac:dyDescent="0.25">
      <c r="A712" t="s">
        <v>744</v>
      </c>
      <c r="B712" t="s">
        <v>745</v>
      </c>
      <c r="C712" s="24" t="s">
        <v>2158</v>
      </c>
      <c r="D712" t="s">
        <v>2159</v>
      </c>
      <c r="E712" s="965">
        <v>23.6</v>
      </c>
      <c r="F712" s="966">
        <v>49090</v>
      </c>
      <c r="G712" s="967">
        <v>1</v>
      </c>
      <c r="H712" s="965">
        <v>16.18</v>
      </c>
      <c r="I712" s="965">
        <v>17.66</v>
      </c>
      <c r="J712" s="965">
        <v>21.55</v>
      </c>
      <c r="K712" s="965">
        <v>25.65</v>
      </c>
      <c r="L712" s="965">
        <v>36.35</v>
      </c>
      <c r="O712" s="963">
        <f t="shared" si="44"/>
        <v>22.042000000000002</v>
      </c>
      <c r="P712" s="963">
        <f t="shared" si="45"/>
        <v>23.681999999999999</v>
      </c>
      <c r="R712" s="963">
        <f t="shared" si="46"/>
        <v>18.438000000000002</v>
      </c>
      <c r="S712" s="963">
        <f t="shared" si="47"/>
        <v>19.994</v>
      </c>
    </row>
    <row r="713" spans="1:19" hidden="1" x14ac:dyDescent="0.25">
      <c r="A713" t="s">
        <v>744</v>
      </c>
      <c r="B713" t="s">
        <v>745</v>
      </c>
      <c r="C713" s="24" t="s">
        <v>2160</v>
      </c>
      <c r="D713" t="s">
        <v>2161</v>
      </c>
      <c r="E713" s="965">
        <v>26.04</v>
      </c>
      <c r="F713" s="966">
        <v>54170</v>
      </c>
      <c r="G713" s="967">
        <v>1.9</v>
      </c>
      <c r="H713" s="965">
        <v>18.25</v>
      </c>
      <c r="I713" s="965">
        <v>21.46</v>
      </c>
      <c r="J713" s="965">
        <v>28.14</v>
      </c>
      <c r="K713" s="965">
        <v>30.41</v>
      </c>
      <c r="L713" s="965">
        <v>31</v>
      </c>
      <c r="O713" s="963">
        <f t="shared" si="44"/>
        <v>28.412400000000002</v>
      </c>
      <c r="P713" s="963">
        <f t="shared" si="45"/>
        <v>29.320399999999999</v>
      </c>
      <c r="R713" s="963">
        <f t="shared" si="46"/>
        <v>22.796000000000003</v>
      </c>
      <c r="S713" s="963">
        <f t="shared" si="47"/>
        <v>25.468</v>
      </c>
    </row>
    <row r="714" spans="1:19" hidden="1" x14ac:dyDescent="0.25">
      <c r="A714" t="s">
        <v>744</v>
      </c>
      <c r="B714" t="s">
        <v>745</v>
      </c>
      <c r="C714" s="24" t="s">
        <v>2162</v>
      </c>
      <c r="D714" t="s">
        <v>2163</v>
      </c>
      <c r="E714" s="965">
        <v>30.65</v>
      </c>
      <c r="F714" s="966">
        <v>63750</v>
      </c>
      <c r="G714" s="967">
        <v>0.5</v>
      </c>
      <c r="H714" s="965">
        <v>22.21</v>
      </c>
      <c r="I714" s="965">
        <v>23.49</v>
      </c>
      <c r="J714" s="965">
        <v>29.4</v>
      </c>
      <c r="K714" s="965">
        <v>40.39</v>
      </c>
      <c r="L714" s="965">
        <v>40.39</v>
      </c>
      <c r="O714" s="963">
        <f t="shared" si="44"/>
        <v>30.718800000000002</v>
      </c>
      <c r="P714" s="963">
        <f t="shared" si="45"/>
        <v>35.114800000000002</v>
      </c>
      <c r="R714" s="963">
        <f t="shared" si="46"/>
        <v>24.672000000000001</v>
      </c>
      <c r="S714" s="963">
        <f t="shared" si="47"/>
        <v>27.035999999999998</v>
      </c>
    </row>
    <row r="715" spans="1:19" hidden="1" x14ac:dyDescent="0.25">
      <c r="A715" t="s">
        <v>744</v>
      </c>
      <c r="B715" t="s">
        <v>745</v>
      </c>
      <c r="C715" s="24" t="s">
        <v>2164</v>
      </c>
      <c r="D715" t="s">
        <v>2165</v>
      </c>
      <c r="E715" s="965">
        <v>19.54</v>
      </c>
      <c r="F715" s="966">
        <v>40650</v>
      </c>
      <c r="G715" s="967">
        <v>1.2</v>
      </c>
      <c r="H715" s="965">
        <v>16.59</v>
      </c>
      <c r="I715" s="965">
        <v>17.8</v>
      </c>
      <c r="J715" s="965">
        <v>18.09</v>
      </c>
      <c r="K715" s="965">
        <v>20.75</v>
      </c>
      <c r="L715" s="965">
        <v>24.44</v>
      </c>
      <c r="O715" s="963">
        <f t="shared" si="44"/>
        <v>18.409199999999998</v>
      </c>
      <c r="P715" s="963">
        <f t="shared" si="45"/>
        <v>19.473199999999999</v>
      </c>
      <c r="R715" s="963">
        <f t="shared" si="46"/>
        <v>17.858000000000001</v>
      </c>
      <c r="S715" s="963">
        <f t="shared" si="47"/>
        <v>17.974</v>
      </c>
    </row>
    <row r="716" spans="1:19" hidden="1" x14ac:dyDescent="0.25">
      <c r="A716" t="s">
        <v>744</v>
      </c>
      <c r="B716" t="s">
        <v>745</v>
      </c>
      <c r="C716" s="24" t="s">
        <v>2166</v>
      </c>
      <c r="D716" t="s">
        <v>2167</v>
      </c>
      <c r="E716" s="965">
        <v>17.670000000000002</v>
      </c>
      <c r="F716" s="966">
        <v>36760</v>
      </c>
      <c r="G716" s="967">
        <v>1.3</v>
      </c>
      <c r="H716" s="965">
        <v>16.18</v>
      </c>
      <c r="I716" s="965">
        <v>17.03</v>
      </c>
      <c r="J716" s="965">
        <v>17.260000000000002</v>
      </c>
      <c r="K716" s="965">
        <v>17.57</v>
      </c>
      <c r="L716" s="965">
        <v>18.28</v>
      </c>
      <c r="O716" s="963">
        <f t="shared" si="44"/>
        <v>17.2972</v>
      </c>
      <c r="P716" s="963">
        <f t="shared" si="45"/>
        <v>17.421200000000002</v>
      </c>
      <c r="R716" s="963">
        <f t="shared" si="46"/>
        <v>17.076000000000001</v>
      </c>
      <c r="S716" s="963">
        <f t="shared" si="47"/>
        <v>17.168000000000003</v>
      </c>
    </row>
    <row r="717" spans="1:19" hidden="1" x14ac:dyDescent="0.25">
      <c r="A717" t="s">
        <v>744</v>
      </c>
      <c r="B717" t="s">
        <v>745</v>
      </c>
      <c r="C717" s="24" t="s">
        <v>2168</v>
      </c>
      <c r="D717" t="s">
        <v>2169</v>
      </c>
      <c r="E717" s="965">
        <v>18.510000000000002</v>
      </c>
      <c r="F717" s="966">
        <v>38500</v>
      </c>
      <c r="G717" s="967">
        <v>12.6</v>
      </c>
      <c r="H717" s="965">
        <v>15</v>
      </c>
      <c r="I717" s="965">
        <v>15</v>
      </c>
      <c r="J717" s="965">
        <v>15.26</v>
      </c>
      <c r="K717" s="965">
        <v>18.47</v>
      </c>
      <c r="L717" s="965">
        <v>26.59</v>
      </c>
      <c r="O717" s="963">
        <f t="shared" si="44"/>
        <v>15.645199999999999</v>
      </c>
      <c r="P717" s="963">
        <f t="shared" si="45"/>
        <v>16.929199999999998</v>
      </c>
      <c r="R717" s="963">
        <f t="shared" si="46"/>
        <v>15.052</v>
      </c>
      <c r="S717" s="963">
        <f t="shared" si="47"/>
        <v>15.156000000000001</v>
      </c>
    </row>
    <row r="718" spans="1:19" hidden="1" x14ac:dyDescent="0.25">
      <c r="A718" t="s">
        <v>744</v>
      </c>
      <c r="B718" t="s">
        <v>745</v>
      </c>
      <c r="C718" s="24" t="s">
        <v>2170</v>
      </c>
      <c r="D718" t="s">
        <v>2171</v>
      </c>
      <c r="E718" s="965">
        <v>39.5</v>
      </c>
      <c r="F718" s="966">
        <v>82160</v>
      </c>
      <c r="G718" s="967">
        <v>0.6</v>
      </c>
      <c r="H718" s="965">
        <v>30.73</v>
      </c>
      <c r="I718" s="965">
        <v>37.24</v>
      </c>
      <c r="J718" s="965">
        <v>39.659999999999997</v>
      </c>
      <c r="K718" s="965">
        <v>39.659999999999997</v>
      </c>
      <c r="L718" s="965">
        <v>49.05</v>
      </c>
      <c r="O718" s="963">
        <f t="shared" si="44"/>
        <v>39.659999999999997</v>
      </c>
      <c r="P718" s="963">
        <f t="shared" si="45"/>
        <v>39.659999999999997</v>
      </c>
      <c r="R718" s="963">
        <f t="shared" si="46"/>
        <v>37.724000000000004</v>
      </c>
      <c r="S718" s="963">
        <f t="shared" si="47"/>
        <v>38.692</v>
      </c>
    </row>
    <row r="719" spans="1:19" hidden="1" x14ac:dyDescent="0.25">
      <c r="A719" t="s">
        <v>744</v>
      </c>
      <c r="B719" t="s">
        <v>745</v>
      </c>
      <c r="C719" s="24" t="s">
        <v>2172</v>
      </c>
      <c r="D719" t="s">
        <v>2173</v>
      </c>
      <c r="E719" s="965">
        <v>39.53</v>
      </c>
      <c r="F719" s="966">
        <v>82220</v>
      </c>
      <c r="G719" s="967">
        <v>0.6</v>
      </c>
      <c r="H719" s="965">
        <v>30.83</v>
      </c>
      <c r="I719" s="965">
        <v>37.22</v>
      </c>
      <c r="J719" s="965">
        <v>40.39</v>
      </c>
      <c r="K719" s="965">
        <v>40.85</v>
      </c>
      <c r="L719" s="965">
        <v>48.24</v>
      </c>
      <c r="O719" s="963">
        <f t="shared" si="44"/>
        <v>40.4452</v>
      </c>
      <c r="P719" s="963">
        <f t="shared" si="45"/>
        <v>40.629200000000004</v>
      </c>
      <c r="R719" s="963">
        <f t="shared" si="46"/>
        <v>37.853999999999999</v>
      </c>
      <c r="S719" s="963">
        <f t="shared" si="47"/>
        <v>39.122</v>
      </c>
    </row>
    <row r="720" spans="1:19" hidden="1" x14ac:dyDescent="0.25">
      <c r="A720" t="s">
        <v>744</v>
      </c>
      <c r="B720" t="s">
        <v>745</v>
      </c>
      <c r="C720" s="24" t="s">
        <v>2174</v>
      </c>
      <c r="D720" t="s">
        <v>2175</v>
      </c>
      <c r="E720" s="965">
        <v>34.86</v>
      </c>
      <c r="F720" s="966">
        <v>72500</v>
      </c>
      <c r="G720" s="967">
        <v>0.2</v>
      </c>
      <c r="H720" s="965">
        <v>22.43</v>
      </c>
      <c r="I720" s="965">
        <v>24.47</v>
      </c>
      <c r="J720" s="965">
        <v>40.78</v>
      </c>
      <c r="K720" s="965">
        <v>40.78</v>
      </c>
      <c r="L720" s="965">
        <v>40.78</v>
      </c>
      <c r="O720" s="963">
        <f t="shared" si="44"/>
        <v>40.78</v>
      </c>
      <c r="P720" s="963">
        <f t="shared" si="45"/>
        <v>40.78</v>
      </c>
      <c r="R720" s="963">
        <f t="shared" si="46"/>
        <v>27.732000000000003</v>
      </c>
      <c r="S720" s="963">
        <f t="shared" si="47"/>
        <v>34.256</v>
      </c>
    </row>
    <row r="721" spans="1:19" hidden="1" x14ac:dyDescent="0.25">
      <c r="A721" t="s">
        <v>744</v>
      </c>
      <c r="B721" t="s">
        <v>745</v>
      </c>
      <c r="C721" s="24" t="s">
        <v>2176</v>
      </c>
      <c r="D721" t="s">
        <v>2177</v>
      </c>
      <c r="E721" s="965">
        <v>20.85</v>
      </c>
      <c r="F721" s="966">
        <v>43360</v>
      </c>
      <c r="G721" s="967">
        <v>3</v>
      </c>
      <c r="H721" s="965">
        <v>15.37</v>
      </c>
      <c r="I721" s="965">
        <v>17.350000000000001</v>
      </c>
      <c r="J721" s="965">
        <v>17.45</v>
      </c>
      <c r="K721" s="965">
        <v>24.54</v>
      </c>
      <c r="L721" s="965">
        <v>27.71</v>
      </c>
      <c r="O721" s="963">
        <f t="shared" si="44"/>
        <v>18.300799999999999</v>
      </c>
      <c r="P721" s="963">
        <f t="shared" si="45"/>
        <v>21.136800000000001</v>
      </c>
      <c r="R721" s="963">
        <f t="shared" si="46"/>
        <v>17.37</v>
      </c>
      <c r="S721" s="963">
        <f t="shared" si="47"/>
        <v>17.41</v>
      </c>
    </row>
    <row r="722" spans="1:19" hidden="1" x14ac:dyDescent="0.25">
      <c r="A722" t="s">
        <v>744</v>
      </c>
      <c r="B722" t="s">
        <v>745</v>
      </c>
      <c r="C722" s="24" t="s">
        <v>2178</v>
      </c>
      <c r="D722" t="s">
        <v>2179</v>
      </c>
      <c r="E722" s="965">
        <v>34.200000000000003</v>
      </c>
      <c r="F722" s="966">
        <v>71130</v>
      </c>
      <c r="G722" s="967">
        <v>2.2999999999999998</v>
      </c>
      <c r="H722" s="965">
        <v>19.91</v>
      </c>
      <c r="I722" s="965">
        <v>22.92</v>
      </c>
      <c r="J722" s="965">
        <v>29.73</v>
      </c>
      <c r="K722" s="965">
        <v>43.39</v>
      </c>
      <c r="L722" s="965">
        <v>50.17</v>
      </c>
      <c r="O722" s="963">
        <f t="shared" si="44"/>
        <v>31.369200000000003</v>
      </c>
      <c r="P722" s="963">
        <f t="shared" si="45"/>
        <v>36.833199999999998</v>
      </c>
      <c r="R722" s="963">
        <f t="shared" si="46"/>
        <v>24.282000000000004</v>
      </c>
      <c r="S722" s="963">
        <f t="shared" si="47"/>
        <v>27.006</v>
      </c>
    </row>
    <row r="723" spans="1:19" hidden="1" x14ac:dyDescent="0.25">
      <c r="A723" t="s">
        <v>744</v>
      </c>
      <c r="B723" t="s">
        <v>745</v>
      </c>
      <c r="C723" s="24" t="s">
        <v>2180</v>
      </c>
      <c r="D723" t="s">
        <v>2181</v>
      </c>
      <c r="E723" s="965">
        <v>21.99</v>
      </c>
      <c r="F723" s="966">
        <v>45730</v>
      </c>
      <c r="G723" s="967">
        <v>10.4</v>
      </c>
      <c r="H723" s="965">
        <v>15</v>
      </c>
      <c r="I723" s="965">
        <v>15</v>
      </c>
      <c r="J723" s="965">
        <v>17.649999999999999</v>
      </c>
      <c r="K723" s="965">
        <v>30</v>
      </c>
      <c r="L723" s="965">
        <v>38.35</v>
      </c>
      <c r="O723" s="963">
        <f t="shared" si="44"/>
        <v>19.132000000000001</v>
      </c>
      <c r="P723" s="963">
        <f t="shared" si="45"/>
        <v>24.071999999999999</v>
      </c>
      <c r="R723" s="963">
        <f t="shared" si="46"/>
        <v>15.53</v>
      </c>
      <c r="S723" s="963">
        <f t="shared" si="47"/>
        <v>16.59</v>
      </c>
    </row>
    <row r="724" spans="1:19" hidden="1" x14ac:dyDescent="0.25">
      <c r="A724" t="s">
        <v>744</v>
      </c>
      <c r="B724" t="s">
        <v>745</v>
      </c>
      <c r="C724" s="24" t="s">
        <v>2182</v>
      </c>
      <c r="D724" t="s">
        <v>2183</v>
      </c>
      <c r="E724" s="965">
        <v>49.74</v>
      </c>
      <c r="F724" s="966">
        <v>103470</v>
      </c>
      <c r="G724" s="967">
        <v>3.5</v>
      </c>
      <c r="H724" s="965">
        <v>36.840000000000003</v>
      </c>
      <c r="I724" s="965">
        <v>42.82</v>
      </c>
      <c r="J724" s="965">
        <v>46.24</v>
      </c>
      <c r="K724" s="965">
        <v>52.83</v>
      </c>
      <c r="L724" s="965">
        <v>81.7</v>
      </c>
      <c r="O724" s="963">
        <f t="shared" si="44"/>
        <v>47.030799999999999</v>
      </c>
      <c r="P724" s="963">
        <f t="shared" si="45"/>
        <v>49.666800000000002</v>
      </c>
      <c r="R724" s="963">
        <f t="shared" si="46"/>
        <v>43.503999999999998</v>
      </c>
      <c r="S724" s="963">
        <f t="shared" si="47"/>
        <v>44.872</v>
      </c>
    </row>
    <row r="725" spans="1:19" hidden="1" x14ac:dyDescent="0.25">
      <c r="A725" t="s">
        <v>744</v>
      </c>
      <c r="B725" t="s">
        <v>745</v>
      </c>
      <c r="C725" s="24" t="s">
        <v>2184</v>
      </c>
      <c r="D725" t="s">
        <v>2185</v>
      </c>
      <c r="E725" s="965">
        <v>19.190000000000001</v>
      </c>
      <c r="F725" s="966">
        <v>39920</v>
      </c>
      <c r="G725" s="967">
        <v>25.8</v>
      </c>
      <c r="H725" s="965">
        <v>15.08</v>
      </c>
      <c r="I725" s="965">
        <v>16.399999999999999</v>
      </c>
      <c r="J725" s="965">
        <v>16.399999999999999</v>
      </c>
      <c r="K725" s="965">
        <v>22.68</v>
      </c>
      <c r="L725" s="965">
        <v>26.09</v>
      </c>
      <c r="O725" s="963">
        <f t="shared" si="44"/>
        <v>17.153600000000001</v>
      </c>
      <c r="P725" s="963">
        <f t="shared" si="45"/>
        <v>19.665599999999998</v>
      </c>
      <c r="R725" s="963">
        <f t="shared" si="46"/>
        <v>16.399999999999999</v>
      </c>
      <c r="S725" s="963">
        <f t="shared" si="47"/>
        <v>16.399999999999999</v>
      </c>
    </row>
    <row r="726" spans="1:19" hidden="1" x14ac:dyDescent="0.25">
      <c r="A726" t="s">
        <v>744</v>
      </c>
      <c r="B726" t="s">
        <v>745</v>
      </c>
      <c r="C726" s="24" t="s">
        <v>2186</v>
      </c>
      <c r="D726" t="s">
        <v>2187</v>
      </c>
      <c r="E726" s="965">
        <v>17.059999999999999</v>
      </c>
      <c r="F726" s="966">
        <v>35480</v>
      </c>
      <c r="G726" s="967">
        <v>1.4</v>
      </c>
      <c r="H726" s="965">
        <v>15</v>
      </c>
      <c r="I726" s="965">
        <v>15.72</v>
      </c>
      <c r="J726" s="965">
        <v>17.100000000000001</v>
      </c>
      <c r="K726" s="965">
        <v>17.82</v>
      </c>
      <c r="L726" s="965">
        <v>18.64</v>
      </c>
      <c r="O726" s="963">
        <f t="shared" si="44"/>
        <v>17.186400000000003</v>
      </c>
      <c r="P726" s="963">
        <f t="shared" si="45"/>
        <v>17.474399999999999</v>
      </c>
      <c r="R726" s="963">
        <f t="shared" si="46"/>
        <v>15.996</v>
      </c>
      <c r="S726" s="963">
        <f t="shared" si="47"/>
        <v>16.548000000000002</v>
      </c>
    </row>
    <row r="727" spans="1:19" hidden="1" x14ac:dyDescent="0.25">
      <c r="A727" t="s">
        <v>744</v>
      </c>
      <c r="B727" t="s">
        <v>745</v>
      </c>
      <c r="C727" s="24" t="s">
        <v>2188</v>
      </c>
      <c r="D727" t="s">
        <v>2189</v>
      </c>
      <c r="E727" s="965">
        <v>18.03</v>
      </c>
      <c r="F727" s="966">
        <v>37510</v>
      </c>
      <c r="G727" s="967">
        <v>1.7</v>
      </c>
      <c r="H727" s="965">
        <v>15.2</v>
      </c>
      <c r="I727" s="965">
        <v>16.16</v>
      </c>
      <c r="J727" s="965">
        <v>16.829999999999998</v>
      </c>
      <c r="K727" s="965">
        <v>18.079999999999998</v>
      </c>
      <c r="L727" s="965">
        <v>23.04</v>
      </c>
      <c r="O727" s="963">
        <f t="shared" si="44"/>
        <v>16.979999999999997</v>
      </c>
      <c r="P727" s="963">
        <f t="shared" si="45"/>
        <v>17.479999999999997</v>
      </c>
      <c r="R727" s="963">
        <f t="shared" si="46"/>
        <v>16.294</v>
      </c>
      <c r="S727" s="963">
        <f t="shared" si="47"/>
        <v>16.561999999999998</v>
      </c>
    </row>
    <row r="728" spans="1:19" hidden="1" x14ac:dyDescent="0.25">
      <c r="A728" t="s">
        <v>744</v>
      </c>
      <c r="B728" t="s">
        <v>745</v>
      </c>
      <c r="C728" s="24" t="s">
        <v>2190</v>
      </c>
      <c r="D728" t="s">
        <v>2191</v>
      </c>
      <c r="E728" s="965">
        <v>21.04</v>
      </c>
      <c r="F728" s="966">
        <v>43770</v>
      </c>
      <c r="G728" s="967">
        <v>0.5</v>
      </c>
      <c r="H728" s="965">
        <v>19.62</v>
      </c>
      <c r="I728" s="965">
        <v>20.260000000000002</v>
      </c>
      <c r="J728" s="965">
        <v>20.260000000000002</v>
      </c>
      <c r="K728" s="965">
        <v>22.42</v>
      </c>
      <c r="L728" s="965">
        <v>22.51</v>
      </c>
      <c r="O728" s="963">
        <f t="shared" si="44"/>
        <v>20.519200000000001</v>
      </c>
      <c r="P728" s="963">
        <f t="shared" si="45"/>
        <v>21.383200000000002</v>
      </c>
      <c r="R728" s="963">
        <f t="shared" si="46"/>
        <v>20.260000000000002</v>
      </c>
      <c r="S728" s="963">
        <f t="shared" si="47"/>
        <v>20.260000000000002</v>
      </c>
    </row>
    <row r="729" spans="1:19" hidden="1" x14ac:dyDescent="0.25">
      <c r="A729" t="s">
        <v>744</v>
      </c>
      <c r="B729" t="s">
        <v>745</v>
      </c>
      <c r="C729" s="24" t="s">
        <v>2192</v>
      </c>
      <c r="D729" t="s">
        <v>2193</v>
      </c>
      <c r="E729" s="965">
        <v>37.96</v>
      </c>
      <c r="F729" s="966">
        <v>78950</v>
      </c>
      <c r="G729" s="967">
        <v>0.3</v>
      </c>
      <c r="H729" s="965">
        <v>27.5</v>
      </c>
      <c r="I729" s="965">
        <v>30.72</v>
      </c>
      <c r="J729" s="965">
        <v>34.07</v>
      </c>
      <c r="K729" s="965">
        <v>51.12</v>
      </c>
      <c r="L729" s="965">
        <v>55.23</v>
      </c>
      <c r="O729" s="963">
        <f t="shared" si="44"/>
        <v>36.116</v>
      </c>
      <c r="P729" s="963">
        <f t="shared" si="45"/>
        <v>42.936</v>
      </c>
      <c r="R729" s="963">
        <f t="shared" si="46"/>
        <v>31.39</v>
      </c>
      <c r="S729" s="963">
        <f t="shared" si="47"/>
        <v>32.729999999999997</v>
      </c>
    </row>
    <row r="730" spans="1:19" hidden="1" x14ac:dyDescent="0.25">
      <c r="A730" t="s">
        <v>744</v>
      </c>
      <c r="B730" t="s">
        <v>745</v>
      </c>
      <c r="C730" s="24" t="s">
        <v>2194</v>
      </c>
      <c r="D730" t="s">
        <v>2195</v>
      </c>
      <c r="E730" s="965">
        <v>43.57</v>
      </c>
      <c r="F730" s="966">
        <v>90630</v>
      </c>
      <c r="G730" s="967">
        <v>2.6</v>
      </c>
      <c r="H730" s="965">
        <v>21.89</v>
      </c>
      <c r="I730" s="965">
        <v>44.65</v>
      </c>
      <c r="J730" s="965">
        <v>44.65</v>
      </c>
      <c r="K730" s="965">
        <v>45.74</v>
      </c>
      <c r="L730" s="965">
        <v>58.59</v>
      </c>
      <c r="O730" s="963">
        <f t="shared" si="44"/>
        <v>44.780799999999999</v>
      </c>
      <c r="P730" s="963">
        <f t="shared" si="45"/>
        <v>45.216799999999999</v>
      </c>
      <c r="R730" s="963">
        <f t="shared" si="46"/>
        <v>44.65</v>
      </c>
      <c r="S730" s="963">
        <f t="shared" si="47"/>
        <v>44.65</v>
      </c>
    </row>
    <row r="731" spans="1:19" hidden="1" x14ac:dyDescent="0.25">
      <c r="A731" t="s">
        <v>744</v>
      </c>
      <c r="B731" t="s">
        <v>745</v>
      </c>
      <c r="C731" s="24" t="s">
        <v>2196</v>
      </c>
      <c r="D731" t="s">
        <v>2197</v>
      </c>
      <c r="E731" s="965">
        <v>18.45</v>
      </c>
      <c r="F731" s="966">
        <v>38370</v>
      </c>
      <c r="G731" s="967">
        <v>1.6</v>
      </c>
      <c r="H731" s="965">
        <v>16.22</v>
      </c>
      <c r="I731" s="965">
        <v>16.440000000000001</v>
      </c>
      <c r="J731" s="965">
        <v>17.53</v>
      </c>
      <c r="K731" s="965">
        <v>20.54</v>
      </c>
      <c r="L731" s="965">
        <v>20.54</v>
      </c>
      <c r="O731" s="963">
        <f t="shared" si="44"/>
        <v>17.891200000000001</v>
      </c>
      <c r="P731" s="963">
        <f t="shared" si="45"/>
        <v>19.095199999999998</v>
      </c>
      <c r="R731" s="963">
        <f t="shared" si="46"/>
        <v>16.658000000000001</v>
      </c>
      <c r="S731" s="963">
        <f t="shared" si="47"/>
        <v>17.094000000000001</v>
      </c>
    </row>
    <row r="732" spans="1:19" hidden="1" x14ac:dyDescent="0.25">
      <c r="A732" t="s">
        <v>744</v>
      </c>
      <c r="B732" t="s">
        <v>745</v>
      </c>
      <c r="C732" s="24" t="s">
        <v>2198</v>
      </c>
      <c r="D732" t="s">
        <v>2199</v>
      </c>
      <c r="E732" s="965">
        <v>18.84</v>
      </c>
      <c r="F732" s="966">
        <v>39200</v>
      </c>
      <c r="G732" s="967">
        <v>1.1000000000000001</v>
      </c>
      <c r="H732" s="965">
        <v>16.760000000000002</v>
      </c>
      <c r="I732" s="965">
        <v>17.649999999999999</v>
      </c>
      <c r="J732" s="965">
        <v>18.38</v>
      </c>
      <c r="K732" s="965">
        <v>18.38</v>
      </c>
      <c r="L732" s="965">
        <v>23.72</v>
      </c>
      <c r="O732" s="963">
        <f t="shared" si="44"/>
        <v>18.38</v>
      </c>
      <c r="P732" s="963">
        <f t="shared" si="45"/>
        <v>18.38</v>
      </c>
      <c r="R732" s="963">
        <f t="shared" si="46"/>
        <v>17.795999999999999</v>
      </c>
      <c r="S732" s="963">
        <f t="shared" si="47"/>
        <v>18.087999999999997</v>
      </c>
    </row>
    <row r="733" spans="1:19" hidden="1" x14ac:dyDescent="0.25">
      <c r="A733" t="s">
        <v>744</v>
      </c>
      <c r="B733" t="s">
        <v>745</v>
      </c>
      <c r="C733" s="24" t="s">
        <v>2200</v>
      </c>
      <c r="D733" t="s">
        <v>2201</v>
      </c>
      <c r="E733" s="965">
        <v>46.52</v>
      </c>
      <c r="F733" s="966">
        <v>96750</v>
      </c>
      <c r="G733" s="967">
        <v>14.8</v>
      </c>
      <c r="H733" s="965">
        <v>27.83</v>
      </c>
      <c r="I733" s="965">
        <v>32.909999999999997</v>
      </c>
      <c r="J733" s="965">
        <v>42.77</v>
      </c>
      <c r="K733" s="965">
        <v>65.900000000000006</v>
      </c>
      <c r="L733" s="965">
        <v>65.91</v>
      </c>
      <c r="O733" s="963">
        <f t="shared" si="44"/>
        <v>45.545600000000007</v>
      </c>
      <c r="P733" s="963">
        <f t="shared" si="45"/>
        <v>54.797600000000003</v>
      </c>
      <c r="R733" s="963">
        <f t="shared" si="46"/>
        <v>34.881999999999998</v>
      </c>
      <c r="S733" s="963">
        <f t="shared" si="47"/>
        <v>38.826000000000001</v>
      </c>
    </row>
    <row r="734" spans="1:19" hidden="1" x14ac:dyDescent="0.25">
      <c r="A734" t="s">
        <v>744</v>
      </c>
      <c r="B734" t="s">
        <v>745</v>
      </c>
      <c r="C734" s="24" t="s">
        <v>2202</v>
      </c>
      <c r="D734" t="s">
        <v>2203</v>
      </c>
      <c r="E734" s="965">
        <v>23.25</v>
      </c>
      <c r="F734" s="966">
        <v>48370</v>
      </c>
      <c r="G734" s="967">
        <v>1</v>
      </c>
      <c r="H734" s="965">
        <v>19</v>
      </c>
      <c r="I734" s="965">
        <v>20.74</v>
      </c>
      <c r="J734" s="965">
        <v>22.35</v>
      </c>
      <c r="K734" s="965">
        <v>23.91</v>
      </c>
      <c r="L734" s="965">
        <v>29.16</v>
      </c>
      <c r="O734" s="963">
        <f t="shared" si="44"/>
        <v>22.537200000000002</v>
      </c>
      <c r="P734" s="963">
        <f t="shared" si="45"/>
        <v>23.161200000000001</v>
      </c>
      <c r="R734" s="963">
        <f t="shared" si="46"/>
        <v>21.061999999999998</v>
      </c>
      <c r="S734" s="963">
        <f t="shared" si="47"/>
        <v>21.706</v>
      </c>
    </row>
    <row r="735" spans="1:19" hidden="1" x14ac:dyDescent="0.25">
      <c r="A735" t="s">
        <v>744</v>
      </c>
      <c r="B735" t="s">
        <v>745</v>
      </c>
      <c r="C735" s="24" t="s">
        <v>2204</v>
      </c>
      <c r="D735" t="s">
        <v>2205</v>
      </c>
      <c r="E735" s="965">
        <v>19.5</v>
      </c>
      <c r="F735" s="966">
        <v>40550</v>
      </c>
      <c r="G735" s="967">
        <v>1.7</v>
      </c>
      <c r="H735" s="965">
        <v>15.36</v>
      </c>
      <c r="I735" s="965">
        <v>16.54</v>
      </c>
      <c r="J735" s="965">
        <v>17.82</v>
      </c>
      <c r="K735" s="965">
        <v>21.52</v>
      </c>
      <c r="L735" s="965">
        <v>25.55</v>
      </c>
      <c r="O735" s="963">
        <f t="shared" si="44"/>
        <v>18.263999999999999</v>
      </c>
      <c r="P735" s="963">
        <f t="shared" si="45"/>
        <v>19.744</v>
      </c>
      <c r="R735" s="963">
        <f t="shared" si="46"/>
        <v>16.795999999999999</v>
      </c>
      <c r="S735" s="963">
        <f t="shared" si="47"/>
        <v>17.308</v>
      </c>
    </row>
    <row r="736" spans="1:19" hidden="1" x14ac:dyDescent="0.25">
      <c r="A736" t="s">
        <v>744</v>
      </c>
      <c r="B736" t="s">
        <v>745</v>
      </c>
      <c r="C736" s="24" t="s">
        <v>2206</v>
      </c>
      <c r="D736" t="s">
        <v>2207</v>
      </c>
      <c r="E736" s="965">
        <v>21.46</v>
      </c>
      <c r="F736" s="966">
        <v>44630</v>
      </c>
      <c r="G736" s="967">
        <v>0.7</v>
      </c>
      <c r="H736" s="965">
        <v>16.79</v>
      </c>
      <c r="I736" s="965">
        <v>17.95</v>
      </c>
      <c r="J736" s="965">
        <v>20.57</v>
      </c>
      <c r="K736" s="965">
        <v>22.97</v>
      </c>
      <c r="L736" s="965">
        <v>27.71</v>
      </c>
      <c r="O736" s="963">
        <f t="shared" si="44"/>
        <v>20.858000000000001</v>
      </c>
      <c r="P736" s="963">
        <f t="shared" si="45"/>
        <v>21.817999999999998</v>
      </c>
      <c r="R736" s="963">
        <f t="shared" si="46"/>
        <v>18.474</v>
      </c>
      <c r="S736" s="963">
        <f t="shared" si="47"/>
        <v>19.521999999999998</v>
      </c>
    </row>
    <row r="737" spans="1:19" hidden="1" x14ac:dyDescent="0.25">
      <c r="A737" t="s">
        <v>744</v>
      </c>
      <c r="B737" t="s">
        <v>745</v>
      </c>
      <c r="C737" s="24" t="s">
        <v>2208</v>
      </c>
      <c r="D737" t="s">
        <v>2209</v>
      </c>
      <c r="E737" s="965">
        <v>19.989999999999998</v>
      </c>
      <c r="F737" s="966">
        <v>41580</v>
      </c>
      <c r="G737" s="967">
        <v>4.4000000000000004</v>
      </c>
      <c r="H737" s="965">
        <v>16.52</v>
      </c>
      <c r="I737" s="965">
        <v>17.260000000000002</v>
      </c>
      <c r="J737" s="965">
        <v>19.32</v>
      </c>
      <c r="K737" s="965">
        <v>22.41</v>
      </c>
      <c r="L737" s="965">
        <v>24.3</v>
      </c>
      <c r="O737" s="963">
        <f t="shared" si="44"/>
        <v>19.690799999999999</v>
      </c>
      <c r="P737" s="963">
        <f t="shared" si="45"/>
        <v>20.9268</v>
      </c>
      <c r="R737" s="963">
        <f t="shared" si="46"/>
        <v>17.672000000000001</v>
      </c>
      <c r="S737" s="963">
        <f t="shared" si="47"/>
        <v>18.496000000000002</v>
      </c>
    </row>
    <row r="738" spans="1:19" hidden="1" x14ac:dyDescent="0.25">
      <c r="A738" t="s">
        <v>744</v>
      </c>
      <c r="B738" t="s">
        <v>745</v>
      </c>
      <c r="C738" s="24" t="s">
        <v>2210</v>
      </c>
      <c r="D738" t="s">
        <v>2211</v>
      </c>
      <c r="E738" s="965">
        <v>17.41</v>
      </c>
      <c r="F738" s="966">
        <v>36210</v>
      </c>
      <c r="G738" s="967">
        <v>0.4</v>
      </c>
      <c r="H738" s="965">
        <v>15</v>
      </c>
      <c r="I738" s="965">
        <v>15.57</v>
      </c>
      <c r="J738" s="965">
        <v>16.57</v>
      </c>
      <c r="K738" s="965">
        <v>18.66</v>
      </c>
      <c r="L738" s="965">
        <v>20.88</v>
      </c>
      <c r="O738" s="963">
        <f t="shared" si="44"/>
        <v>16.820800000000002</v>
      </c>
      <c r="P738" s="963">
        <f t="shared" si="45"/>
        <v>17.6568</v>
      </c>
      <c r="R738" s="963">
        <f t="shared" si="46"/>
        <v>15.77</v>
      </c>
      <c r="S738" s="963">
        <f t="shared" si="47"/>
        <v>16.170000000000002</v>
      </c>
    </row>
    <row r="739" spans="1:19" hidden="1" x14ac:dyDescent="0.25">
      <c r="A739" t="s">
        <v>744</v>
      </c>
      <c r="B739" t="s">
        <v>745</v>
      </c>
      <c r="C739" s="24" t="s">
        <v>2212</v>
      </c>
      <c r="D739" t="s">
        <v>2213</v>
      </c>
      <c r="E739" s="965">
        <v>19.239999999999998</v>
      </c>
      <c r="F739" s="966">
        <v>40010</v>
      </c>
      <c r="G739" s="967">
        <v>0.4</v>
      </c>
      <c r="H739" s="965">
        <v>15.79</v>
      </c>
      <c r="I739" s="965">
        <v>16.89</v>
      </c>
      <c r="J739" s="965">
        <v>17.88</v>
      </c>
      <c r="K739" s="965">
        <v>19.97</v>
      </c>
      <c r="L739" s="965">
        <v>24.36</v>
      </c>
      <c r="O739" s="963">
        <f t="shared" si="44"/>
        <v>18.130800000000001</v>
      </c>
      <c r="P739" s="963">
        <f t="shared" si="45"/>
        <v>18.966799999999999</v>
      </c>
      <c r="R739" s="963">
        <f t="shared" si="46"/>
        <v>17.088000000000001</v>
      </c>
      <c r="S739" s="963">
        <f t="shared" si="47"/>
        <v>17.483999999999998</v>
      </c>
    </row>
    <row r="740" spans="1:19" hidden="1" x14ac:dyDescent="0.25">
      <c r="A740" t="s">
        <v>744</v>
      </c>
      <c r="B740" t="s">
        <v>745</v>
      </c>
      <c r="C740" s="24" t="s">
        <v>2214</v>
      </c>
      <c r="D740" t="s">
        <v>2215</v>
      </c>
      <c r="E740" s="965">
        <v>26.63</v>
      </c>
      <c r="F740" s="966">
        <v>55380</v>
      </c>
      <c r="G740" s="967">
        <v>3.4</v>
      </c>
      <c r="H740" s="965">
        <v>18.13</v>
      </c>
      <c r="I740" s="965">
        <v>23.17</v>
      </c>
      <c r="J740" s="965">
        <v>29</v>
      </c>
      <c r="K740" s="965">
        <v>30.17</v>
      </c>
      <c r="L740" s="965">
        <v>30.46</v>
      </c>
      <c r="O740" s="963">
        <f t="shared" si="44"/>
        <v>29.1404</v>
      </c>
      <c r="P740" s="963">
        <f t="shared" si="45"/>
        <v>29.6084</v>
      </c>
      <c r="R740" s="963">
        <f t="shared" si="46"/>
        <v>24.336000000000002</v>
      </c>
      <c r="S740" s="963">
        <f t="shared" si="47"/>
        <v>26.667999999999999</v>
      </c>
    </row>
    <row r="741" spans="1:19" hidden="1" x14ac:dyDescent="0.25">
      <c r="A741" t="s">
        <v>744</v>
      </c>
      <c r="B741" t="s">
        <v>745</v>
      </c>
      <c r="C741" s="24" t="s">
        <v>2216</v>
      </c>
      <c r="D741" t="s">
        <v>2217</v>
      </c>
      <c r="E741" s="965">
        <v>36.68</v>
      </c>
      <c r="F741" s="966">
        <v>76290</v>
      </c>
      <c r="G741" s="967">
        <v>8.5</v>
      </c>
      <c r="H741" s="965">
        <v>25.88</v>
      </c>
      <c r="I741" s="965">
        <v>33.380000000000003</v>
      </c>
      <c r="J741" s="965">
        <v>37.92</v>
      </c>
      <c r="K741" s="965">
        <v>39.01</v>
      </c>
      <c r="L741" s="965">
        <v>40.799999999999997</v>
      </c>
      <c r="O741" s="963">
        <f t="shared" si="44"/>
        <v>38.050800000000002</v>
      </c>
      <c r="P741" s="963">
        <f t="shared" si="45"/>
        <v>38.486800000000002</v>
      </c>
      <c r="R741" s="963">
        <f t="shared" si="46"/>
        <v>34.288000000000004</v>
      </c>
      <c r="S741" s="963">
        <f t="shared" si="47"/>
        <v>36.103999999999999</v>
      </c>
    </row>
    <row r="742" spans="1:19" hidden="1" x14ac:dyDescent="0.25">
      <c r="A742" t="s">
        <v>744</v>
      </c>
      <c r="B742" t="s">
        <v>745</v>
      </c>
      <c r="C742" s="24" t="s">
        <v>2218</v>
      </c>
      <c r="D742" t="s">
        <v>2219</v>
      </c>
      <c r="E742" s="965">
        <v>23.23</v>
      </c>
      <c r="F742" s="966">
        <v>48330</v>
      </c>
      <c r="G742" s="967">
        <v>4.2</v>
      </c>
      <c r="H742" s="965">
        <v>18.5</v>
      </c>
      <c r="I742" s="965">
        <v>19.600000000000001</v>
      </c>
      <c r="J742" s="965">
        <v>20.61</v>
      </c>
      <c r="K742" s="965">
        <v>25.6</v>
      </c>
      <c r="L742" s="965">
        <v>32.97</v>
      </c>
      <c r="O742" s="963">
        <f t="shared" si="44"/>
        <v>21.2088</v>
      </c>
      <c r="P742" s="963">
        <f t="shared" si="45"/>
        <v>23.204799999999999</v>
      </c>
      <c r="R742" s="963">
        <f t="shared" si="46"/>
        <v>19.802</v>
      </c>
      <c r="S742" s="963">
        <f t="shared" si="47"/>
        <v>20.206</v>
      </c>
    </row>
    <row r="748" spans="1:19" x14ac:dyDescent="0.25">
      <c r="N748" s="516">
        <f>O319*2080</f>
        <v>168180.06400000001</v>
      </c>
    </row>
    <row r="750" spans="1:19" x14ac:dyDescent="0.25">
      <c r="N750" s="516">
        <f>O294*2080</f>
        <v>138233.47200000001</v>
      </c>
    </row>
  </sheetData>
  <autoFilter ref="A1:X742" xr:uid="{8E13AB74-67EC-4B62-A5FE-09C810567E3D}">
    <filterColumn colId="3">
      <filters>
        <filter val="Psychiatrists"/>
      </filters>
    </filterColumn>
  </autoFilter>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760C6-D125-47A5-8FA5-D7BD866BB5B8}">
  <sheetPr>
    <pageSetUpPr fitToPage="1"/>
  </sheetPr>
  <dimension ref="B1:O52"/>
  <sheetViews>
    <sheetView showGridLines="0" zoomScale="60" zoomScaleNormal="60" workbookViewId="0">
      <selection activeCell="D47" sqref="D47:G47"/>
    </sheetView>
  </sheetViews>
  <sheetFormatPr defaultRowHeight="26.25" x14ac:dyDescent="0.4"/>
  <cols>
    <col min="1" max="1" width="5.5703125" style="602" customWidth="1"/>
    <col min="2" max="2" width="85" style="602" customWidth="1"/>
    <col min="3" max="3" width="13.140625" style="653" hidden="1" customWidth="1"/>
    <col min="4" max="4" width="24.140625" style="602" customWidth="1"/>
    <col min="5" max="6" width="14.85546875" style="602" hidden="1" customWidth="1"/>
    <col min="7" max="7" width="69.140625" style="602" customWidth="1"/>
    <col min="8" max="8" width="69.140625" style="604" customWidth="1"/>
    <col min="9" max="9" width="14.85546875" style="602" hidden="1" customWidth="1"/>
    <col min="10" max="10" width="0" style="602" hidden="1" customWidth="1"/>
    <col min="11" max="11" width="11" style="602" hidden="1" customWidth="1"/>
    <col min="12" max="12" width="0" style="602" hidden="1" customWidth="1"/>
    <col min="13" max="13" width="44" style="604" customWidth="1"/>
    <col min="14" max="14" width="9.140625" style="602"/>
    <col min="15" max="15" width="17.85546875" style="605" hidden="1" customWidth="1"/>
    <col min="16" max="16" width="0" style="602" hidden="1" customWidth="1"/>
    <col min="17" max="257" width="9.140625" style="602"/>
    <col min="258" max="258" width="5.5703125" style="602" customWidth="1"/>
    <col min="259" max="259" width="58" style="602" customWidth="1"/>
    <col min="260" max="260" width="24.140625" style="602" customWidth="1"/>
    <col min="261" max="262" width="0" style="602" hidden="1" customWidth="1"/>
    <col min="263" max="263" width="61.42578125" style="602" customWidth="1"/>
    <col min="264" max="264" width="62.140625" style="602" customWidth="1"/>
    <col min="265" max="268" width="0" style="602" hidden="1" customWidth="1"/>
    <col min="269" max="513" width="9.140625" style="602"/>
    <col min="514" max="514" width="5.5703125" style="602" customWidth="1"/>
    <col min="515" max="515" width="58" style="602" customWidth="1"/>
    <col min="516" max="516" width="24.140625" style="602" customWidth="1"/>
    <col min="517" max="518" width="0" style="602" hidden="1" customWidth="1"/>
    <col min="519" max="519" width="61.42578125" style="602" customWidth="1"/>
    <col min="520" max="520" width="62.140625" style="602" customWidth="1"/>
    <col min="521" max="524" width="0" style="602" hidden="1" customWidth="1"/>
    <col min="525" max="769" width="9.140625" style="602"/>
    <col min="770" max="770" width="5.5703125" style="602" customWidth="1"/>
    <col min="771" max="771" width="58" style="602" customWidth="1"/>
    <col min="772" max="772" width="24.140625" style="602" customWidth="1"/>
    <col min="773" max="774" width="0" style="602" hidden="1" customWidth="1"/>
    <col min="775" max="775" width="61.42578125" style="602" customWidth="1"/>
    <col min="776" max="776" width="62.140625" style="602" customWidth="1"/>
    <col min="777" max="780" width="0" style="602" hidden="1" customWidth="1"/>
    <col min="781" max="1025" width="9.140625" style="602"/>
    <col min="1026" max="1026" width="5.5703125" style="602" customWidth="1"/>
    <col min="1027" max="1027" width="58" style="602" customWidth="1"/>
    <col min="1028" max="1028" width="24.140625" style="602" customWidth="1"/>
    <col min="1029" max="1030" width="0" style="602" hidden="1" customWidth="1"/>
    <col min="1031" max="1031" width="61.42578125" style="602" customWidth="1"/>
    <col min="1032" max="1032" width="62.140625" style="602" customWidth="1"/>
    <col min="1033" max="1036" width="0" style="602" hidden="1" customWidth="1"/>
    <col min="1037" max="1281" width="9.140625" style="602"/>
    <col min="1282" max="1282" width="5.5703125" style="602" customWidth="1"/>
    <col min="1283" max="1283" width="58" style="602" customWidth="1"/>
    <col min="1284" max="1284" width="24.140625" style="602" customWidth="1"/>
    <col min="1285" max="1286" width="0" style="602" hidden="1" customWidth="1"/>
    <col min="1287" max="1287" width="61.42578125" style="602" customWidth="1"/>
    <col min="1288" max="1288" width="62.140625" style="602" customWidth="1"/>
    <col min="1289" max="1292" width="0" style="602" hidden="1" customWidth="1"/>
    <col min="1293" max="1537" width="9.140625" style="602"/>
    <col min="1538" max="1538" width="5.5703125" style="602" customWidth="1"/>
    <col min="1539" max="1539" width="58" style="602" customWidth="1"/>
    <col min="1540" max="1540" width="24.140625" style="602" customWidth="1"/>
    <col min="1541" max="1542" width="0" style="602" hidden="1" customWidth="1"/>
    <col min="1543" max="1543" width="61.42578125" style="602" customWidth="1"/>
    <col min="1544" max="1544" width="62.140625" style="602" customWidth="1"/>
    <col min="1545" max="1548" width="0" style="602" hidden="1" customWidth="1"/>
    <col min="1549" max="1793" width="9.140625" style="602"/>
    <col min="1794" max="1794" width="5.5703125" style="602" customWidth="1"/>
    <col min="1795" max="1795" width="58" style="602" customWidth="1"/>
    <col min="1796" max="1796" width="24.140625" style="602" customWidth="1"/>
    <col min="1797" max="1798" width="0" style="602" hidden="1" customWidth="1"/>
    <col min="1799" max="1799" width="61.42578125" style="602" customWidth="1"/>
    <col min="1800" max="1800" width="62.140625" style="602" customWidth="1"/>
    <col min="1801" max="1804" width="0" style="602" hidden="1" customWidth="1"/>
    <col min="1805" max="2049" width="9.140625" style="602"/>
    <col min="2050" max="2050" width="5.5703125" style="602" customWidth="1"/>
    <col min="2051" max="2051" width="58" style="602" customWidth="1"/>
    <col min="2052" max="2052" width="24.140625" style="602" customWidth="1"/>
    <col min="2053" max="2054" width="0" style="602" hidden="1" customWidth="1"/>
    <col min="2055" max="2055" width="61.42578125" style="602" customWidth="1"/>
    <col min="2056" max="2056" width="62.140625" style="602" customWidth="1"/>
    <col min="2057" max="2060" width="0" style="602" hidden="1" customWidth="1"/>
    <col min="2061" max="2305" width="9.140625" style="602"/>
    <col min="2306" max="2306" width="5.5703125" style="602" customWidth="1"/>
    <col min="2307" max="2307" width="58" style="602" customWidth="1"/>
    <col min="2308" max="2308" width="24.140625" style="602" customWidth="1"/>
    <col min="2309" max="2310" width="0" style="602" hidden="1" customWidth="1"/>
    <col min="2311" max="2311" width="61.42578125" style="602" customWidth="1"/>
    <col min="2312" max="2312" width="62.140625" style="602" customWidth="1"/>
    <col min="2313" max="2316" width="0" style="602" hidden="1" customWidth="1"/>
    <col min="2317" max="2561" width="9.140625" style="602"/>
    <col min="2562" max="2562" width="5.5703125" style="602" customWidth="1"/>
    <col min="2563" max="2563" width="58" style="602" customWidth="1"/>
    <col min="2564" max="2564" width="24.140625" style="602" customWidth="1"/>
    <col min="2565" max="2566" width="0" style="602" hidden="1" customWidth="1"/>
    <col min="2567" max="2567" width="61.42578125" style="602" customWidth="1"/>
    <col min="2568" max="2568" width="62.140625" style="602" customWidth="1"/>
    <col min="2569" max="2572" width="0" style="602" hidden="1" customWidth="1"/>
    <col min="2573" max="2817" width="9.140625" style="602"/>
    <col min="2818" max="2818" width="5.5703125" style="602" customWidth="1"/>
    <col min="2819" max="2819" width="58" style="602" customWidth="1"/>
    <col min="2820" max="2820" width="24.140625" style="602" customWidth="1"/>
    <col min="2821" max="2822" width="0" style="602" hidden="1" customWidth="1"/>
    <col min="2823" max="2823" width="61.42578125" style="602" customWidth="1"/>
    <col min="2824" max="2824" width="62.140625" style="602" customWidth="1"/>
    <col min="2825" max="2828" width="0" style="602" hidden="1" customWidth="1"/>
    <col min="2829" max="3073" width="9.140625" style="602"/>
    <col min="3074" max="3074" width="5.5703125" style="602" customWidth="1"/>
    <col min="3075" max="3075" width="58" style="602" customWidth="1"/>
    <col min="3076" max="3076" width="24.140625" style="602" customWidth="1"/>
    <col min="3077" max="3078" width="0" style="602" hidden="1" customWidth="1"/>
    <col min="3079" max="3079" width="61.42578125" style="602" customWidth="1"/>
    <col min="3080" max="3080" width="62.140625" style="602" customWidth="1"/>
    <col min="3081" max="3084" width="0" style="602" hidden="1" customWidth="1"/>
    <col min="3085" max="3329" width="9.140625" style="602"/>
    <col min="3330" max="3330" width="5.5703125" style="602" customWidth="1"/>
    <col min="3331" max="3331" width="58" style="602" customWidth="1"/>
    <col min="3332" max="3332" width="24.140625" style="602" customWidth="1"/>
    <col min="3333" max="3334" width="0" style="602" hidden="1" customWidth="1"/>
    <col min="3335" max="3335" width="61.42578125" style="602" customWidth="1"/>
    <col min="3336" max="3336" width="62.140625" style="602" customWidth="1"/>
    <col min="3337" max="3340" width="0" style="602" hidden="1" customWidth="1"/>
    <col min="3341" max="3585" width="9.140625" style="602"/>
    <col min="3586" max="3586" width="5.5703125" style="602" customWidth="1"/>
    <col min="3587" max="3587" width="58" style="602" customWidth="1"/>
    <col min="3588" max="3588" width="24.140625" style="602" customWidth="1"/>
    <col min="3589" max="3590" width="0" style="602" hidden="1" customWidth="1"/>
    <col min="3591" max="3591" width="61.42578125" style="602" customWidth="1"/>
    <col min="3592" max="3592" width="62.140625" style="602" customWidth="1"/>
    <col min="3593" max="3596" width="0" style="602" hidden="1" customWidth="1"/>
    <col min="3597" max="3841" width="9.140625" style="602"/>
    <col min="3842" max="3842" width="5.5703125" style="602" customWidth="1"/>
    <col min="3843" max="3843" width="58" style="602" customWidth="1"/>
    <col min="3844" max="3844" width="24.140625" style="602" customWidth="1"/>
    <col min="3845" max="3846" width="0" style="602" hidden="1" customWidth="1"/>
    <col min="3847" max="3847" width="61.42578125" style="602" customWidth="1"/>
    <col min="3848" max="3848" width="62.140625" style="602" customWidth="1"/>
    <col min="3849" max="3852" width="0" style="602" hidden="1" customWidth="1"/>
    <col min="3853" max="4097" width="9.140625" style="602"/>
    <col min="4098" max="4098" width="5.5703125" style="602" customWidth="1"/>
    <col min="4099" max="4099" width="58" style="602" customWidth="1"/>
    <col min="4100" max="4100" width="24.140625" style="602" customWidth="1"/>
    <col min="4101" max="4102" width="0" style="602" hidden="1" customWidth="1"/>
    <col min="4103" max="4103" width="61.42578125" style="602" customWidth="1"/>
    <col min="4104" max="4104" width="62.140625" style="602" customWidth="1"/>
    <col min="4105" max="4108" width="0" style="602" hidden="1" customWidth="1"/>
    <col min="4109" max="4353" width="9.140625" style="602"/>
    <col min="4354" max="4354" width="5.5703125" style="602" customWidth="1"/>
    <col min="4355" max="4355" width="58" style="602" customWidth="1"/>
    <col min="4356" max="4356" width="24.140625" style="602" customWidth="1"/>
    <col min="4357" max="4358" width="0" style="602" hidden="1" customWidth="1"/>
    <col min="4359" max="4359" width="61.42578125" style="602" customWidth="1"/>
    <col min="4360" max="4360" width="62.140625" style="602" customWidth="1"/>
    <col min="4361" max="4364" width="0" style="602" hidden="1" customWidth="1"/>
    <col min="4365" max="4609" width="9.140625" style="602"/>
    <col min="4610" max="4610" width="5.5703125" style="602" customWidth="1"/>
    <col min="4611" max="4611" width="58" style="602" customWidth="1"/>
    <col min="4612" max="4612" width="24.140625" style="602" customWidth="1"/>
    <col min="4613" max="4614" width="0" style="602" hidden="1" customWidth="1"/>
    <col min="4615" max="4615" width="61.42578125" style="602" customWidth="1"/>
    <col min="4616" max="4616" width="62.140625" style="602" customWidth="1"/>
    <col min="4617" max="4620" width="0" style="602" hidden="1" customWidth="1"/>
    <col min="4621" max="4865" width="9.140625" style="602"/>
    <col min="4866" max="4866" width="5.5703125" style="602" customWidth="1"/>
    <col min="4867" max="4867" width="58" style="602" customWidth="1"/>
    <col min="4868" max="4868" width="24.140625" style="602" customWidth="1"/>
    <col min="4869" max="4870" width="0" style="602" hidden="1" customWidth="1"/>
    <col min="4871" max="4871" width="61.42578125" style="602" customWidth="1"/>
    <col min="4872" max="4872" width="62.140625" style="602" customWidth="1"/>
    <col min="4873" max="4876" width="0" style="602" hidden="1" customWidth="1"/>
    <col min="4877" max="5121" width="9.140625" style="602"/>
    <col min="5122" max="5122" width="5.5703125" style="602" customWidth="1"/>
    <col min="5123" max="5123" width="58" style="602" customWidth="1"/>
    <col min="5124" max="5124" width="24.140625" style="602" customWidth="1"/>
    <col min="5125" max="5126" width="0" style="602" hidden="1" customWidth="1"/>
    <col min="5127" max="5127" width="61.42578125" style="602" customWidth="1"/>
    <col min="5128" max="5128" width="62.140625" style="602" customWidth="1"/>
    <col min="5129" max="5132" width="0" style="602" hidden="1" customWidth="1"/>
    <col min="5133" max="5377" width="9.140625" style="602"/>
    <col min="5378" max="5378" width="5.5703125" style="602" customWidth="1"/>
    <col min="5379" max="5379" width="58" style="602" customWidth="1"/>
    <col min="5380" max="5380" width="24.140625" style="602" customWidth="1"/>
    <col min="5381" max="5382" width="0" style="602" hidden="1" customWidth="1"/>
    <col min="5383" max="5383" width="61.42578125" style="602" customWidth="1"/>
    <col min="5384" max="5384" width="62.140625" style="602" customWidth="1"/>
    <col min="5385" max="5388" width="0" style="602" hidden="1" customWidth="1"/>
    <col min="5389" max="5633" width="9.140625" style="602"/>
    <col min="5634" max="5634" width="5.5703125" style="602" customWidth="1"/>
    <col min="5635" max="5635" width="58" style="602" customWidth="1"/>
    <col min="5636" max="5636" width="24.140625" style="602" customWidth="1"/>
    <col min="5637" max="5638" width="0" style="602" hidden="1" customWidth="1"/>
    <col min="5639" max="5639" width="61.42578125" style="602" customWidth="1"/>
    <col min="5640" max="5640" width="62.140625" style="602" customWidth="1"/>
    <col min="5641" max="5644" width="0" style="602" hidden="1" customWidth="1"/>
    <col min="5645" max="5889" width="9.140625" style="602"/>
    <col min="5890" max="5890" width="5.5703125" style="602" customWidth="1"/>
    <col min="5891" max="5891" width="58" style="602" customWidth="1"/>
    <col min="5892" max="5892" width="24.140625" style="602" customWidth="1"/>
    <col min="5893" max="5894" width="0" style="602" hidden="1" customWidth="1"/>
    <col min="5895" max="5895" width="61.42578125" style="602" customWidth="1"/>
    <col min="5896" max="5896" width="62.140625" style="602" customWidth="1"/>
    <col min="5897" max="5900" width="0" style="602" hidden="1" customWidth="1"/>
    <col min="5901" max="6145" width="9.140625" style="602"/>
    <col min="6146" max="6146" width="5.5703125" style="602" customWidth="1"/>
    <col min="6147" max="6147" width="58" style="602" customWidth="1"/>
    <col min="6148" max="6148" width="24.140625" style="602" customWidth="1"/>
    <col min="6149" max="6150" width="0" style="602" hidden="1" customWidth="1"/>
    <col min="6151" max="6151" width="61.42578125" style="602" customWidth="1"/>
    <col min="6152" max="6152" width="62.140625" style="602" customWidth="1"/>
    <col min="6153" max="6156" width="0" style="602" hidden="1" customWidth="1"/>
    <col min="6157" max="6401" width="9.140625" style="602"/>
    <col min="6402" max="6402" width="5.5703125" style="602" customWidth="1"/>
    <col min="6403" max="6403" width="58" style="602" customWidth="1"/>
    <col min="6404" max="6404" width="24.140625" style="602" customWidth="1"/>
    <col min="6405" max="6406" width="0" style="602" hidden="1" customWidth="1"/>
    <col min="6407" max="6407" width="61.42578125" style="602" customWidth="1"/>
    <col min="6408" max="6408" width="62.140625" style="602" customWidth="1"/>
    <col min="6409" max="6412" width="0" style="602" hidden="1" customWidth="1"/>
    <col min="6413" max="6657" width="9.140625" style="602"/>
    <col min="6658" max="6658" width="5.5703125" style="602" customWidth="1"/>
    <col min="6659" max="6659" width="58" style="602" customWidth="1"/>
    <col min="6660" max="6660" width="24.140625" style="602" customWidth="1"/>
    <col min="6661" max="6662" width="0" style="602" hidden="1" customWidth="1"/>
    <col min="6663" max="6663" width="61.42578125" style="602" customWidth="1"/>
    <col min="6664" max="6664" width="62.140625" style="602" customWidth="1"/>
    <col min="6665" max="6668" width="0" style="602" hidden="1" customWidth="1"/>
    <col min="6669" max="6913" width="9.140625" style="602"/>
    <col min="6914" max="6914" width="5.5703125" style="602" customWidth="1"/>
    <col min="6915" max="6915" width="58" style="602" customWidth="1"/>
    <col min="6916" max="6916" width="24.140625" style="602" customWidth="1"/>
    <col min="6917" max="6918" width="0" style="602" hidden="1" customWidth="1"/>
    <col min="6919" max="6919" width="61.42578125" style="602" customWidth="1"/>
    <col min="6920" max="6920" width="62.140625" style="602" customWidth="1"/>
    <col min="6921" max="6924" width="0" style="602" hidden="1" customWidth="1"/>
    <col min="6925" max="7169" width="9.140625" style="602"/>
    <col min="7170" max="7170" width="5.5703125" style="602" customWidth="1"/>
    <col min="7171" max="7171" width="58" style="602" customWidth="1"/>
    <col min="7172" max="7172" width="24.140625" style="602" customWidth="1"/>
    <col min="7173" max="7174" width="0" style="602" hidden="1" customWidth="1"/>
    <col min="7175" max="7175" width="61.42578125" style="602" customWidth="1"/>
    <col min="7176" max="7176" width="62.140625" style="602" customWidth="1"/>
    <col min="7177" max="7180" width="0" style="602" hidden="1" customWidth="1"/>
    <col min="7181" max="7425" width="9.140625" style="602"/>
    <col min="7426" max="7426" width="5.5703125" style="602" customWidth="1"/>
    <col min="7427" max="7427" width="58" style="602" customWidth="1"/>
    <col min="7428" max="7428" width="24.140625" style="602" customWidth="1"/>
    <col min="7429" max="7430" width="0" style="602" hidden="1" customWidth="1"/>
    <col min="7431" max="7431" width="61.42578125" style="602" customWidth="1"/>
    <col min="7432" max="7432" width="62.140625" style="602" customWidth="1"/>
    <col min="7433" max="7436" width="0" style="602" hidden="1" customWidth="1"/>
    <col min="7437" max="7681" width="9.140625" style="602"/>
    <col min="7682" max="7682" width="5.5703125" style="602" customWidth="1"/>
    <col min="7683" max="7683" width="58" style="602" customWidth="1"/>
    <col min="7684" max="7684" width="24.140625" style="602" customWidth="1"/>
    <col min="7685" max="7686" width="0" style="602" hidden="1" customWidth="1"/>
    <col min="7687" max="7687" width="61.42578125" style="602" customWidth="1"/>
    <col min="7688" max="7688" width="62.140625" style="602" customWidth="1"/>
    <col min="7689" max="7692" width="0" style="602" hidden="1" customWidth="1"/>
    <col min="7693" max="7937" width="9.140625" style="602"/>
    <col min="7938" max="7938" width="5.5703125" style="602" customWidth="1"/>
    <col min="7939" max="7939" width="58" style="602" customWidth="1"/>
    <col min="7940" max="7940" width="24.140625" style="602" customWidth="1"/>
    <col min="7941" max="7942" width="0" style="602" hidden="1" customWidth="1"/>
    <col min="7943" max="7943" width="61.42578125" style="602" customWidth="1"/>
    <col min="7944" max="7944" width="62.140625" style="602" customWidth="1"/>
    <col min="7945" max="7948" width="0" style="602" hidden="1" customWidth="1"/>
    <col min="7949" max="8193" width="9.140625" style="602"/>
    <col min="8194" max="8194" width="5.5703125" style="602" customWidth="1"/>
    <col min="8195" max="8195" width="58" style="602" customWidth="1"/>
    <col min="8196" max="8196" width="24.140625" style="602" customWidth="1"/>
    <col min="8197" max="8198" width="0" style="602" hidden="1" customWidth="1"/>
    <col min="8199" max="8199" width="61.42578125" style="602" customWidth="1"/>
    <col min="8200" max="8200" width="62.140625" style="602" customWidth="1"/>
    <col min="8201" max="8204" width="0" style="602" hidden="1" customWidth="1"/>
    <col min="8205" max="8449" width="9.140625" style="602"/>
    <col min="8450" max="8450" width="5.5703125" style="602" customWidth="1"/>
    <col min="8451" max="8451" width="58" style="602" customWidth="1"/>
    <col min="8452" max="8452" width="24.140625" style="602" customWidth="1"/>
    <col min="8453" max="8454" width="0" style="602" hidden="1" customWidth="1"/>
    <col min="8455" max="8455" width="61.42578125" style="602" customWidth="1"/>
    <col min="8456" max="8456" width="62.140625" style="602" customWidth="1"/>
    <col min="8457" max="8460" width="0" style="602" hidden="1" customWidth="1"/>
    <col min="8461" max="8705" width="9.140625" style="602"/>
    <col min="8706" max="8706" width="5.5703125" style="602" customWidth="1"/>
    <col min="8707" max="8707" width="58" style="602" customWidth="1"/>
    <col min="8708" max="8708" width="24.140625" style="602" customWidth="1"/>
    <col min="8709" max="8710" width="0" style="602" hidden="1" customWidth="1"/>
    <col min="8711" max="8711" width="61.42578125" style="602" customWidth="1"/>
    <col min="8712" max="8712" width="62.140625" style="602" customWidth="1"/>
    <col min="8713" max="8716" width="0" style="602" hidden="1" customWidth="1"/>
    <col min="8717" max="8961" width="9.140625" style="602"/>
    <col min="8962" max="8962" width="5.5703125" style="602" customWidth="1"/>
    <col min="8963" max="8963" width="58" style="602" customWidth="1"/>
    <col min="8964" max="8964" width="24.140625" style="602" customWidth="1"/>
    <col min="8965" max="8966" width="0" style="602" hidden="1" customWidth="1"/>
    <col min="8967" max="8967" width="61.42578125" style="602" customWidth="1"/>
    <col min="8968" max="8968" width="62.140625" style="602" customWidth="1"/>
    <col min="8969" max="8972" width="0" style="602" hidden="1" customWidth="1"/>
    <col min="8973" max="9217" width="9.140625" style="602"/>
    <col min="9218" max="9218" width="5.5703125" style="602" customWidth="1"/>
    <col min="9219" max="9219" width="58" style="602" customWidth="1"/>
    <col min="9220" max="9220" width="24.140625" style="602" customWidth="1"/>
    <col min="9221" max="9222" width="0" style="602" hidden="1" customWidth="1"/>
    <col min="9223" max="9223" width="61.42578125" style="602" customWidth="1"/>
    <col min="9224" max="9224" width="62.140625" style="602" customWidth="1"/>
    <col min="9225" max="9228" width="0" style="602" hidden="1" customWidth="1"/>
    <col min="9229" max="9473" width="9.140625" style="602"/>
    <col min="9474" max="9474" width="5.5703125" style="602" customWidth="1"/>
    <col min="9475" max="9475" width="58" style="602" customWidth="1"/>
    <col min="9476" max="9476" width="24.140625" style="602" customWidth="1"/>
    <col min="9477" max="9478" width="0" style="602" hidden="1" customWidth="1"/>
    <col min="9479" max="9479" width="61.42578125" style="602" customWidth="1"/>
    <col min="9480" max="9480" width="62.140625" style="602" customWidth="1"/>
    <col min="9481" max="9484" width="0" style="602" hidden="1" customWidth="1"/>
    <col min="9485" max="9729" width="9.140625" style="602"/>
    <col min="9730" max="9730" width="5.5703125" style="602" customWidth="1"/>
    <col min="9731" max="9731" width="58" style="602" customWidth="1"/>
    <col min="9732" max="9732" width="24.140625" style="602" customWidth="1"/>
    <col min="9733" max="9734" width="0" style="602" hidden="1" customWidth="1"/>
    <col min="9735" max="9735" width="61.42578125" style="602" customWidth="1"/>
    <col min="9736" max="9736" width="62.140625" style="602" customWidth="1"/>
    <col min="9737" max="9740" width="0" style="602" hidden="1" customWidth="1"/>
    <col min="9741" max="9985" width="9.140625" style="602"/>
    <col min="9986" max="9986" width="5.5703125" style="602" customWidth="1"/>
    <col min="9987" max="9987" width="58" style="602" customWidth="1"/>
    <col min="9988" max="9988" width="24.140625" style="602" customWidth="1"/>
    <col min="9989" max="9990" width="0" style="602" hidden="1" customWidth="1"/>
    <col min="9991" max="9991" width="61.42578125" style="602" customWidth="1"/>
    <col min="9992" max="9992" width="62.140625" style="602" customWidth="1"/>
    <col min="9993" max="9996" width="0" style="602" hidden="1" customWidth="1"/>
    <col min="9997" max="10241" width="9.140625" style="602"/>
    <col min="10242" max="10242" width="5.5703125" style="602" customWidth="1"/>
    <col min="10243" max="10243" width="58" style="602" customWidth="1"/>
    <col min="10244" max="10244" width="24.140625" style="602" customWidth="1"/>
    <col min="10245" max="10246" width="0" style="602" hidden="1" customWidth="1"/>
    <col min="10247" max="10247" width="61.42578125" style="602" customWidth="1"/>
    <col min="10248" max="10248" width="62.140625" style="602" customWidth="1"/>
    <col min="10249" max="10252" width="0" style="602" hidden="1" customWidth="1"/>
    <col min="10253" max="10497" width="9.140625" style="602"/>
    <col min="10498" max="10498" width="5.5703125" style="602" customWidth="1"/>
    <col min="10499" max="10499" width="58" style="602" customWidth="1"/>
    <col min="10500" max="10500" width="24.140625" style="602" customWidth="1"/>
    <col min="10501" max="10502" width="0" style="602" hidden="1" customWidth="1"/>
    <col min="10503" max="10503" width="61.42578125" style="602" customWidth="1"/>
    <col min="10504" max="10504" width="62.140625" style="602" customWidth="1"/>
    <col min="10505" max="10508" width="0" style="602" hidden="1" customWidth="1"/>
    <col min="10509" max="10753" width="9.140625" style="602"/>
    <col min="10754" max="10754" width="5.5703125" style="602" customWidth="1"/>
    <col min="10755" max="10755" width="58" style="602" customWidth="1"/>
    <col min="10756" max="10756" width="24.140625" style="602" customWidth="1"/>
    <col min="10757" max="10758" width="0" style="602" hidden="1" customWidth="1"/>
    <col min="10759" max="10759" width="61.42578125" style="602" customWidth="1"/>
    <col min="10760" max="10760" width="62.140625" style="602" customWidth="1"/>
    <col min="10761" max="10764" width="0" style="602" hidden="1" customWidth="1"/>
    <col min="10765" max="11009" width="9.140625" style="602"/>
    <col min="11010" max="11010" width="5.5703125" style="602" customWidth="1"/>
    <col min="11011" max="11011" width="58" style="602" customWidth="1"/>
    <col min="11012" max="11012" width="24.140625" style="602" customWidth="1"/>
    <col min="11013" max="11014" width="0" style="602" hidden="1" customWidth="1"/>
    <col min="11015" max="11015" width="61.42578125" style="602" customWidth="1"/>
    <col min="11016" max="11016" width="62.140625" style="602" customWidth="1"/>
    <col min="11017" max="11020" width="0" style="602" hidden="1" customWidth="1"/>
    <col min="11021" max="11265" width="9.140625" style="602"/>
    <col min="11266" max="11266" width="5.5703125" style="602" customWidth="1"/>
    <col min="11267" max="11267" width="58" style="602" customWidth="1"/>
    <col min="11268" max="11268" width="24.140625" style="602" customWidth="1"/>
    <col min="11269" max="11270" width="0" style="602" hidden="1" customWidth="1"/>
    <col min="11271" max="11271" width="61.42578125" style="602" customWidth="1"/>
    <col min="11272" max="11272" width="62.140625" style="602" customWidth="1"/>
    <col min="11273" max="11276" width="0" style="602" hidden="1" customWidth="1"/>
    <col min="11277" max="11521" width="9.140625" style="602"/>
    <col min="11522" max="11522" width="5.5703125" style="602" customWidth="1"/>
    <col min="11523" max="11523" width="58" style="602" customWidth="1"/>
    <col min="11524" max="11524" width="24.140625" style="602" customWidth="1"/>
    <col min="11525" max="11526" width="0" style="602" hidden="1" customWidth="1"/>
    <col min="11527" max="11527" width="61.42578125" style="602" customWidth="1"/>
    <col min="11528" max="11528" width="62.140625" style="602" customWidth="1"/>
    <col min="11529" max="11532" width="0" style="602" hidden="1" customWidth="1"/>
    <col min="11533" max="11777" width="9.140625" style="602"/>
    <col min="11778" max="11778" width="5.5703125" style="602" customWidth="1"/>
    <col min="11779" max="11779" width="58" style="602" customWidth="1"/>
    <col min="11780" max="11780" width="24.140625" style="602" customWidth="1"/>
    <col min="11781" max="11782" width="0" style="602" hidden="1" customWidth="1"/>
    <col min="11783" max="11783" width="61.42578125" style="602" customWidth="1"/>
    <col min="11784" max="11784" width="62.140625" style="602" customWidth="1"/>
    <col min="11785" max="11788" width="0" style="602" hidden="1" customWidth="1"/>
    <col min="11789" max="12033" width="9.140625" style="602"/>
    <col min="12034" max="12034" width="5.5703125" style="602" customWidth="1"/>
    <col min="12035" max="12035" width="58" style="602" customWidth="1"/>
    <col min="12036" max="12036" width="24.140625" style="602" customWidth="1"/>
    <col min="12037" max="12038" width="0" style="602" hidden="1" customWidth="1"/>
    <col min="12039" max="12039" width="61.42578125" style="602" customWidth="1"/>
    <col min="12040" max="12040" width="62.140625" style="602" customWidth="1"/>
    <col min="12041" max="12044" width="0" style="602" hidden="1" customWidth="1"/>
    <col min="12045" max="12289" width="9.140625" style="602"/>
    <col min="12290" max="12290" width="5.5703125" style="602" customWidth="1"/>
    <col min="12291" max="12291" width="58" style="602" customWidth="1"/>
    <col min="12292" max="12292" width="24.140625" style="602" customWidth="1"/>
    <col min="12293" max="12294" width="0" style="602" hidden="1" customWidth="1"/>
    <col min="12295" max="12295" width="61.42578125" style="602" customWidth="1"/>
    <col min="12296" max="12296" width="62.140625" style="602" customWidth="1"/>
    <col min="12297" max="12300" width="0" style="602" hidden="1" customWidth="1"/>
    <col min="12301" max="12545" width="9.140625" style="602"/>
    <col min="12546" max="12546" width="5.5703125" style="602" customWidth="1"/>
    <col min="12547" max="12547" width="58" style="602" customWidth="1"/>
    <col min="12548" max="12548" width="24.140625" style="602" customWidth="1"/>
    <col min="12549" max="12550" width="0" style="602" hidden="1" customWidth="1"/>
    <col min="12551" max="12551" width="61.42578125" style="602" customWidth="1"/>
    <col min="12552" max="12552" width="62.140625" style="602" customWidth="1"/>
    <col min="12553" max="12556" width="0" style="602" hidden="1" customWidth="1"/>
    <col min="12557" max="12801" width="9.140625" style="602"/>
    <col min="12802" max="12802" width="5.5703125" style="602" customWidth="1"/>
    <col min="12803" max="12803" width="58" style="602" customWidth="1"/>
    <col min="12804" max="12804" width="24.140625" style="602" customWidth="1"/>
    <col min="12805" max="12806" width="0" style="602" hidden="1" customWidth="1"/>
    <col min="12807" max="12807" width="61.42578125" style="602" customWidth="1"/>
    <col min="12808" max="12808" width="62.140625" style="602" customWidth="1"/>
    <col min="12809" max="12812" width="0" style="602" hidden="1" customWidth="1"/>
    <col min="12813" max="13057" width="9.140625" style="602"/>
    <col min="13058" max="13058" width="5.5703125" style="602" customWidth="1"/>
    <col min="13059" max="13059" width="58" style="602" customWidth="1"/>
    <col min="13060" max="13060" width="24.140625" style="602" customWidth="1"/>
    <col min="13061" max="13062" width="0" style="602" hidden="1" customWidth="1"/>
    <col min="13063" max="13063" width="61.42578125" style="602" customWidth="1"/>
    <col min="13064" max="13064" width="62.140625" style="602" customWidth="1"/>
    <col min="13065" max="13068" width="0" style="602" hidden="1" customWidth="1"/>
    <col min="13069" max="13313" width="9.140625" style="602"/>
    <col min="13314" max="13314" width="5.5703125" style="602" customWidth="1"/>
    <col min="13315" max="13315" width="58" style="602" customWidth="1"/>
    <col min="13316" max="13316" width="24.140625" style="602" customWidth="1"/>
    <col min="13317" max="13318" width="0" style="602" hidden="1" customWidth="1"/>
    <col min="13319" max="13319" width="61.42578125" style="602" customWidth="1"/>
    <col min="13320" max="13320" width="62.140625" style="602" customWidth="1"/>
    <col min="13321" max="13324" width="0" style="602" hidden="1" customWidth="1"/>
    <col min="13325" max="13569" width="9.140625" style="602"/>
    <col min="13570" max="13570" width="5.5703125" style="602" customWidth="1"/>
    <col min="13571" max="13571" width="58" style="602" customWidth="1"/>
    <col min="13572" max="13572" width="24.140625" style="602" customWidth="1"/>
    <col min="13573" max="13574" width="0" style="602" hidden="1" customWidth="1"/>
    <col min="13575" max="13575" width="61.42578125" style="602" customWidth="1"/>
    <col min="13576" max="13576" width="62.140625" style="602" customWidth="1"/>
    <col min="13577" max="13580" width="0" style="602" hidden="1" customWidth="1"/>
    <col min="13581" max="13825" width="9.140625" style="602"/>
    <col min="13826" max="13826" width="5.5703125" style="602" customWidth="1"/>
    <col min="13827" max="13827" width="58" style="602" customWidth="1"/>
    <col min="13828" max="13828" width="24.140625" style="602" customWidth="1"/>
    <col min="13829" max="13830" width="0" style="602" hidden="1" customWidth="1"/>
    <col min="13831" max="13831" width="61.42578125" style="602" customWidth="1"/>
    <col min="13832" max="13832" width="62.140625" style="602" customWidth="1"/>
    <col min="13833" max="13836" width="0" style="602" hidden="1" customWidth="1"/>
    <col min="13837" max="14081" width="9.140625" style="602"/>
    <col min="14082" max="14082" width="5.5703125" style="602" customWidth="1"/>
    <col min="14083" max="14083" width="58" style="602" customWidth="1"/>
    <col min="14084" max="14084" width="24.140625" style="602" customWidth="1"/>
    <col min="14085" max="14086" width="0" style="602" hidden="1" customWidth="1"/>
    <col min="14087" max="14087" width="61.42578125" style="602" customWidth="1"/>
    <col min="14088" max="14088" width="62.140625" style="602" customWidth="1"/>
    <col min="14089" max="14092" width="0" style="602" hidden="1" customWidth="1"/>
    <col min="14093" max="14337" width="9.140625" style="602"/>
    <col min="14338" max="14338" width="5.5703125" style="602" customWidth="1"/>
    <col min="14339" max="14339" width="58" style="602" customWidth="1"/>
    <col min="14340" max="14340" width="24.140625" style="602" customWidth="1"/>
    <col min="14341" max="14342" width="0" style="602" hidden="1" customWidth="1"/>
    <col min="14343" max="14343" width="61.42578125" style="602" customWidth="1"/>
    <col min="14344" max="14344" width="62.140625" style="602" customWidth="1"/>
    <col min="14345" max="14348" width="0" style="602" hidden="1" customWidth="1"/>
    <col min="14349" max="14593" width="9.140625" style="602"/>
    <col min="14594" max="14594" width="5.5703125" style="602" customWidth="1"/>
    <col min="14595" max="14595" width="58" style="602" customWidth="1"/>
    <col min="14596" max="14596" width="24.140625" style="602" customWidth="1"/>
    <col min="14597" max="14598" width="0" style="602" hidden="1" customWidth="1"/>
    <col min="14599" max="14599" width="61.42578125" style="602" customWidth="1"/>
    <col min="14600" max="14600" width="62.140625" style="602" customWidth="1"/>
    <col min="14601" max="14604" width="0" style="602" hidden="1" customWidth="1"/>
    <col min="14605" max="14849" width="9.140625" style="602"/>
    <col min="14850" max="14850" width="5.5703125" style="602" customWidth="1"/>
    <col min="14851" max="14851" width="58" style="602" customWidth="1"/>
    <col min="14852" max="14852" width="24.140625" style="602" customWidth="1"/>
    <col min="14853" max="14854" width="0" style="602" hidden="1" customWidth="1"/>
    <col min="14855" max="14855" width="61.42578125" style="602" customWidth="1"/>
    <col min="14856" max="14856" width="62.140625" style="602" customWidth="1"/>
    <col min="14857" max="14860" width="0" style="602" hidden="1" customWidth="1"/>
    <col min="14861" max="15105" width="9.140625" style="602"/>
    <col min="15106" max="15106" width="5.5703125" style="602" customWidth="1"/>
    <col min="15107" max="15107" width="58" style="602" customWidth="1"/>
    <col min="15108" max="15108" width="24.140625" style="602" customWidth="1"/>
    <col min="15109" max="15110" width="0" style="602" hidden="1" customWidth="1"/>
    <col min="15111" max="15111" width="61.42578125" style="602" customWidth="1"/>
    <col min="15112" max="15112" width="62.140625" style="602" customWidth="1"/>
    <col min="15113" max="15116" width="0" style="602" hidden="1" customWidth="1"/>
    <col min="15117" max="15361" width="9.140625" style="602"/>
    <col min="15362" max="15362" width="5.5703125" style="602" customWidth="1"/>
    <col min="15363" max="15363" width="58" style="602" customWidth="1"/>
    <col min="15364" max="15364" width="24.140625" style="602" customWidth="1"/>
    <col min="15365" max="15366" width="0" style="602" hidden="1" customWidth="1"/>
    <col min="15367" max="15367" width="61.42578125" style="602" customWidth="1"/>
    <col min="15368" max="15368" width="62.140625" style="602" customWidth="1"/>
    <col min="15369" max="15372" width="0" style="602" hidden="1" customWidth="1"/>
    <col min="15373" max="15617" width="9.140625" style="602"/>
    <col min="15618" max="15618" width="5.5703125" style="602" customWidth="1"/>
    <col min="15619" max="15619" width="58" style="602" customWidth="1"/>
    <col min="15620" max="15620" width="24.140625" style="602" customWidth="1"/>
    <col min="15621" max="15622" width="0" style="602" hidden="1" customWidth="1"/>
    <col min="15623" max="15623" width="61.42578125" style="602" customWidth="1"/>
    <col min="15624" max="15624" width="62.140625" style="602" customWidth="1"/>
    <col min="15625" max="15628" width="0" style="602" hidden="1" customWidth="1"/>
    <col min="15629" max="15873" width="9.140625" style="602"/>
    <col min="15874" max="15874" width="5.5703125" style="602" customWidth="1"/>
    <col min="15875" max="15875" width="58" style="602" customWidth="1"/>
    <col min="15876" max="15876" width="24.140625" style="602" customWidth="1"/>
    <col min="15877" max="15878" width="0" style="602" hidden="1" customWidth="1"/>
    <col min="15879" max="15879" width="61.42578125" style="602" customWidth="1"/>
    <col min="15880" max="15880" width="62.140625" style="602" customWidth="1"/>
    <col min="15881" max="15884" width="0" style="602" hidden="1" customWidth="1"/>
    <col min="15885" max="16129" width="9.140625" style="602"/>
    <col min="16130" max="16130" width="5.5703125" style="602" customWidth="1"/>
    <col min="16131" max="16131" width="58" style="602" customWidth="1"/>
    <col min="16132" max="16132" width="24.140625" style="602" customWidth="1"/>
    <col min="16133" max="16134" width="0" style="602" hidden="1" customWidth="1"/>
    <col min="16135" max="16135" width="61.42578125" style="602" customWidth="1"/>
    <col min="16136" max="16136" width="62.140625" style="602" customWidth="1"/>
    <col min="16137" max="16140" width="0" style="602" hidden="1" customWidth="1"/>
    <col min="16141" max="16384" width="9.140625" style="602"/>
  </cols>
  <sheetData>
    <row r="1" spans="2:15" x14ac:dyDescent="0.4">
      <c r="C1" s="603" t="s">
        <v>379</v>
      </c>
      <c r="D1" s="603" t="s">
        <v>379</v>
      </c>
      <c r="E1" s="603" t="s">
        <v>379</v>
      </c>
      <c r="F1" s="603"/>
    </row>
    <row r="2" spans="2:15" x14ac:dyDescent="0.4">
      <c r="C2" s="606">
        <v>43952</v>
      </c>
      <c r="D2" s="607">
        <v>44317</v>
      </c>
      <c r="E2" s="608" t="s">
        <v>380</v>
      </c>
      <c r="F2" s="608"/>
      <c r="H2" s="866"/>
    </row>
    <row r="3" spans="2:15" x14ac:dyDescent="0.4">
      <c r="B3" s="609"/>
      <c r="C3" s="608" t="s">
        <v>381</v>
      </c>
      <c r="D3" s="608" t="s">
        <v>381</v>
      </c>
      <c r="E3" s="608" t="s">
        <v>381</v>
      </c>
      <c r="F3" s="608"/>
      <c r="O3" s="610" t="s">
        <v>452</v>
      </c>
    </row>
    <row r="4" spans="2:15" ht="32.450000000000003" customHeight="1" thickBot="1" x14ac:dyDescent="0.45">
      <c r="B4" s="611" t="s">
        <v>182</v>
      </c>
      <c r="C4" s="612" t="s">
        <v>453</v>
      </c>
      <c r="D4" s="612" t="s">
        <v>606</v>
      </c>
      <c r="E4" s="613" t="s">
        <v>180</v>
      </c>
      <c r="F4" s="613" t="s">
        <v>383</v>
      </c>
      <c r="G4" s="611" t="s">
        <v>384</v>
      </c>
      <c r="H4" s="614" t="s">
        <v>385</v>
      </c>
      <c r="I4" s="608" t="s">
        <v>186</v>
      </c>
      <c r="K4" s="602" t="s">
        <v>187</v>
      </c>
      <c r="M4" s="614" t="s">
        <v>454</v>
      </c>
    </row>
    <row r="5" spans="2:15" ht="39.950000000000003" customHeight="1" x14ac:dyDescent="0.4">
      <c r="B5" s="615" t="s">
        <v>386</v>
      </c>
      <c r="C5" s="616">
        <v>16.791999999999998</v>
      </c>
      <c r="D5" s="617">
        <v>19.000800000000002</v>
      </c>
      <c r="E5" s="617">
        <v>15.48</v>
      </c>
      <c r="F5" s="618"/>
      <c r="G5" s="1883" t="s">
        <v>387</v>
      </c>
      <c r="H5" s="1877" t="s">
        <v>190</v>
      </c>
      <c r="I5" s="619">
        <f>I6/2080</f>
        <v>15.480288461538462</v>
      </c>
      <c r="K5" s="620">
        <f>D5-I5</f>
        <v>3.5205115384615393</v>
      </c>
      <c r="M5" s="1877" t="s">
        <v>455</v>
      </c>
    </row>
    <row r="6" spans="2:15" ht="42.6" customHeight="1" thickBot="1" x14ac:dyDescent="0.45">
      <c r="B6" s="621" t="s">
        <v>388</v>
      </c>
      <c r="C6" s="622">
        <v>34927.359999999993</v>
      </c>
      <c r="D6" s="622">
        <v>39521.664000000004</v>
      </c>
      <c r="E6" s="622">
        <f>E5*2080</f>
        <v>32198.400000000001</v>
      </c>
      <c r="F6" s="623">
        <f>(D6-C6)/C6</f>
        <v>0.13153882801334002</v>
      </c>
      <c r="G6" s="1884"/>
      <c r="H6" s="1878"/>
      <c r="I6" s="624">
        <v>32199</v>
      </c>
      <c r="K6" s="620"/>
      <c r="M6" s="1878"/>
      <c r="N6" s="621"/>
      <c r="O6" s="625">
        <f>(D6-C6)/C6</f>
        <v>0.13153882801334002</v>
      </c>
    </row>
    <row r="7" spans="2:15" ht="26.1" customHeight="1" x14ac:dyDescent="0.4">
      <c r="B7" s="615" t="s">
        <v>192</v>
      </c>
      <c r="C7" s="616">
        <v>21.736000000000001</v>
      </c>
      <c r="D7" s="617">
        <v>24.241120000000002</v>
      </c>
      <c r="E7" s="617">
        <v>19.96</v>
      </c>
      <c r="F7" s="618"/>
      <c r="G7" s="626" t="s">
        <v>193</v>
      </c>
      <c r="H7" s="1877" t="s">
        <v>194</v>
      </c>
      <c r="I7" s="619">
        <f>I8/2080</f>
        <v>18.400480769230768</v>
      </c>
      <c r="K7" s="620">
        <f>D7-I7</f>
        <v>5.8406392307692343</v>
      </c>
      <c r="M7" s="1877" t="s">
        <v>456</v>
      </c>
    </row>
    <row r="8" spans="2:15" ht="27" thickBot="1" x14ac:dyDescent="0.45">
      <c r="B8" s="627" t="s">
        <v>195</v>
      </c>
      <c r="C8" s="628">
        <v>45210.880000000005</v>
      </c>
      <c r="D8" s="628">
        <v>50421.529600000002</v>
      </c>
      <c r="E8" s="628">
        <f>E7*2080</f>
        <v>41516.800000000003</v>
      </c>
      <c r="F8" s="629">
        <f>(D8-E8)/E8</f>
        <v>0.21448496993987973</v>
      </c>
      <c r="G8" s="602" t="s">
        <v>389</v>
      </c>
      <c r="H8" s="1885"/>
      <c r="I8" s="624">
        <v>38273</v>
      </c>
      <c r="K8" s="620"/>
      <c r="M8" s="1885"/>
      <c r="N8" s="630"/>
      <c r="O8" s="625">
        <f>(D8-C8)/C8</f>
        <v>0.11525211630474781</v>
      </c>
    </row>
    <row r="9" spans="2:15" x14ac:dyDescent="0.4">
      <c r="B9" s="615" t="s">
        <v>196</v>
      </c>
      <c r="C9" s="616">
        <v>17.260000000000002</v>
      </c>
      <c r="D9" s="617">
        <v>18.008399999999998</v>
      </c>
      <c r="E9" s="617">
        <v>15.53</v>
      </c>
      <c r="F9" s="618"/>
      <c r="G9" s="626"/>
      <c r="H9" s="1877" t="s">
        <v>197</v>
      </c>
      <c r="I9" s="619">
        <f>I10/2080</f>
        <v>20.43028846153846</v>
      </c>
      <c r="K9" s="631">
        <f>D9-I9</f>
        <v>-2.4218884615384617</v>
      </c>
      <c r="M9" s="1877" t="s">
        <v>457</v>
      </c>
      <c r="O9" s="632"/>
    </row>
    <row r="10" spans="2:15" ht="27" thickBot="1" x14ac:dyDescent="0.45">
      <c r="B10" s="621" t="s">
        <v>198</v>
      </c>
      <c r="C10" s="622">
        <v>35900.800000000003</v>
      </c>
      <c r="D10" s="622">
        <v>37457.471999999994</v>
      </c>
      <c r="E10" s="622">
        <f>E9*2080</f>
        <v>32302.399999999998</v>
      </c>
      <c r="F10" s="623">
        <f>(D10-E10)/E10</f>
        <v>0.15958789439793938</v>
      </c>
      <c r="G10" s="630"/>
      <c r="H10" s="1878"/>
      <c r="I10" s="624">
        <v>42495</v>
      </c>
      <c r="K10" s="620"/>
      <c r="M10" s="1878"/>
      <c r="N10" s="630"/>
      <c r="O10" s="633">
        <f>(D10-C10)/C10</f>
        <v>4.3360370799536259E-2</v>
      </c>
    </row>
    <row r="11" spans="2:15" x14ac:dyDescent="0.4">
      <c r="B11" s="615" t="s">
        <v>199</v>
      </c>
      <c r="C11" s="616">
        <v>21.814999999999998</v>
      </c>
      <c r="D11" s="617">
        <v>24.39</v>
      </c>
      <c r="E11" s="617">
        <v>21.14</v>
      </c>
      <c r="F11" s="618"/>
      <c r="G11" s="626" t="s">
        <v>200</v>
      </c>
      <c r="H11" s="1877" t="s">
        <v>201</v>
      </c>
      <c r="I11" s="1886" t="s">
        <v>202</v>
      </c>
      <c r="K11" s="620"/>
      <c r="M11" s="1877" t="s">
        <v>458</v>
      </c>
    </row>
    <row r="12" spans="2:15" ht="27" thickBot="1" x14ac:dyDescent="0.45">
      <c r="B12" s="627" t="s">
        <v>203</v>
      </c>
      <c r="C12" s="628">
        <v>45375.199999999997</v>
      </c>
      <c r="D12" s="628">
        <v>50729</v>
      </c>
      <c r="E12" s="628">
        <f>E11*2080</f>
        <v>43971.200000000004</v>
      </c>
      <c r="F12" s="629">
        <f>(D12-E12)/E12</f>
        <v>0.15368695873662749</v>
      </c>
      <c r="G12" s="602" t="s">
        <v>390</v>
      </c>
      <c r="H12" s="1885"/>
      <c r="I12" s="1887"/>
      <c r="K12" s="620"/>
      <c r="M12" s="1885"/>
      <c r="N12" s="630"/>
      <c r="O12" s="625">
        <f>(D12-C12)/C12</f>
        <v>0.11798956258044049</v>
      </c>
    </row>
    <row r="13" spans="2:15" ht="52.5" x14ac:dyDescent="0.4">
      <c r="B13" s="634" t="s">
        <v>204</v>
      </c>
      <c r="C13" s="635">
        <v>26.16</v>
      </c>
      <c r="D13" s="617">
        <v>30.57</v>
      </c>
      <c r="E13" s="617">
        <v>25.32</v>
      </c>
      <c r="F13" s="618"/>
      <c r="G13" s="626" t="s">
        <v>391</v>
      </c>
      <c r="H13" s="1877" t="s">
        <v>206</v>
      </c>
      <c r="I13" s="619">
        <f>I14/2080</f>
        <v>19.703365384615385</v>
      </c>
      <c r="K13" s="620">
        <f>D13-I13</f>
        <v>10.866634615384616</v>
      </c>
      <c r="M13" s="1877" t="s">
        <v>459</v>
      </c>
    </row>
    <row r="14" spans="2:15" ht="53.25" thickBot="1" x14ac:dyDescent="0.45">
      <c r="B14" s="636" t="s">
        <v>207</v>
      </c>
      <c r="C14" s="637">
        <v>54412.800000000003</v>
      </c>
      <c r="D14" s="622">
        <v>63585</v>
      </c>
      <c r="E14" s="622">
        <f>E13*2080</f>
        <v>52665.599999999999</v>
      </c>
      <c r="F14" s="623">
        <f>(D14-E14)/E14</f>
        <v>0.20733457892818086</v>
      </c>
      <c r="G14" s="630" t="s">
        <v>208</v>
      </c>
      <c r="H14" s="1878"/>
      <c r="I14" s="624">
        <v>40983</v>
      </c>
      <c r="K14" s="620"/>
      <c r="M14" s="1878"/>
      <c r="N14" s="630"/>
      <c r="O14" s="625">
        <f>(D14-C14)/C14</f>
        <v>0.1685669548341566</v>
      </c>
    </row>
    <row r="15" spans="2:15" x14ac:dyDescent="0.4">
      <c r="B15" s="615" t="s">
        <v>217</v>
      </c>
      <c r="C15" s="616">
        <v>28.8</v>
      </c>
      <c r="D15" s="617">
        <v>29.084</v>
      </c>
      <c r="E15" s="617">
        <v>27.62</v>
      </c>
      <c r="F15" s="618"/>
      <c r="G15" s="626" t="s">
        <v>625</v>
      </c>
      <c r="H15" s="1877" t="s">
        <v>218</v>
      </c>
      <c r="I15" s="638"/>
      <c r="K15" s="620"/>
      <c r="M15" s="1877" t="s">
        <v>460</v>
      </c>
    </row>
    <row r="16" spans="2:15" ht="27" thickBot="1" x14ac:dyDescent="0.45">
      <c r="B16" s="621" t="s">
        <v>219</v>
      </c>
      <c r="C16" s="622">
        <v>59904</v>
      </c>
      <c r="D16" s="622">
        <v>60494.720000000001</v>
      </c>
      <c r="E16" s="622">
        <f>E15*2080</f>
        <v>57449.599999999999</v>
      </c>
      <c r="F16" s="623">
        <f>(D16-E16)/E16</f>
        <v>5.3005068790731399E-2</v>
      </c>
      <c r="G16" s="630"/>
      <c r="H16" s="1878"/>
      <c r="I16" s="638"/>
      <c r="K16" s="620"/>
      <c r="M16" s="1878"/>
      <c r="O16" s="639">
        <f>(D16-C16)/C16</f>
        <v>9.8611111111111312E-3</v>
      </c>
    </row>
    <row r="17" spans="2:15" ht="26.1" customHeight="1" x14ac:dyDescent="0.4">
      <c r="B17" s="615" t="s">
        <v>209</v>
      </c>
      <c r="C17" s="616">
        <v>30.59</v>
      </c>
      <c r="D17" s="617">
        <v>35.178200000000004</v>
      </c>
      <c r="E17" s="617">
        <v>29.29</v>
      </c>
      <c r="F17" s="618"/>
      <c r="G17" s="626" t="s">
        <v>210</v>
      </c>
      <c r="H17" s="1877" t="s">
        <v>211</v>
      </c>
      <c r="I17" s="619">
        <f>I18/2080</f>
        <v>27.190865384615385</v>
      </c>
      <c r="K17" s="620">
        <f>D17-I17</f>
        <v>7.9873346153846185</v>
      </c>
      <c r="M17" s="1877" t="s">
        <v>461</v>
      </c>
    </row>
    <row r="18" spans="2:15" ht="27" thickBot="1" x14ac:dyDescent="0.45">
      <c r="B18" s="621" t="s">
        <v>212</v>
      </c>
      <c r="C18" s="622">
        <v>63627.199999999997</v>
      </c>
      <c r="D18" s="622">
        <v>73170.656000000003</v>
      </c>
      <c r="E18" s="622">
        <f>E17*2080</f>
        <v>60923.199999999997</v>
      </c>
      <c r="F18" s="623">
        <f>(D18-E18)/E18</f>
        <v>0.20103106862410389</v>
      </c>
      <c r="G18" s="630"/>
      <c r="H18" s="1878"/>
      <c r="I18" s="624">
        <v>56557</v>
      </c>
      <c r="K18" s="620"/>
      <c r="M18" s="1878"/>
      <c r="N18" s="630"/>
      <c r="O18" s="625">
        <f>(D18-C18)/C18</f>
        <v>0.14999019287348817</v>
      </c>
    </row>
    <row r="19" spans="2:15" x14ac:dyDescent="0.4">
      <c r="B19" s="615" t="s">
        <v>392</v>
      </c>
      <c r="C19" s="616">
        <v>31.99</v>
      </c>
      <c r="D19" s="616">
        <v>30.937200000000001</v>
      </c>
      <c r="E19" s="640"/>
      <c r="F19" s="641"/>
      <c r="G19" s="626"/>
      <c r="H19" s="1877" t="s">
        <v>393</v>
      </c>
      <c r="I19" s="638"/>
      <c r="K19" s="620"/>
      <c r="M19" s="1877" t="s">
        <v>462</v>
      </c>
    </row>
    <row r="20" spans="2:15" ht="27" thickBot="1" x14ac:dyDescent="0.45">
      <c r="B20" s="621" t="s">
        <v>394</v>
      </c>
      <c r="C20" s="622">
        <v>66539.199999999997</v>
      </c>
      <c r="D20" s="622">
        <v>64349.376000000004</v>
      </c>
      <c r="E20" s="622"/>
      <c r="F20" s="642"/>
      <c r="G20" s="630"/>
      <c r="H20" s="1878"/>
      <c r="I20" s="638"/>
      <c r="K20" s="620"/>
      <c r="M20" s="1878"/>
      <c r="N20" s="621"/>
      <c r="O20" s="643">
        <f>(D20-C20)/C20</f>
        <v>-3.2910284463894865E-2</v>
      </c>
    </row>
    <row r="21" spans="2:15" x14ac:dyDescent="0.4">
      <c r="B21" s="627" t="s">
        <v>395</v>
      </c>
      <c r="C21" s="644">
        <v>33.46153846153846</v>
      </c>
      <c r="D21" s="644">
        <v>35.084000000000003</v>
      </c>
      <c r="E21" s="628" t="s">
        <v>202</v>
      </c>
      <c r="F21" s="645"/>
      <c r="G21" s="602" t="s">
        <v>463</v>
      </c>
      <c r="H21" s="1877" t="s">
        <v>397</v>
      </c>
      <c r="I21" s="638"/>
      <c r="K21" s="620"/>
      <c r="M21" s="1881" t="s">
        <v>464</v>
      </c>
      <c r="O21" s="646"/>
    </row>
    <row r="22" spans="2:15" ht="27" thickBot="1" x14ac:dyDescent="0.45">
      <c r="B22" s="621" t="s">
        <v>398</v>
      </c>
      <c r="C22" s="622">
        <v>69600</v>
      </c>
      <c r="D22" s="622">
        <v>72974.720000000001</v>
      </c>
      <c r="E22" s="622" t="s">
        <v>202</v>
      </c>
      <c r="F22" s="647"/>
      <c r="G22" s="630" t="s">
        <v>465</v>
      </c>
      <c r="H22" s="1878"/>
      <c r="I22" s="638"/>
      <c r="K22" s="620"/>
      <c r="M22" s="1882"/>
      <c r="N22" s="621"/>
      <c r="O22" s="648">
        <f>(D22-C22)/C22</f>
        <v>4.8487356321839099E-2</v>
      </c>
    </row>
    <row r="23" spans="2:15" ht="26.1" customHeight="1" x14ac:dyDescent="0.4">
      <c r="B23" s="627" t="s">
        <v>400</v>
      </c>
      <c r="C23" s="644">
        <v>34.022499999999994</v>
      </c>
      <c r="D23" s="644">
        <v>38.650100000000002</v>
      </c>
      <c r="E23" s="628"/>
      <c r="F23" s="649"/>
      <c r="G23" s="602" t="s">
        <v>401</v>
      </c>
      <c r="H23" s="1877" t="s">
        <v>206</v>
      </c>
      <c r="I23" s="638"/>
      <c r="K23" s="620"/>
      <c r="M23" s="1877" t="s">
        <v>466</v>
      </c>
    </row>
    <row r="24" spans="2:15" ht="27" thickBot="1" x14ac:dyDescent="0.45">
      <c r="B24" s="621" t="s">
        <v>402</v>
      </c>
      <c r="C24" s="622">
        <v>70766.799999999988</v>
      </c>
      <c r="D24" s="622">
        <v>80392.207999999999</v>
      </c>
      <c r="E24" s="622"/>
      <c r="F24" s="642"/>
      <c r="G24" s="630"/>
      <c r="H24" s="1878"/>
      <c r="I24" s="638"/>
      <c r="K24" s="620"/>
      <c r="M24" s="1878"/>
      <c r="N24" s="621"/>
      <c r="O24" s="633">
        <f>(D24-C24)/C24</f>
        <v>0.13601587184951153</v>
      </c>
    </row>
    <row r="25" spans="2:15" ht="26.1" customHeight="1" x14ac:dyDescent="0.4">
      <c r="B25" s="627" t="s">
        <v>403</v>
      </c>
      <c r="C25" s="644">
        <v>36.380000000000003</v>
      </c>
      <c r="D25" s="644">
        <v>40.563600000000001</v>
      </c>
      <c r="E25" s="628"/>
      <c r="F25" s="649"/>
      <c r="G25" s="602" t="s">
        <v>404</v>
      </c>
      <c r="H25" s="1877" t="s">
        <v>206</v>
      </c>
      <c r="I25" s="638"/>
      <c r="K25" s="620"/>
      <c r="M25" s="1877" t="s">
        <v>467</v>
      </c>
    </row>
    <row r="26" spans="2:15" ht="27" thickBot="1" x14ac:dyDescent="0.45">
      <c r="B26" s="621" t="s">
        <v>405</v>
      </c>
      <c r="C26" s="628">
        <v>75670.400000000009</v>
      </c>
      <c r="D26" s="628">
        <v>84372.288</v>
      </c>
      <c r="E26" s="628"/>
      <c r="F26" s="649"/>
      <c r="H26" s="1878"/>
      <c r="I26" s="638"/>
      <c r="K26" s="620"/>
      <c r="M26" s="1878"/>
      <c r="N26" s="621"/>
      <c r="O26" s="633">
        <f>(D26-C26)/C26</f>
        <v>0.11499725123694325</v>
      </c>
    </row>
    <row r="27" spans="2:15" x14ac:dyDescent="0.4">
      <c r="B27" s="615" t="s">
        <v>406</v>
      </c>
      <c r="C27" s="616">
        <v>40.57</v>
      </c>
      <c r="D27" s="617">
        <v>43.1312</v>
      </c>
      <c r="E27" s="617">
        <v>40.06</v>
      </c>
      <c r="F27" s="618"/>
      <c r="G27" s="1879" t="s">
        <v>468</v>
      </c>
      <c r="H27" s="1877" t="s">
        <v>215</v>
      </c>
      <c r="I27" s="619">
        <f>I28/2080</f>
        <v>33.217788461538461</v>
      </c>
      <c r="K27" s="620">
        <f>D27-I27</f>
        <v>9.9134115384615384</v>
      </c>
      <c r="M27" s="1877" t="s">
        <v>469</v>
      </c>
    </row>
    <row r="28" spans="2:15" ht="34.5" customHeight="1" thickBot="1" x14ac:dyDescent="0.45">
      <c r="B28" s="621" t="s">
        <v>408</v>
      </c>
      <c r="C28" s="622">
        <v>84385.600000000006</v>
      </c>
      <c r="D28" s="622">
        <v>89712.895999999993</v>
      </c>
      <c r="E28" s="622">
        <f>E27*2080</f>
        <v>83324.800000000003</v>
      </c>
      <c r="F28" s="623">
        <f>(D28-E28)/E28</f>
        <v>7.6665002496255505E-2</v>
      </c>
      <c r="G28" s="1880"/>
      <c r="H28" s="1878"/>
      <c r="I28" s="624">
        <v>69093</v>
      </c>
      <c r="K28" s="620"/>
      <c r="M28" s="1878"/>
      <c r="N28" s="621"/>
      <c r="O28" s="633">
        <f>(D28-C28)/C28</f>
        <v>6.3130391915208126E-2</v>
      </c>
    </row>
    <row r="29" spans="2:15" x14ac:dyDescent="0.4">
      <c r="B29" s="615" t="s">
        <v>409</v>
      </c>
      <c r="C29" s="616">
        <v>37.751999999999995</v>
      </c>
      <c r="D29" s="617">
        <v>43.066240000000008</v>
      </c>
      <c r="E29" s="617"/>
      <c r="F29" s="618"/>
      <c r="G29" s="626"/>
      <c r="H29" s="1877" t="s">
        <v>206</v>
      </c>
      <c r="I29" s="619">
        <f>I30/2080</f>
        <v>25.143750000000001</v>
      </c>
      <c r="K29" s="620">
        <f>D29-I29</f>
        <v>17.922490000000007</v>
      </c>
      <c r="M29" s="1877" t="s">
        <v>470</v>
      </c>
    </row>
    <row r="30" spans="2:15" ht="27" thickBot="1" x14ac:dyDescent="0.45">
      <c r="B30" s="621" t="s">
        <v>410</v>
      </c>
      <c r="C30" s="622">
        <v>78524.159999999989</v>
      </c>
      <c r="D30" s="622">
        <v>89577.779200000019</v>
      </c>
      <c r="E30" s="622"/>
      <c r="F30" s="623"/>
      <c r="G30" s="630"/>
      <c r="H30" s="1878"/>
      <c r="I30" s="624">
        <v>52299</v>
      </c>
      <c r="K30" s="620"/>
      <c r="M30" s="1878"/>
      <c r="N30" s="621"/>
      <c r="O30" s="633">
        <f>(D30-C30)/C30</f>
        <v>0.14076711167620298</v>
      </c>
    </row>
    <row r="31" spans="2:15" x14ac:dyDescent="0.4">
      <c r="B31" s="615" t="s">
        <v>220</v>
      </c>
      <c r="C31" s="616">
        <v>43.41</v>
      </c>
      <c r="D31" s="617">
        <v>47.109200000000001</v>
      </c>
      <c r="E31" s="617">
        <v>41.76</v>
      </c>
      <c r="F31" s="618"/>
      <c r="G31" s="626"/>
      <c r="H31" s="1877" t="s">
        <v>221</v>
      </c>
      <c r="I31" s="650">
        <f>I32/2080</f>
        <v>33.460576923076921</v>
      </c>
      <c r="K31" s="620">
        <f>D31-I31</f>
        <v>13.64862307692308</v>
      </c>
      <c r="M31" s="1877" t="s">
        <v>471</v>
      </c>
    </row>
    <row r="32" spans="2:15" ht="48.75" customHeight="1" thickBot="1" x14ac:dyDescent="0.45">
      <c r="B32" s="621" t="s">
        <v>222</v>
      </c>
      <c r="C32" s="622">
        <v>90292.799999999988</v>
      </c>
      <c r="D32" s="622">
        <v>97987.135999999999</v>
      </c>
      <c r="E32" s="622">
        <f>E31*2080</f>
        <v>86860.800000000003</v>
      </c>
      <c r="F32" s="623">
        <f>(D32-E32)/E32</f>
        <v>0.1280938697318007</v>
      </c>
      <c r="G32" s="630"/>
      <c r="H32" s="1878"/>
      <c r="I32" s="624">
        <v>69598</v>
      </c>
      <c r="K32" s="620"/>
      <c r="M32" s="1878"/>
      <c r="N32" s="621"/>
      <c r="O32" s="633">
        <f>(D32-C32)/C32</f>
        <v>8.5215388159410405E-2</v>
      </c>
    </row>
    <row r="33" spans="2:15" x14ac:dyDescent="0.4">
      <c r="B33" s="615" t="s">
        <v>223</v>
      </c>
      <c r="C33" s="616">
        <v>59.6</v>
      </c>
      <c r="D33" s="617">
        <v>62.008800000000001</v>
      </c>
      <c r="E33" s="617">
        <v>57.41</v>
      </c>
      <c r="F33" s="618"/>
      <c r="G33" s="626"/>
      <c r="H33" s="1877" t="s">
        <v>224</v>
      </c>
      <c r="I33" s="619">
        <f>I34/2080</f>
        <v>48.354326923076925</v>
      </c>
      <c r="K33" s="620">
        <f>D33-I33</f>
        <v>13.654473076923075</v>
      </c>
      <c r="M33" s="1877" t="s">
        <v>472</v>
      </c>
    </row>
    <row r="34" spans="2:15" ht="27" thickBot="1" x14ac:dyDescent="0.45">
      <c r="B34" s="621" t="s">
        <v>225</v>
      </c>
      <c r="C34" s="622">
        <v>123968</v>
      </c>
      <c r="D34" s="622">
        <v>128978.304</v>
      </c>
      <c r="E34" s="622">
        <f>E33*2080</f>
        <v>119412.79999999999</v>
      </c>
      <c r="F34" s="623">
        <f>(D34-E34)/E34</f>
        <v>8.0104511409162305E-2</v>
      </c>
      <c r="G34" s="630"/>
      <c r="H34" s="1878"/>
      <c r="I34" s="624">
        <v>100577</v>
      </c>
      <c r="K34" s="620"/>
      <c r="M34" s="1878"/>
      <c r="N34" s="621"/>
      <c r="O34" s="633">
        <f>(D34-C34)/C34</f>
        <v>4.0416107382550366E-2</v>
      </c>
    </row>
    <row r="35" spans="2:15" x14ac:dyDescent="0.4">
      <c r="C35" s="644"/>
    </row>
    <row r="36" spans="2:15" ht="52.5" x14ac:dyDescent="0.4">
      <c r="B36" s="651" t="s">
        <v>411</v>
      </c>
      <c r="C36" s="652">
        <v>34927.359999999993</v>
      </c>
      <c r="D36" s="628">
        <f>D6</f>
        <v>39521.664000000004</v>
      </c>
    </row>
    <row r="37" spans="2:15" x14ac:dyDescent="0.4">
      <c r="D37" s="653"/>
    </row>
    <row r="38" spans="2:15" x14ac:dyDescent="0.4">
      <c r="B38" s="654" t="s">
        <v>473</v>
      </c>
      <c r="C38" s="655">
        <v>0.2422</v>
      </c>
      <c r="D38" s="655">
        <f>23.39%+2%</f>
        <v>0.25390000000000001</v>
      </c>
      <c r="G38" s="602" t="s">
        <v>607</v>
      </c>
    </row>
    <row r="39" spans="2:15" ht="34.35" customHeight="1" x14ac:dyDescent="0.4">
      <c r="B39" s="654"/>
      <c r="D39" s="653"/>
      <c r="G39" s="1875" t="s">
        <v>474</v>
      </c>
      <c r="H39" s="1875"/>
      <c r="M39" s="602"/>
    </row>
    <row r="40" spans="2:15" x14ac:dyDescent="0.4">
      <c r="D40" s="653"/>
    </row>
    <row r="41" spans="2:15" x14ac:dyDescent="0.4">
      <c r="B41" s="654" t="s">
        <v>233</v>
      </c>
      <c r="C41" s="656">
        <v>0.12</v>
      </c>
      <c r="D41" s="657">
        <v>0.12</v>
      </c>
      <c r="G41" s="602" t="s">
        <v>234</v>
      </c>
    </row>
    <row r="42" spans="2:15" x14ac:dyDescent="0.4">
      <c r="B42" s="654"/>
      <c r="D42" s="605"/>
    </row>
    <row r="43" spans="2:15" x14ac:dyDescent="0.4">
      <c r="B43" s="1876" t="s">
        <v>475</v>
      </c>
      <c r="C43" s="1876"/>
      <c r="D43" s="1876"/>
      <c r="E43" s="1876"/>
      <c r="F43" s="1876"/>
      <c r="G43" s="1876"/>
    </row>
    <row r="44" spans="2:15" x14ac:dyDescent="0.4">
      <c r="B44" s="654" t="s">
        <v>17</v>
      </c>
      <c r="C44" s="628">
        <v>211870</v>
      </c>
      <c r="D44" s="628">
        <v>247150</v>
      </c>
      <c r="G44" s="602" t="s">
        <v>610</v>
      </c>
    </row>
    <row r="45" spans="2:15" x14ac:dyDescent="0.4">
      <c r="B45" s="654" t="s">
        <v>476</v>
      </c>
      <c r="C45" s="628">
        <v>188350</v>
      </c>
      <c r="D45" s="628">
        <v>206010</v>
      </c>
      <c r="G45" s="602" t="s">
        <v>609</v>
      </c>
    </row>
    <row r="46" spans="2:15" x14ac:dyDescent="0.4">
      <c r="B46" s="654" t="s">
        <v>477</v>
      </c>
      <c r="C46" s="628">
        <v>118660</v>
      </c>
      <c r="D46" s="628">
        <v>133902</v>
      </c>
      <c r="G46" s="602" t="s">
        <v>608</v>
      </c>
      <c r="O46" s="646"/>
    </row>
    <row r="47" spans="2:15" x14ac:dyDescent="0.4">
      <c r="B47" s="654" t="s">
        <v>628</v>
      </c>
      <c r="D47" s="865">
        <v>66454</v>
      </c>
      <c r="G47" s="602" t="s">
        <v>629</v>
      </c>
    </row>
    <row r="49" spans="2:4" x14ac:dyDescent="0.4">
      <c r="D49" s="620"/>
    </row>
    <row r="50" spans="2:4" x14ac:dyDescent="0.4">
      <c r="D50" s="658"/>
    </row>
    <row r="51" spans="2:4" x14ac:dyDescent="0.4">
      <c r="B51" s="620"/>
    </row>
    <row r="52" spans="2:4" x14ac:dyDescent="0.4">
      <c r="B52" s="620"/>
    </row>
  </sheetData>
  <mergeCells count="35">
    <mergeCell ref="H15:H16"/>
    <mergeCell ref="M15:M16"/>
    <mergeCell ref="G5:G6"/>
    <mergeCell ref="H5:H6"/>
    <mergeCell ref="M5:M6"/>
    <mergeCell ref="H7:H8"/>
    <mergeCell ref="M7:M8"/>
    <mergeCell ref="H9:H10"/>
    <mergeCell ref="M9:M10"/>
    <mergeCell ref="H11:H12"/>
    <mergeCell ref="I11:I12"/>
    <mergeCell ref="M11:M12"/>
    <mergeCell ref="H13:H14"/>
    <mergeCell ref="M13:M14"/>
    <mergeCell ref="H17:H18"/>
    <mergeCell ref="M17:M18"/>
    <mergeCell ref="H19:H20"/>
    <mergeCell ref="M19:M20"/>
    <mergeCell ref="H21:H22"/>
    <mergeCell ref="M21:M22"/>
    <mergeCell ref="H23:H24"/>
    <mergeCell ref="M23:M24"/>
    <mergeCell ref="H25:H26"/>
    <mergeCell ref="M25:M26"/>
    <mergeCell ref="G27:G28"/>
    <mergeCell ref="H27:H28"/>
    <mergeCell ref="M27:M28"/>
    <mergeCell ref="G39:H39"/>
    <mergeCell ref="B43:G43"/>
    <mergeCell ref="H29:H30"/>
    <mergeCell ref="M29:M30"/>
    <mergeCell ref="H31:H32"/>
    <mergeCell ref="M31:M32"/>
    <mergeCell ref="H33:H34"/>
    <mergeCell ref="M33:M34"/>
  </mergeCells>
  <pageMargins left="0.7" right="0.7" top="0.75" bottom="0.75" header="0.3" footer="0.3"/>
  <pageSetup scale="4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C66A4-1715-4E03-80E2-DA707E5CC41B}">
  <dimension ref="A1:CT28"/>
  <sheetViews>
    <sheetView topLeftCell="BO1" workbookViewId="0">
      <selection activeCell="CL33" sqref="CL33"/>
    </sheetView>
  </sheetViews>
  <sheetFormatPr defaultRowHeight="12.75" x14ac:dyDescent="0.2"/>
  <cols>
    <col min="1" max="1" width="38.42578125" style="569" customWidth="1"/>
    <col min="2" max="2" width="12.85546875" style="574" customWidth="1"/>
    <col min="3" max="62" width="7.7109375" style="569" hidden="1" customWidth="1"/>
    <col min="63" max="82" width="7.7109375" style="569" customWidth="1"/>
    <col min="83" max="256" width="9.140625" style="569"/>
    <col min="257" max="257" width="38.42578125" style="569" customWidth="1"/>
    <col min="258" max="258" width="12.85546875" style="569" customWidth="1"/>
    <col min="259" max="318" width="0" style="569" hidden="1" customWidth="1"/>
    <col min="319" max="338" width="7.7109375" style="569" customWidth="1"/>
    <col min="339" max="512" width="9.140625" style="569"/>
    <col min="513" max="513" width="38.42578125" style="569" customWidth="1"/>
    <col min="514" max="514" width="12.85546875" style="569" customWidth="1"/>
    <col min="515" max="574" width="0" style="569" hidden="1" customWidth="1"/>
    <col min="575" max="594" width="7.7109375" style="569" customWidth="1"/>
    <col min="595" max="768" width="9.140625" style="569"/>
    <col min="769" max="769" width="38.42578125" style="569" customWidth="1"/>
    <col min="770" max="770" width="12.85546875" style="569" customWidth="1"/>
    <col min="771" max="830" width="0" style="569" hidden="1" customWidth="1"/>
    <col min="831" max="850" width="7.7109375" style="569" customWidth="1"/>
    <col min="851" max="1024" width="9.140625" style="569"/>
    <col min="1025" max="1025" width="38.42578125" style="569" customWidth="1"/>
    <col min="1026" max="1026" width="12.85546875" style="569" customWidth="1"/>
    <col min="1027" max="1086" width="0" style="569" hidden="1" customWidth="1"/>
    <col min="1087" max="1106" width="7.7109375" style="569" customWidth="1"/>
    <col min="1107" max="1280" width="9.140625" style="569"/>
    <col min="1281" max="1281" width="38.42578125" style="569" customWidth="1"/>
    <col min="1282" max="1282" width="12.85546875" style="569" customWidth="1"/>
    <col min="1283" max="1342" width="0" style="569" hidden="1" customWidth="1"/>
    <col min="1343" max="1362" width="7.7109375" style="569" customWidth="1"/>
    <col min="1363" max="1536" width="9.140625" style="569"/>
    <col min="1537" max="1537" width="38.42578125" style="569" customWidth="1"/>
    <col min="1538" max="1538" width="12.85546875" style="569" customWidth="1"/>
    <col min="1539" max="1598" width="0" style="569" hidden="1" customWidth="1"/>
    <col min="1599" max="1618" width="7.7109375" style="569" customWidth="1"/>
    <col min="1619" max="1792" width="9.140625" style="569"/>
    <col min="1793" max="1793" width="38.42578125" style="569" customWidth="1"/>
    <col min="1794" max="1794" width="12.85546875" style="569" customWidth="1"/>
    <col min="1795" max="1854" width="0" style="569" hidden="1" customWidth="1"/>
    <col min="1855" max="1874" width="7.7109375" style="569" customWidth="1"/>
    <col min="1875" max="2048" width="9.140625" style="569"/>
    <col min="2049" max="2049" width="38.42578125" style="569" customWidth="1"/>
    <col min="2050" max="2050" width="12.85546875" style="569" customWidth="1"/>
    <col min="2051" max="2110" width="0" style="569" hidden="1" customWidth="1"/>
    <col min="2111" max="2130" width="7.7109375" style="569" customWidth="1"/>
    <col min="2131" max="2304" width="9.140625" style="569"/>
    <col min="2305" max="2305" width="38.42578125" style="569" customWidth="1"/>
    <col min="2306" max="2306" width="12.85546875" style="569" customWidth="1"/>
    <col min="2307" max="2366" width="0" style="569" hidden="1" customWidth="1"/>
    <col min="2367" max="2386" width="7.7109375" style="569" customWidth="1"/>
    <col min="2387" max="2560" width="9.140625" style="569"/>
    <col min="2561" max="2561" width="38.42578125" style="569" customWidth="1"/>
    <col min="2562" max="2562" width="12.85546875" style="569" customWidth="1"/>
    <col min="2563" max="2622" width="0" style="569" hidden="1" customWidth="1"/>
    <col min="2623" max="2642" width="7.7109375" style="569" customWidth="1"/>
    <col min="2643" max="2816" width="9.140625" style="569"/>
    <col min="2817" max="2817" width="38.42578125" style="569" customWidth="1"/>
    <col min="2818" max="2818" width="12.85546875" style="569" customWidth="1"/>
    <col min="2819" max="2878" width="0" style="569" hidden="1" customWidth="1"/>
    <col min="2879" max="2898" width="7.7109375" style="569" customWidth="1"/>
    <col min="2899" max="3072" width="9.140625" style="569"/>
    <col min="3073" max="3073" width="38.42578125" style="569" customWidth="1"/>
    <col min="3074" max="3074" width="12.85546875" style="569" customWidth="1"/>
    <col min="3075" max="3134" width="0" style="569" hidden="1" customWidth="1"/>
    <col min="3135" max="3154" width="7.7109375" style="569" customWidth="1"/>
    <col min="3155" max="3328" width="9.140625" style="569"/>
    <col min="3329" max="3329" width="38.42578125" style="569" customWidth="1"/>
    <col min="3330" max="3330" width="12.85546875" style="569" customWidth="1"/>
    <col min="3331" max="3390" width="0" style="569" hidden="1" customWidth="1"/>
    <col min="3391" max="3410" width="7.7109375" style="569" customWidth="1"/>
    <col min="3411" max="3584" width="9.140625" style="569"/>
    <col min="3585" max="3585" width="38.42578125" style="569" customWidth="1"/>
    <col min="3586" max="3586" width="12.85546875" style="569" customWidth="1"/>
    <col min="3587" max="3646" width="0" style="569" hidden="1" customWidth="1"/>
    <col min="3647" max="3666" width="7.7109375" style="569" customWidth="1"/>
    <col min="3667" max="3840" width="9.140625" style="569"/>
    <col min="3841" max="3841" width="38.42578125" style="569" customWidth="1"/>
    <col min="3842" max="3842" width="12.85546875" style="569" customWidth="1"/>
    <col min="3843" max="3902" width="0" style="569" hidden="1" customWidth="1"/>
    <col min="3903" max="3922" width="7.7109375" style="569" customWidth="1"/>
    <col min="3923" max="4096" width="9.140625" style="569"/>
    <col min="4097" max="4097" width="38.42578125" style="569" customWidth="1"/>
    <col min="4098" max="4098" width="12.85546875" style="569" customWidth="1"/>
    <col min="4099" max="4158" width="0" style="569" hidden="1" customWidth="1"/>
    <col min="4159" max="4178" width="7.7109375" style="569" customWidth="1"/>
    <col min="4179" max="4352" width="9.140625" style="569"/>
    <col min="4353" max="4353" width="38.42578125" style="569" customWidth="1"/>
    <col min="4354" max="4354" width="12.85546875" style="569" customWidth="1"/>
    <col min="4355" max="4414" width="0" style="569" hidden="1" customWidth="1"/>
    <col min="4415" max="4434" width="7.7109375" style="569" customWidth="1"/>
    <col min="4435" max="4608" width="9.140625" style="569"/>
    <col min="4609" max="4609" width="38.42578125" style="569" customWidth="1"/>
    <col min="4610" max="4610" width="12.85546875" style="569" customWidth="1"/>
    <col min="4611" max="4670" width="0" style="569" hidden="1" customWidth="1"/>
    <col min="4671" max="4690" width="7.7109375" style="569" customWidth="1"/>
    <col min="4691" max="4864" width="9.140625" style="569"/>
    <col min="4865" max="4865" width="38.42578125" style="569" customWidth="1"/>
    <col min="4866" max="4866" width="12.85546875" style="569" customWidth="1"/>
    <col min="4867" max="4926" width="0" style="569" hidden="1" customWidth="1"/>
    <col min="4927" max="4946" width="7.7109375" style="569" customWidth="1"/>
    <col min="4947" max="5120" width="9.140625" style="569"/>
    <col min="5121" max="5121" width="38.42578125" style="569" customWidth="1"/>
    <col min="5122" max="5122" width="12.85546875" style="569" customWidth="1"/>
    <col min="5123" max="5182" width="0" style="569" hidden="1" customWidth="1"/>
    <col min="5183" max="5202" width="7.7109375" style="569" customWidth="1"/>
    <col min="5203" max="5376" width="9.140625" style="569"/>
    <col min="5377" max="5377" width="38.42578125" style="569" customWidth="1"/>
    <col min="5378" max="5378" width="12.85546875" style="569" customWidth="1"/>
    <col min="5379" max="5438" width="0" style="569" hidden="1" customWidth="1"/>
    <col min="5439" max="5458" width="7.7109375" style="569" customWidth="1"/>
    <col min="5459" max="5632" width="9.140625" style="569"/>
    <col min="5633" max="5633" width="38.42578125" style="569" customWidth="1"/>
    <col min="5634" max="5634" width="12.85546875" style="569" customWidth="1"/>
    <col min="5635" max="5694" width="0" style="569" hidden="1" customWidth="1"/>
    <col min="5695" max="5714" width="7.7109375" style="569" customWidth="1"/>
    <col min="5715" max="5888" width="9.140625" style="569"/>
    <col min="5889" max="5889" width="38.42578125" style="569" customWidth="1"/>
    <col min="5890" max="5890" width="12.85546875" style="569" customWidth="1"/>
    <col min="5891" max="5950" width="0" style="569" hidden="1" customWidth="1"/>
    <col min="5951" max="5970" width="7.7109375" style="569" customWidth="1"/>
    <col min="5971" max="6144" width="9.140625" style="569"/>
    <col min="6145" max="6145" width="38.42578125" style="569" customWidth="1"/>
    <col min="6146" max="6146" width="12.85546875" style="569" customWidth="1"/>
    <col min="6147" max="6206" width="0" style="569" hidden="1" customWidth="1"/>
    <col min="6207" max="6226" width="7.7109375" style="569" customWidth="1"/>
    <col min="6227" max="6400" width="9.140625" style="569"/>
    <col min="6401" max="6401" width="38.42578125" style="569" customWidth="1"/>
    <col min="6402" max="6402" width="12.85546875" style="569" customWidth="1"/>
    <col min="6403" max="6462" width="0" style="569" hidden="1" customWidth="1"/>
    <col min="6463" max="6482" width="7.7109375" style="569" customWidth="1"/>
    <col min="6483" max="6656" width="9.140625" style="569"/>
    <col min="6657" max="6657" width="38.42578125" style="569" customWidth="1"/>
    <col min="6658" max="6658" width="12.85546875" style="569" customWidth="1"/>
    <col min="6659" max="6718" width="0" style="569" hidden="1" customWidth="1"/>
    <col min="6719" max="6738" width="7.7109375" style="569" customWidth="1"/>
    <col min="6739" max="6912" width="9.140625" style="569"/>
    <col min="6913" max="6913" width="38.42578125" style="569" customWidth="1"/>
    <col min="6914" max="6914" width="12.85546875" style="569" customWidth="1"/>
    <col min="6915" max="6974" width="0" style="569" hidden="1" customWidth="1"/>
    <col min="6975" max="6994" width="7.7109375" style="569" customWidth="1"/>
    <col min="6995" max="7168" width="9.140625" style="569"/>
    <col min="7169" max="7169" width="38.42578125" style="569" customWidth="1"/>
    <col min="7170" max="7170" width="12.85546875" style="569" customWidth="1"/>
    <col min="7171" max="7230" width="0" style="569" hidden="1" customWidth="1"/>
    <col min="7231" max="7250" width="7.7109375" style="569" customWidth="1"/>
    <col min="7251" max="7424" width="9.140625" style="569"/>
    <col min="7425" max="7425" width="38.42578125" style="569" customWidth="1"/>
    <col min="7426" max="7426" width="12.85546875" style="569" customWidth="1"/>
    <col min="7427" max="7486" width="0" style="569" hidden="1" customWidth="1"/>
    <col min="7487" max="7506" width="7.7109375" style="569" customWidth="1"/>
    <col min="7507" max="7680" width="9.140625" style="569"/>
    <col min="7681" max="7681" width="38.42578125" style="569" customWidth="1"/>
    <col min="7682" max="7682" width="12.85546875" style="569" customWidth="1"/>
    <col min="7683" max="7742" width="0" style="569" hidden="1" customWidth="1"/>
    <col min="7743" max="7762" width="7.7109375" style="569" customWidth="1"/>
    <col min="7763" max="7936" width="9.140625" style="569"/>
    <col min="7937" max="7937" width="38.42578125" style="569" customWidth="1"/>
    <col min="7938" max="7938" width="12.85546875" style="569" customWidth="1"/>
    <col min="7939" max="7998" width="0" style="569" hidden="1" customWidth="1"/>
    <col min="7999" max="8018" width="7.7109375" style="569" customWidth="1"/>
    <col min="8019" max="8192" width="9.140625" style="569"/>
    <col min="8193" max="8193" width="38.42578125" style="569" customWidth="1"/>
    <col min="8194" max="8194" width="12.85546875" style="569" customWidth="1"/>
    <col min="8195" max="8254" width="0" style="569" hidden="1" customWidth="1"/>
    <col min="8255" max="8274" width="7.7109375" style="569" customWidth="1"/>
    <col min="8275" max="8448" width="9.140625" style="569"/>
    <col min="8449" max="8449" width="38.42578125" style="569" customWidth="1"/>
    <col min="8450" max="8450" width="12.85546875" style="569" customWidth="1"/>
    <col min="8451" max="8510" width="0" style="569" hidden="1" customWidth="1"/>
    <col min="8511" max="8530" width="7.7109375" style="569" customWidth="1"/>
    <col min="8531" max="8704" width="9.140625" style="569"/>
    <col min="8705" max="8705" width="38.42578125" style="569" customWidth="1"/>
    <col min="8706" max="8706" width="12.85546875" style="569" customWidth="1"/>
    <col min="8707" max="8766" width="0" style="569" hidden="1" customWidth="1"/>
    <col min="8767" max="8786" width="7.7109375" style="569" customWidth="1"/>
    <col min="8787" max="8960" width="9.140625" style="569"/>
    <col min="8961" max="8961" width="38.42578125" style="569" customWidth="1"/>
    <col min="8962" max="8962" width="12.85546875" style="569" customWidth="1"/>
    <col min="8963" max="9022" width="0" style="569" hidden="1" customWidth="1"/>
    <col min="9023" max="9042" width="7.7109375" style="569" customWidth="1"/>
    <col min="9043" max="9216" width="9.140625" style="569"/>
    <col min="9217" max="9217" width="38.42578125" style="569" customWidth="1"/>
    <col min="9218" max="9218" width="12.85546875" style="569" customWidth="1"/>
    <col min="9219" max="9278" width="0" style="569" hidden="1" customWidth="1"/>
    <col min="9279" max="9298" width="7.7109375" style="569" customWidth="1"/>
    <col min="9299" max="9472" width="9.140625" style="569"/>
    <col min="9473" max="9473" width="38.42578125" style="569" customWidth="1"/>
    <col min="9474" max="9474" width="12.85546875" style="569" customWidth="1"/>
    <col min="9475" max="9534" width="0" style="569" hidden="1" customWidth="1"/>
    <col min="9535" max="9554" width="7.7109375" style="569" customWidth="1"/>
    <col min="9555" max="9728" width="9.140625" style="569"/>
    <col min="9729" max="9729" width="38.42578125" style="569" customWidth="1"/>
    <col min="9730" max="9730" width="12.85546875" style="569" customWidth="1"/>
    <col min="9731" max="9790" width="0" style="569" hidden="1" customWidth="1"/>
    <col min="9791" max="9810" width="7.7109375" style="569" customWidth="1"/>
    <col min="9811" max="9984" width="9.140625" style="569"/>
    <col min="9985" max="9985" width="38.42578125" style="569" customWidth="1"/>
    <col min="9986" max="9986" width="12.85546875" style="569" customWidth="1"/>
    <col min="9987" max="10046" width="0" style="569" hidden="1" customWidth="1"/>
    <col min="10047" max="10066" width="7.7109375" style="569" customWidth="1"/>
    <col min="10067" max="10240" width="9.140625" style="569"/>
    <col min="10241" max="10241" width="38.42578125" style="569" customWidth="1"/>
    <col min="10242" max="10242" width="12.85546875" style="569" customWidth="1"/>
    <col min="10243" max="10302" width="0" style="569" hidden="1" customWidth="1"/>
    <col min="10303" max="10322" width="7.7109375" style="569" customWidth="1"/>
    <col min="10323" max="10496" width="9.140625" style="569"/>
    <col min="10497" max="10497" width="38.42578125" style="569" customWidth="1"/>
    <col min="10498" max="10498" width="12.85546875" style="569" customWidth="1"/>
    <col min="10499" max="10558" width="0" style="569" hidden="1" customWidth="1"/>
    <col min="10559" max="10578" width="7.7109375" style="569" customWidth="1"/>
    <col min="10579" max="10752" width="9.140625" style="569"/>
    <col min="10753" max="10753" width="38.42578125" style="569" customWidth="1"/>
    <col min="10754" max="10754" width="12.85546875" style="569" customWidth="1"/>
    <col min="10755" max="10814" width="0" style="569" hidden="1" customWidth="1"/>
    <col min="10815" max="10834" width="7.7109375" style="569" customWidth="1"/>
    <col min="10835" max="11008" width="9.140625" style="569"/>
    <col min="11009" max="11009" width="38.42578125" style="569" customWidth="1"/>
    <col min="11010" max="11010" width="12.85546875" style="569" customWidth="1"/>
    <col min="11011" max="11070" width="0" style="569" hidden="1" customWidth="1"/>
    <col min="11071" max="11090" width="7.7109375" style="569" customWidth="1"/>
    <col min="11091" max="11264" width="9.140625" style="569"/>
    <col min="11265" max="11265" width="38.42578125" style="569" customWidth="1"/>
    <col min="11266" max="11266" width="12.85546875" style="569" customWidth="1"/>
    <col min="11267" max="11326" width="0" style="569" hidden="1" customWidth="1"/>
    <col min="11327" max="11346" width="7.7109375" style="569" customWidth="1"/>
    <col min="11347" max="11520" width="9.140625" style="569"/>
    <col min="11521" max="11521" width="38.42578125" style="569" customWidth="1"/>
    <col min="11522" max="11522" width="12.85546875" style="569" customWidth="1"/>
    <col min="11523" max="11582" width="0" style="569" hidden="1" customWidth="1"/>
    <col min="11583" max="11602" width="7.7109375" style="569" customWidth="1"/>
    <col min="11603" max="11776" width="9.140625" style="569"/>
    <col min="11777" max="11777" width="38.42578125" style="569" customWidth="1"/>
    <col min="11778" max="11778" width="12.85546875" style="569" customWidth="1"/>
    <col min="11779" max="11838" width="0" style="569" hidden="1" customWidth="1"/>
    <col min="11839" max="11858" width="7.7109375" style="569" customWidth="1"/>
    <col min="11859" max="12032" width="9.140625" style="569"/>
    <col min="12033" max="12033" width="38.42578125" style="569" customWidth="1"/>
    <col min="12034" max="12034" width="12.85546875" style="569" customWidth="1"/>
    <col min="12035" max="12094" width="0" style="569" hidden="1" customWidth="1"/>
    <col min="12095" max="12114" width="7.7109375" style="569" customWidth="1"/>
    <col min="12115" max="12288" width="9.140625" style="569"/>
    <col min="12289" max="12289" width="38.42578125" style="569" customWidth="1"/>
    <col min="12290" max="12290" width="12.85546875" style="569" customWidth="1"/>
    <col min="12291" max="12350" width="0" style="569" hidden="1" customWidth="1"/>
    <col min="12351" max="12370" width="7.7109375" style="569" customWidth="1"/>
    <col min="12371" max="12544" width="9.140625" style="569"/>
    <col min="12545" max="12545" width="38.42578125" style="569" customWidth="1"/>
    <col min="12546" max="12546" width="12.85546875" style="569" customWidth="1"/>
    <col min="12547" max="12606" width="0" style="569" hidden="1" customWidth="1"/>
    <col min="12607" max="12626" width="7.7109375" style="569" customWidth="1"/>
    <col min="12627" max="12800" width="9.140625" style="569"/>
    <col min="12801" max="12801" width="38.42578125" style="569" customWidth="1"/>
    <col min="12802" max="12802" width="12.85546875" style="569" customWidth="1"/>
    <col min="12803" max="12862" width="0" style="569" hidden="1" customWidth="1"/>
    <col min="12863" max="12882" width="7.7109375" style="569" customWidth="1"/>
    <col min="12883" max="13056" width="9.140625" style="569"/>
    <col min="13057" max="13057" width="38.42578125" style="569" customWidth="1"/>
    <col min="13058" max="13058" width="12.85546875" style="569" customWidth="1"/>
    <col min="13059" max="13118" width="0" style="569" hidden="1" customWidth="1"/>
    <col min="13119" max="13138" width="7.7109375" style="569" customWidth="1"/>
    <col min="13139" max="13312" width="9.140625" style="569"/>
    <col min="13313" max="13313" width="38.42578125" style="569" customWidth="1"/>
    <col min="13314" max="13314" width="12.85546875" style="569" customWidth="1"/>
    <col min="13315" max="13374" width="0" style="569" hidden="1" customWidth="1"/>
    <col min="13375" max="13394" width="7.7109375" style="569" customWidth="1"/>
    <col min="13395" max="13568" width="9.140625" style="569"/>
    <col min="13569" max="13569" width="38.42578125" style="569" customWidth="1"/>
    <col min="13570" max="13570" width="12.85546875" style="569" customWidth="1"/>
    <col min="13571" max="13630" width="0" style="569" hidden="1" customWidth="1"/>
    <col min="13631" max="13650" width="7.7109375" style="569" customWidth="1"/>
    <col min="13651" max="13824" width="9.140625" style="569"/>
    <col min="13825" max="13825" width="38.42578125" style="569" customWidth="1"/>
    <col min="13826" max="13826" width="12.85546875" style="569" customWidth="1"/>
    <col min="13827" max="13886" width="0" style="569" hidden="1" customWidth="1"/>
    <col min="13887" max="13906" width="7.7109375" style="569" customWidth="1"/>
    <col min="13907" max="14080" width="9.140625" style="569"/>
    <col min="14081" max="14081" width="38.42578125" style="569" customWidth="1"/>
    <col min="14082" max="14082" width="12.85546875" style="569" customWidth="1"/>
    <col min="14083" max="14142" width="0" style="569" hidden="1" customWidth="1"/>
    <col min="14143" max="14162" width="7.7109375" style="569" customWidth="1"/>
    <col min="14163" max="14336" width="9.140625" style="569"/>
    <col min="14337" max="14337" width="38.42578125" style="569" customWidth="1"/>
    <col min="14338" max="14338" width="12.85546875" style="569" customWidth="1"/>
    <col min="14339" max="14398" width="0" style="569" hidden="1" customWidth="1"/>
    <col min="14399" max="14418" width="7.7109375" style="569" customWidth="1"/>
    <col min="14419" max="14592" width="9.140625" style="569"/>
    <col min="14593" max="14593" width="38.42578125" style="569" customWidth="1"/>
    <col min="14594" max="14594" width="12.85546875" style="569" customWidth="1"/>
    <col min="14595" max="14654" width="0" style="569" hidden="1" customWidth="1"/>
    <col min="14655" max="14674" width="7.7109375" style="569" customWidth="1"/>
    <col min="14675" max="14848" width="9.140625" style="569"/>
    <col min="14849" max="14849" width="38.42578125" style="569" customWidth="1"/>
    <col min="14850" max="14850" width="12.85546875" style="569" customWidth="1"/>
    <col min="14851" max="14910" width="0" style="569" hidden="1" customWidth="1"/>
    <col min="14911" max="14930" width="7.7109375" style="569" customWidth="1"/>
    <col min="14931" max="15104" width="9.140625" style="569"/>
    <col min="15105" max="15105" width="38.42578125" style="569" customWidth="1"/>
    <col min="15106" max="15106" width="12.85546875" style="569" customWidth="1"/>
    <col min="15107" max="15166" width="0" style="569" hidden="1" customWidth="1"/>
    <col min="15167" max="15186" width="7.7109375" style="569" customWidth="1"/>
    <col min="15187" max="15360" width="9.140625" style="569"/>
    <col min="15361" max="15361" width="38.42578125" style="569" customWidth="1"/>
    <col min="15362" max="15362" width="12.85546875" style="569" customWidth="1"/>
    <col min="15363" max="15422" width="0" style="569" hidden="1" customWidth="1"/>
    <col min="15423" max="15442" width="7.7109375" style="569" customWidth="1"/>
    <col min="15443" max="15616" width="9.140625" style="569"/>
    <col min="15617" max="15617" width="38.42578125" style="569" customWidth="1"/>
    <col min="15618" max="15618" width="12.85546875" style="569" customWidth="1"/>
    <col min="15619" max="15678" width="0" style="569" hidden="1" customWidth="1"/>
    <col min="15679" max="15698" width="7.7109375" style="569" customWidth="1"/>
    <col min="15699" max="15872" width="9.140625" style="569"/>
    <col min="15873" max="15873" width="38.42578125" style="569" customWidth="1"/>
    <col min="15874" max="15874" width="12.85546875" style="569" customWidth="1"/>
    <col min="15875" max="15934" width="0" style="569" hidden="1" customWidth="1"/>
    <col min="15935" max="15954" width="7.7109375" style="569" customWidth="1"/>
    <col min="15955" max="16128" width="9.140625" style="569"/>
    <col min="16129" max="16129" width="38.42578125" style="569" customWidth="1"/>
    <col min="16130" max="16130" width="12.85546875" style="569" customWidth="1"/>
    <col min="16131" max="16190" width="0" style="569" hidden="1" customWidth="1"/>
    <col min="16191" max="16210" width="7.7109375" style="569" customWidth="1"/>
    <col min="16211" max="16384" width="9.140625" style="569"/>
  </cols>
  <sheetData>
    <row r="1" spans="1:98" ht="18" x14ac:dyDescent="0.25">
      <c r="A1" s="1888" t="s">
        <v>62</v>
      </c>
      <c r="B1" s="1889"/>
    </row>
    <row r="2" spans="1:98" ht="15.75" x14ac:dyDescent="0.25">
      <c r="A2" s="570" t="s">
        <v>434</v>
      </c>
      <c r="B2" s="571"/>
    </row>
    <row r="3" spans="1:98" ht="15.75" thickBot="1" x14ac:dyDescent="0.3">
      <c r="A3" s="572" t="s">
        <v>64</v>
      </c>
      <c r="B3" s="573"/>
    </row>
    <row r="6" spans="1:98" x14ac:dyDescent="0.2">
      <c r="BQ6" s="530" t="s">
        <v>427</v>
      </c>
      <c r="BR6" s="530" t="s">
        <v>427</v>
      </c>
      <c r="BS6" s="530" t="s">
        <v>427</v>
      </c>
      <c r="BT6" s="530" t="s">
        <v>427</v>
      </c>
      <c r="BU6" s="531" t="s">
        <v>428</v>
      </c>
      <c r="BV6" s="531" t="s">
        <v>428</v>
      </c>
      <c r="BW6" s="531" t="s">
        <v>428</v>
      </c>
      <c r="BX6" s="531" t="s">
        <v>428</v>
      </c>
      <c r="BY6" s="532" t="s">
        <v>429</v>
      </c>
      <c r="BZ6" s="532" t="s">
        <v>429</v>
      </c>
      <c r="CA6" s="532" t="s">
        <v>429</v>
      </c>
      <c r="CB6" s="532" t="s">
        <v>429</v>
      </c>
      <c r="CC6" s="575" t="s">
        <v>435</v>
      </c>
      <c r="CD6" s="575" t="s">
        <v>435</v>
      </c>
      <c r="CE6" s="575" t="s">
        <v>435</v>
      </c>
      <c r="CF6" s="575" t="s">
        <v>435</v>
      </c>
      <c r="CG6" s="576" t="s">
        <v>436</v>
      </c>
      <c r="CH6" s="576" t="s">
        <v>436</v>
      </c>
      <c r="CI6" s="576" t="s">
        <v>436</v>
      </c>
      <c r="CJ6" s="576" t="s">
        <v>436</v>
      </c>
    </row>
    <row r="7" spans="1:98" s="574" customFormat="1" x14ac:dyDescent="0.2">
      <c r="B7" s="574" t="s">
        <v>81</v>
      </c>
      <c r="C7" s="577" t="s">
        <v>82</v>
      </c>
      <c r="D7" s="577" t="s">
        <v>83</v>
      </c>
      <c r="E7" s="577" t="s">
        <v>84</v>
      </c>
      <c r="F7" s="577" t="s">
        <v>85</v>
      </c>
      <c r="G7" s="577" t="s">
        <v>86</v>
      </c>
      <c r="H7" s="577" t="s">
        <v>87</v>
      </c>
      <c r="I7" s="577" t="s">
        <v>88</v>
      </c>
      <c r="J7" s="577" t="s">
        <v>89</v>
      </c>
      <c r="K7" s="577" t="s">
        <v>90</v>
      </c>
      <c r="L7" s="577" t="s">
        <v>91</v>
      </c>
      <c r="M7" s="577" t="s">
        <v>92</v>
      </c>
      <c r="N7" s="577" t="s">
        <v>93</v>
      </c>
      <c r="O7" s="577" t="s">
        <v>94</v>
      </c>
      <c r="P7" s="577" t="s">
        <v>95</v>
      </c>
      <c r="Q7" s="577" t="s">
        <v>96</v>
      </c>
      <c r="R7" s="577" t="s">
        <v>97</v>
      </c>
      <c r="S7" s="577" t="s">
        <v>98</v>
      </c>
      <c r="T7" s="577" t="s">
        <v>99</v>
      </c>
      <c r="U7" s="577" t="s">
        <v>100</v>
      </c>
      <c r="V7" s="577" t="s">
        <v>101</v>
      </c>
      <c r="W7" s="577" t="s">
        <v>102</v>
      </c>
      <c r="X7" s="577" t="s">
        <v>103</v>
      </c>
      <c r="Y7" s="577" t="s">
        <v>104</v>
      </c>
      <c r="Z7" s="577" t="s">
        <v>105</v>
      </c>
      <c r="AA7" s="577" t="s">
        <v>106</v>
      </c>
      <c r="AB7" s="577" t="s">
        <v>107</v>
      </c>
      <c r="AC7" s="577" t="s">
        <v>108</v>
      </c>
      <c r="AD7" s="577" t="s">
        <v>109</v>
      </c>
      <c r="AE7" s="577" t="s">
        <v>110</v>
      </c>
      <c r="AF7" s="577" t="s">
        <v>111</v>
      </c>
      <c r="AG7" s="577" t="s">
        <v>112</v>
      </c>
      <c r="AH7" s="577" t="s">
        <v>113</v>
      </c>
      <c r="AI7" s="577" t="s">
        <v>114</v>
      </c>
      <c r="AJ7" s="577" t="s">
        <v>115</v>
      </c>
      <c r="AK7" s="577" t="s">
        <v>116</v>
      </c>
      <c r="AL7" s="577" t="s">
        <v>117</v>
      </c>
      <c r="AM7" s="577" t="s">
        <v>118</v>
      </c>
      <c r="AN7" s="577" t="s">
        <v>119</v>
      </c>
      <c r="AO7" s="577" t="s">
        <v>120</v>
      </c>
      <c r="AP7" s="577" t="s">
        <v>121</v>
      </c>
      <c r="AQ7" s="577" t="s">
        <v>122</v>
      </c>
      <c r="AR7" s="577" t="s">
        <v>123</v>
      </c>
      <c r="AS7" s="577" t="s">
        <v>124</v>
      </c>
      <c r="AT7" s="577" t="s">
        <v>125</v>
      </c>
      <c r="AU7" s="574" t="s">
        <v>126</v>
      </c>
      <c r="AV7" s="574" t="s">
        <v>127</v>
      </c>
      <c r="AW7" s="574" t="s">
        <v>128</v>
      </c>
      <c r="AX7" s="574" t="s">
        <v>129</v>
      </c>
      <c r="AY7" s="574" t="s">
        <v>130</v>
      </c>
      <c r="AZ7" s="574" t="s">
        <v>131</v>
      </c>
      <c r="BA7" s="574" t="s">
        <v>132</v>
      </c>
      <c r="BB7" s="574" t="s">
        <v>133</v>
      </c>
      <c r="BC7" s="574" t="s">
        <v>134</v>
      </c>
      <c r="BD7" s="574" t="s">
        <v>135</v>
      </c>
      <c r="BE7" s="574" t="s">
        <v>136</v>
      </c>
      <c r="BF7" s="574" t="s">
        <v>137</v>
      </c>
      <c r="BG7" s="574" t="s">
        <v>138</v>
      </c>
      <c r="BH7" s="574" t="s">
        <v>139</v>
      </c>
      <c r="BI7" s="574" t="s">
        <v>140</v>
      </c>
      <c r="BJ7" s="574" t="s">
        <v>141</v>
      </c>
      <c r="BK7" s="574" t="s">
        <v>142</v>
      </c>
      <c r="BL7" s="574" t="s">
        <v>143</v>
      </c>
      <c r="BM7" s="574" t="s">
        <v>144</v>
      </c>
      <c r="BN7" s="574" t="s">
        <v>145</v>
      </c>
      <c r="BO7" s="574" t="s">
        <v>146</v>
      </c>
      <c r="BP7" s="574" t="s">
        <v>147</v>
      </c>
      <c r="BQ7" s="574" t="s">
        <v>148</v>
      </c>
      <c r="BR7" s="574" t="s">
        <v>149</v>
      </c>
      <c r="BS7" s="574" t="s">
        <v>150</v>
      </c>
      <c r="BT7" s="574" t="s">
        <v>151</v>
      </c>
      <c r="BU7" s="574" t="s">
        <v>152</v>
      </c>
      <c r="BV7" s="574" t="s">
        <v>153</v>
      </c>
      <c r="BW7" s="574" t="s">
        <v>154</v>
      </c>
      <c r="BX7" s="574" t="s">
        <v>155</v>
      </c>
      <c r="BY7" s="574" t="s">
        <v>156</v>
      </c>
      <c r="BZ7" s="574" t="s">
        <v>157</v>
      </c>
      <c r="CA7" s="574" t="s">
        <v>158</v>
      </c>
      <c r="CB7" s="574" t="s">
        <v>159</v>
      </c>
      <c r="CC7" s="574" t="s">
        <v>160</v>
      </c>
      <c r="CD7" s="574" t="s">
        <v>161</v>
      </c>
      <c r="CE7" s="574" t="s">
        <v>162</v>
      </c>
      <c r="CF7" s="574" t="s">
        <v>163</v>
      </c>
      <c r="CG7" s="574" t="s">
        <v>164</v>
      </c>
      <c r="CH7" s="574" t="s">
        <v>165</v>
      </c>
      <c r="CI7" s="574" t="s">
        <v>437</v>
      </c>
      <c r="CJ7" s="574" t="s">
        <v>438</v>
      </c>
      <c r="CK7" s="574" t="s">
        <v>439</v>
      </c>
      <c r="CL7" s="574" t="s">
        <v>440</v>
      </c>
      <c r="CM7" s="574" t="s">
        <v>441</v>
      </c>
      <c r="CN7" s="574" t="s">
        <v>442</v>
      </c>
      <c r="CO7" s="574" t="s">
        <v>443</v>
      </c>
      <c r="CP7" s="574" t="s">
        <v>444</v>
      </c>
      <c r="CQ7" s="574" t="s">
        <v>445</v>
      </c>
      <c r="CR7" s="574" t="s">
        <v>446</v>
      </c>
      <c r="CS7" s="574" t="s">
        <v>447</v>
      </c>
      <c r="CT7" s="574" t="s">
        <v>448</v>
      </c>
    </row>
    <row r="8" spans="1:98" x14ac:dyDescent="0.2">
      <c r="A8" s="574" t="s">
        <v>167</v>
      </c>
      <c r="B8" s="574" t="s">
        <v>168</v>
      </c>
      <c r="C8" s="578">
        <v>2.03516971038266</v>
      </c>
      <c r="D8" s="578">
        <v>2.0603243586248499</v>
      </c>
      <c r="E8" s="578">
        <v>2.0653694065802699</v>
      </c>
      <c r="F8" s="578">
        <v>2.0874807762832099</v>
      </c>
      <c r="G8" s="578">
        <v>2.1050400482010199</v>
      </c>
      <c r="H8" s="578">
        <v>2.1154192603458899</v>
      </c>
      <c r="I8" s="578">
        <v>2.1518068200870601</v>
      </c>
      <c r="J8" s="578">
        <v>2.1707783725541501</v>
      </c>
      <c r="K8" s="578">
        <v>2.18783691981761</v>
      </c>
      <c r="L8" s="578">
        <v>2.2132586941521701</v>
      </c>
      <c r="M8" s="578">
        <v>2.2359257447920902</v>
      </c>
      <c r="N8" s="578">
        <v>2.2211869184724802</v>
      </c>
      <c r="O8" s="578">
        <v>2.2326241842019399</v>
      </c>
      <c r="P8" s="578">
        <v>2.25901750728924</v>
      </c>
      <c r="Q8" s="578">
        <v>2.2765164106308</v>
      </c>
      <c r="R8" s="578">
        <v>2.30291395940545</v>
      </c>
      <c r="S8" s="578">
        <v>2.3203732479405201</v>
      </c>
      <c r="T8" s="578">
        <v>2.3642172164480799</v>
      </c>
      <c r="U8" s="578">
        <v>2.4053168355103001</v>
      </c>
      <c r="V8" s="578">
        <v>2.3519755124970101</v>
      </c>
      <c r="W8" s="578">
        <v>2.3408422306286298</v>
      </c>
      <c r="X8" s="578">
        <v>2.3474188487574099</v>
      </c>
      <c r="Y8" s="578">
        <v>2.36722788639723</v>
      </c>
      <c r="Z8" s="578">
        <v>2.38170796623861</v>
      </c>
      <c r="AA8" s="578">
        <v>2.37977560548517</v>
      </c>
      <c r="AB8" s="578">
        <v>2.3845469305921401</v>
      </c>
      <c r="AC8" s="578">
        <v>2.3990494738484398</v>
      </c>
      <c r="AD8" s="578">
        <v>2.4227910394257499</v>
      </c>
      <c r="AE8" s="578">
        <v>2.4330498565991299</v>
      </c>
      <c r="AF8" s="578">
        <v>2.4782592908991101</v>
      </c>
      <c r="AG8" s="578">
        <v>2.48958598393371</v>
      </c>
      <c r="AH8" s="578">
        <v>2.4982528033804701</v>
      </c>
      <c r="AI8" s="578">
        <v>2.5146494553159999</v>
      </c>
      <c r="AJ8" s="578">
        <v>2.52107076869803</v>
      </c>
      <c r="AK8" s="578">
        <v>2.5313114193711401</v>
      </c>
      <c r="AL8" s="578">
        <v>2.5519818070473299</v>
      </c>
      <c r="AM8" s="578">
        <v>2.5588970948066301</v>
      </c>
      <c r="AN8" s="578">
        <v>2.5563607318916199</v>
      </c>
      <c r="AO8" s="578">
        <v>2.5757018498037501</v>
      </c>
      <c r="AP8" s="578">
        <v>2.5903118852466198</v>
      </c>
      <c r="AQ8" s="578">
        <v>2.5984834377108701</v>
      </c>
      <c r="AR8" s="578">
        <v>2.6097667453760698</v>
      </c>
      <c r="AS8" s="578">
        <v>2.6162580136308198</v>
      </c>
      <c r="AT8" s="578">
        <v>2.6185435816407101</v>
      </c>
      <c r="AU8" s="578">
        <v>2.6130742036410601</v>
      </c>
      <c r="AV8" s="578">
        <v>2.6248654931503501</v>
      </c>
      <c r="AW8" s="578">
        <v>2.6210903132751202</v>
      </c>
      <c r="AX8" s="578">
        <v>2.62812001494735</v>
      </c>
      <c r="AY8" s="578">
        <v>2.6195672059792101</v>
      </c>
      <c r="AZ8" s="578">
        <v>2.6445845101286198</v>
      </c>
      <c r="BA8" s="578">
        <v>2.6645119184811499</v>
      </c>
      <c r="BB8" s="578">
        <v>2.6793127669589998</v>
      </c>
      <c r="BC8" s="578">
        <v>2.69196801581622</v>
      </c>
      <c r="BD8" s="578">
        <v>2.6963999173151398</v>
      </c>
      <c r="BE8" s="578">
        <v>2.70820199309592</v>
      </c>
      <c r="BF8" s="578">
        <v>2.7228199938442401</v>
      </c>
      <c r="BG8" s="578">
        <v>2.7581855200157999</v>
      </c>
      <c r="BH8" s="578">
        <v>2.7725868388914199</v>
      </c>
      <c r="BI8" s="578">
        <v>2.7794261240196301</v>
      </c>
      <c r="BJ8" s="578">
        <v>2.79252284616837</v>
      </c>
      <c r="BK8" s="578">
        <v>2.80204068249218</v>
      </c>
      <c r="BL8" s="578">
        <v>2.8122450644763202</v>
      </c>
      <c r="BM8" s="578">
        <v>2.8300584393122699</v>
      </c>
      <c r="BN8" s="578">
        <v>2.84208162724111</v>
      </c>
      <c r="BO8" s="578">
        <v>2.8551686160991401</v>
      </c>
      <c r="BP8" s="578">
        <v>2.8532778182259202</v>
      </c>
      <c r="BQ8" s="578">
        <v>2.8766732544002802</v>
      </c>
      <c r="BR8" s="578">
        <v>2.8982648495135899</v>
      </c>
      <c r="BS8" s="578">
        <v>2.9160216774221999</v>
      </c>
      <c r="BT8" s="578">
        <v>2.9654626403941302</v>
      </c>
      <c r="BU8" s="578">
        <v>3.0081548337632902</v>
      </c>
      <c r="BV8" s="578">
        <v>3.0630482422248799</v>
      </c>
      <c r="BW8" s="578">
        <v>3.1259030163817498</v>
      </c>
      <c r="BX8" s="578">
        <v>3.2014215237569101</v>
      </c>
      <c r="BY8" s="578">
        <v>3.2421852795932899</v>
      </c>
      <c r="BZ8" s="578">
        <v>3.28097034676113</v>
      </c>
      <c r="CA8" s="578">
        <v>3.3147673493876102</v>
      </c>
      <c r="CB8" s="578">
        <v>3.3342442670690202</v>
      </c>
      <c r="CC8" s="578">
        <v>3.3575240050477801</v>
      </c>
      <c r="CD8" s="578">
        <v>3.3819769082909898</v>
      </c>
      <c r="CE8" s="578">
        <v>3.4050737208242499</v>
      </c>
      <c r="CF8" s="578">
        <v>3.4235125377062201</v>
      </c>
      <c r="CG8" s="578">
        <v>3.4450513542515901</v>
      </c>
      <c r="CH8" s="578">
        <v>3.46875440874557</v>
      </c>
      <c r="CI8" s="578">
        <v>3.4882052868706701</v>
      </c>
      <c r="CJ8" s="578">
        <v>3.5079404569764301</v>
      </c>
      <c r="CK8" s="578">
        <v>3.52720160365971</v>
      </c>
      <c r="CL8" s="578">
        <v>3.5476099886222801</v>
      </c>
      <c r="CM8" s="578">
        <v>3.56843780489451</v>
      </c>
      <c r="CN8" s="578">
        <v>3.5885155982193702</v>
      </c>
      <c r="CO8" s="578">
        <v>3.6085155243706</v>
      </c>
      <c r="CP8" s="578">
        <v>3.6288578979966402</v>
      </c>
      <c r="CQ8" s="578">
        <v>3.6502636785569198</v>
      </c>
      <c r="CR8" s="578">
        <v>3.6714830563818301</v>
      </c>
      <c r="CS8" s="578">
        <v>3.6917467571563201</v>
      </c>
      <c r="CT8" s="578">
        <v>3.7124949401037699</v>
      </c>
    </row>
    <row r="9" spans="1:98" x14ac:dyDescent="0.2">
      <c r="A9" s="574" t="s">
        <v>169</v>
      </c>
      <c r="B9" s="574" t="s">
        <v>170</v>
      </c>
      <c r="C9" s="578">
        <v>2.03516971038266</v>
      </c>
      <c r="D9" s="578">
        <v>2.0603243586248499</v>
      </c>
      <c r="E9" s="578">
        <v>2.0653694065802699</v>
      </c>
      <c r="F9" s="578">
        <v>2.0874807762832099</v>
      </c>
      <c r="G9" s="578">
        <v>2.1050400482010199</v>
      </c>
      <c r="H9" s="578">
        <v>2.1154192603458899</v>
      </c>
      <c r="I9" s="578">
        <v>2.1518068200870601</v>
      </c>
      <c r="J9" s="578">
        <v>2.1707783725541501</v>
      </c>
      <c r="K9" s="578">
        <v>2.18783691981761</v>
      </c>
      <c r="L9" s="578">
        <v>2.2132586941521701</v>
      </c>
      <c r="M9" s="578">
        <v>2.2359257447920902</v>
      </c>
      <c r="N9" s="578">
        <v>2.2211869184724802</v>
      </c>
      <c r="O9" s="578">
        <v>2.2326241842019399</v>
      </c>
      <c r="P9" s="578">
        <v>2.25901750728924</v>
      </c>
      <c r="Q9" s="578">
        <v>2.2765164106308</v>
      </c>
      <c r="R9" s="578">
        <v>2.30291395940545</v>
      </c>
      <c r="S9" s="578">
        <v>2.3203732479405201</v>
      </c>
      <c r="T9" s="578">
        <v>2.3642172164480799</v>
      </c>
      <c r="U9" s="578">
        <v>2.4053168355103001</v>
      </c>
      <c r="V9" s="578">
        <v>2.3519755124970101</v>
      </c>
      <c r="W9" s="578">
        <v>2.3408422306286298</v>
      </c>
      <c r="X9" s="578">
        <v>2.3474188487574099</v>
      </c>
      <c r="Y9" s="578">
        <v>2.36722788639723</v>
      </c>
      <c r="Z9" s="578">
        <v>2.38170796623861</v>
      </c>
      <c r="AA9" s="578">
        <v>2.37977560548517</v>
      </c>
      <c r="AB9" s="578">
        <v>2.3845469305921401</v>
      </c>
      <c r="AC9" s="578">
        <v>2.3990494738484398</v>
      </c>
      <c r="AD9" s="578">
        <v>2.4227910394257499</v>
      </c>
      <c r="AE9" s="578">
        <v>2.4330498565991299</v>
      </c>
      <c r="AF9" s="578">
        <v>2.4782592908991101</v>
      </c>
      <c r="AG9" s="578">
        <v>2.48958598393371</v>
      </c>
      <c r="AH9" s="578">
        <v>2.4982528033804701</v>
      </c>
      <c r="AI9" s="578">
        <v>2.5146494553159999</v>
      </c>
      <c r="AJ9" s="578">
        <v>2.52107076869803</v>
      </c>
      <c r="AK9" s="578">
        <v>2.5313114193711401</v>
      </c>
      <c r="AL9" s="578">
        <v>2.5519818070473299</v>
      </c>
      <c r="AM9" s="578">
        <v>2.5588970948066301</v>
      </c>
      <c r="AN9" s="578">
        <v>2.5563607318916199</v>
      </c>
      <c r="AO9" s="578">
        <v>2.5757018498037501</v>
      </c>
      <c r="AP9" s="578">
        <v>2.5903118852466198</v>
      </c>
      <c r="AQ9" s="578">
        <v>2.5984834377108701</v>
      </c>
      <c r="AR9" s="578">
        <v>2.6097667453760698</v>
      </c>
      <c r="AS9" s="578">
        <v>2.6162580136308198</v>
      </c>
      <c r="AT9" s="578">
        <v>2.6185435816407101</v>
      </c>
      <c r="AU9" s="578">
        <v>2.6130742036410601</v>
      </c>
      <c r="AV9" s="578">
        <v>2.6248654931503501</v>
      </c>
      <c r="AW9" s="578">
        <v>2.6210903132751202</v>
      </c>
      <c r="AX9" s="578">
        <v>2.62812001494735</v>
      </c>
      <c r="AY9" s="578">
        <v>2.6195672059792101</v>
      </c>
      <c r="AZ9" s="578">
        <v>2.6445845101286198</v>
      </c>
      <c r="BA9" s="578">
        <v>2.6645119184811499</v>
      </c>
      <c r="BB9" s="578">
        <v>2.6793127669589998</v>
      </c>
      <c r="BC9" s="578">
        <v>2.69196801581622</v>
      </c>
      <c r="BD9" s="578">
        <v>2.6963999173151398</v>
      </c>
      <c r="BE9" s="578">
        <v>2.70820199309592</v>
      </c>
      <c r="BF9" s="578">
        <v>2.7228199938442401</v>
      </c>
      <c r="BG9" s="578">
        <v>2.7581855200157999</v>
      </c>
      <c r="BH9" s="578">
        <v>2.7725868388914199</v>
      </c>
      <c r="BI9" s="578">
        <v>2.7794261240196301</v>
      </c>
      <c r="BJ9" s="578">
        <v>2.79252284616837</v>
      </c>
      <c r="BK9" s="578">
        <v>2.80204068249218</v>
      </c>
      <c r="BL9" s="578">
        <v>2.8122450644763202</v>
      </c>
      <c r="BM9" s="578">
        <v>2.8300584393122699</v>
      </c>
      <c r="BN9" s="578">
        <v>2.84208162724111</v>
      </c>
      <c r="BO9" s="578">
        <v>2.8551686160991401</v>
      </c>
      <c r="BP9" s="578">
        <v>2.8532778182259202</v>
      </c>
      <c r="BQ9" s="578">
        <v>2.8766732544002802</v>
      </c>
      <c r="BR9" s="578">
        <v>2.8982648495135899</v>
      </c>
      <c r="BS9" s="578">
        <v>2.9160216774221999</v>
      </c>
      <c r="BT9" s="578">
        <v>2.9654626403941302</v>
      </c>
      <c r="BU9" s="578">
        <v>3.0081548337632902</v>
      </c>
      <c r="BV9" s="578">
        <v>3.0630482422248799</v>
      </c>
      <c r="BW9" s="578">
        <v>3.1259030163817498</v>
      </c>
      <c r="BX9" s="578">
        <v>3.2014215237569101</v>
      </c>
      <c r="BY9" s="578">
        <v>3.2255363055134101</v>
      </c>
      <c r="BZ9" s="578">
        <v>3.2598916230874599</v>
      </c>
      <c r="CA9" s="578">
        <v>3.2891346677534301</v>
      </c>
      <c r="CB9" s="578">
        <v>3.30621025530152</v>
      </c>
      <c r="CC9" s="578">
        <v>3.3272304548242801</v>
      </c>
      <c r="CD9" s="578">
        <v>3.3506000676307002</v>
      </c>
      <c r="CE9" s="578">
        <v>3.3713855548821599</v>
      </c>
      <c r="CF9" s="578">
        <v>3.3883014039568402</v>
      </c>
      <c r="CG9" s="578">
        <v>3.4080858525713902</v>
      </c>
      <c r="CH9" s="578">
        <v>3.42941797508669</v>
      </c>
      <c r="CI9" s="578">
        <v>3.4464785567767202</v>
      </c>
      <c r="CJ9" s="578">
        <v>3.46378925221474</v>
      </c>
      <c r="CK9" s="578">
        <v>3.4809094361872699</v>
      </c>
      <c r="CL9" s="578">
        <v>3.4992140517661001</v>
      </c>
      <c r="CM9" s="578">
        <v>3.5178797103848898</v>
      </c>
      <c r="CN9" s="578">
        <v>3.53579934508278</v>
      </c>
      <c r="CO9" s="578">
        <v>3.5537903995520801</v>
      </c>
      <c r="CP9" s="578">
        <v>3.5722371267770701</v>
      </c>
      <c r="CQ9" s="578">
        <v>3.5919469703646798</v>
      </c>
      <c r="CR9" s="578">
        <v>3.6114642330203099</v>
      </c>
      <c r="CS9" s="578">
        <v>3.6300819400814999</v>
      </c>
      <c r="CT9" s="578">
        <v>3.6492439952051701</v>
      </c>
    </row>
    <row r="10" spans="1:98" x14ac:dyDescent="0.2">
      <c r="A10" s="574" t="s">
        <v>171</v>
      </c>
      <c r="B10" s="574" t="s">
        <v>172</v>
      </c>
      <c r="C10" s="578">
        <v>2.03516971038266</v>
      </c>
      <c r="D10" s="578">
        <v>2.0603243586248499</v>
      </c>
      <c r="E10" s="578">
        <v>2.0653694065802699</v>
      </c>
      <c r="F10" s="578">
        <v>2.0874807762832099</v>
      </c>
      <c r="G10" s="578">
        <v>2.1050400482010199</v>
      </c>
      <c r="H10" s="578">
        <v>2.1154192603458899</v>
      </c>
      <c r="I10" s="578">
        <v>2.1518068200870601</v>
      </c>
      <c r="J10" s="578">
        <v>2.1707783725541501</v>
      </c>
      <c r="K10" s="578">
        <v>2.18783691981761</v>
      </c>
      <c r="L10" s="578">
        <v>2.2132586941521701</v>
      </c>
      <c r="M10" s="578">
        <v>2.2359257447920902</v>
      </c>
      <c r="N10" s="578">
        <v>2.2211869184724802</v>
      </c>
      <c r="O10" s="578">
        <v>2.2326241842019399</v>
      </c>
      <c r="P10" s="578">
        <v>2.25901750728924</v>
      </c>
      <c r="Q10" s="578">
        <v>2.2765164106308</v>
      </c>
      <c r="R10" s="578">
        <v>2.30291395940545</v>
      </c>
      <c r="S10" s="578">
        <v>2.3203732479405201</v>
      </c>
      <c r="T10" s="578">
        <v>2.3642172164480799</v>
      </c>
      <c r="U10" s="578">
        <v>2.4053168355103001</v>
      </c>
      <c r="V10" s="578">
        <v>2.3519755124970101</v>
      </c>
      <c r="W10" s="578">
        <v>2.3408422306286298</v>
      </c>
      <c r="X10" s="578">
        <v>2.3474188487574099</v>
      </c>
      <c r="Y10" s="578">
        <v>2.36722788639723</v>
      </c>
      <c r="Z10" s="578">
        <v>2.38170796623861</v>
      </c>
      <c r="AA10" s="578">
        <v>2.37977560548517</v>
      </c>
      <c r="AB10" s="578">
        <v>2.3845469305921401</v>
      </c>
      <c r="AC10" s="578">
        <v>2.3990494738484398</v>
      </c>
      <c r="AD10" s="578">
        <v>2.4227910394257499</v>
      </c>
      <c r="AE10" s="578">
        <v>2.4330498565991299</v>
      </c>
      <c r="AF10" s="578">
        <v>2.4782592908991101</v>
      </c>
      <c r="AG10" s="578">
        <v>2.48958598393371</v>
      </c>
      <c r="AH10" s="578">
        <v>2.4982528033804701</v>
      </c>
      <c r="AI10" s="578">
        <v>2.5146494553159999</v>
      </c>
      <c r="AJ10" s="578">
        <v>2.52107076869803</v>
      </c>
      <c r="AK10" s="578">
        <v>2.5313114193711401</v>
      </c>
      <c r="AL10" s="578">
        <v>2.5519818070473299</v>
      </c>
      <c r="AM10" s="578">
        <v>2.5588970948066301</v>
      </c>
      <c r="AN10" s="578">
        <v>2.5563607318916199</v>
      </c>
      <c r="AO10" s="578">
        <v>2.5757018498037501</v>
      </c>
      <c r="AP10" s="578">
        <v>2.5903118852466198</v>
      </c>
      <c r="AQ10" s="578">
        <v>2.5984834377108701</v>
      </c>
      <c r="AR10" s="578">
        <v>2.6097667453760698</v>
      </c>
      <c r="AS10" s="578">
        <v>2.6162580136308198</v>
      </c>
      <c r="AT10" s="578">
        <v>2.6185435816407101</v>
      </c>
      <c r="AU10" s="578">
        <v>2.6130742036410601</v>
      </c>
      <c r="AV10" s="578">
        <v>2.6248654931503501</v>
      </c>
      <c r="AW10" s="578">
        <v>2.6210903132751202</v>
      </c>
      <c r="AX10" s="578">
        <v>2.62812001494735</v>
      </c>
      <c r="AY10" s="578">
        <v>2.6195672059792101</v>
      </c>
      <c r="AZ10" s="578">
        <v>2.6445845101286198</v>
      </c>
      <c r="BA10" s="578">
        <v>2.6645119184811499</v>
      </c>
      <c r="BB10" s="578">
        <v>2.6793127669589998</v>
      </c>
      <c r="BC10" s="578">
        <v>2.69196801581622</v>
      </c>
      <c r="BD10" s="578">
        <v>2.6963999173151398</v>
      </c>
      <c r="BE10" s="578">
        <v>2.70820199309592</v>
      </c>
      <c r="BF10" s="578">
        <v>2.7228199938442401</v>
      </c>
      <c r="BG10" s="578">
        <v>2.7581855200157999</v>
      </c>
      <c r="BH10" s="578">
        <v>2.7725868388914199</v>
      </c>
      <c r="BI10" s="578">
        <v>2.7794261240196301</v>
      </c>
      <c r="BJ10" s="578">
        <v>2.79252284616837</v>
      </c>
      <c r="BK10" s="578">
        <v>2.80204068249218</v>
      </c>
      <c r="BL10" s="578">
        <v>2.8122450644763202</v>
      </c>
      <c r="BM10" s="578">
        <v>2.8300584393122699</v>
      </c>
      <c r="BN10" s="578">
        <v>2.84208162724111</v>
      </c>
      <c r="BO10" s="578">
        <v>2.8551686160991401</v>
      </c>
      <c r="BP10" s="578">
        <v>2.8532778182259202</v>
      </c>
      <c r="BQ10" s="578">
        <v>2.8766732544002802</v>
      </c>
      <c r="BR10" s="578">
        <v>2.8982648495135899</v>
      </c>
      <c r="BS10" s="578">
        <v>2.9160216774221999</v>
      </c>
      <c r="BT10" s="578">
        <v>2.9654626403941302</v>
      </c>
      <c r="BU10" s="578">
        <v>3.0081548337632902</v>
      </c>
      <c r="BV10" s="578">
        <v>3.0630482422248799</v>
      </c>
      <c r="BW10" s="578">
        <v>3.1259030163817498</v>
      </c>
      <c r="BX10" s="578">
        <v>3.2014215237569101</v>
      </c>
      <c r="BY10" s="578">
        <v>3.2538360600876799</v>
      </c>
      <c r="BZ10" s="578">
        <v>3.3031965097870799</v>
      </c>
      <c r="CA10" s="578">
        <v>3.3480395194667398</v>
      </c>
      <c r="CB10" s="578">
        <v>3.3772072582577199</v>
      </c>
      <c r="CC10" s="578">
        <v>3.4094675504554299</v>
      </c>
      <c r="CD10" s="578">
        <v>3.4424749536492398</v>
      </c>
      <c r="CE10" s="578">
        <v>3.4743211894451802</v>
      </c>
      <c r="CF10" s="578">
        <v>3.5006039732964802</v>
      </c>
      <c r="CG10" s="578">
        <v>3.5303989876569202</v>
      </c>
      <c r="CH10" s="578">
        <v>3.5628674447020598</v>
      </c>
      <c r="CI10" s="578">
        <v>3.5914669049492498</v>
      </c>
      <c r="CJ10" s="578">
        <v>3.6209181772272898</v>
      </c>
      <c r="CK10" s="578">
        <v>3.6499561132707901</v>
      </c>
      <c r="CL10" s="578">
        <v>3.6803370088943401</v>
      </c>
      <c r="CM10" s="578">
        <v>3.7115944324369101</v>
      </c>
      <c r="CN10" s="578">
        <v>3.7424449232069499</v>
      </c>
      <c r="CO10" s="578">
        <v>3.7735168503534799</v>
      </c>
      <c r="CP10" s="578">
        <v>3.8051953825342602</v>
      </c>
      <c r="CQ10" s="578">
        <v>3.8381085422962502</v>
      </c>
      <c r="CR10" s="578">
        <v>3.8709313876845499</v>
      </c>
      <c r="CS10" s="578">
        <v>3.9029692393289599</v>
      </c>
      <c r="CT10" s="578">
        <v>3.9358493172804301</v>
      </c>
    </row>
    <row r="12" spans="1:98" x14ac:dyDescent="0.2">
      <c r="C12" s="579"/>
      <c r="D12" s="579"/>
      <c r="E12" s="579"/>
      <c r="F12" s="579"/>
      <c r="G12" s="579"/>
      <c r="H12" s="579"/>
      <c r="I12" s="579"/>
      <c r="J12" s="579"/>
      <c r="K12" s="579"/>
      <c r="L12" s="579"/>
      <c r="M12" s="579"/>
      <c r="N12" s="579"/>
      <c r="O12" s="579"/>
      <c r="P12" s="579"/>
      <c r="Q12" s="579"/>
      <c r="R12" s="579"/>
      <c r="S12" s="579"/>
      <c r="T12" s="579"/>
      <c r="U12" s="579"/>
      <c r="V12" s="579"/>
      <c r="W12" s="579"/>
      <c r="X12" s="579"/>
      <c r="Y12" s="579"/>
      <c r="Z12" s="579"/>
      <c r="AA12" s="579"/>
      <c r="AB12" s="579"/>
      <c r="AC12" s="579"/>
      <c r="AD12" s="579"/>
      <c r="AE12" s="579"/>
      <c r="AF12" s="579"/>
      <c r="AG12" s="579"/>
      <c r="AH12" s="579"/>
      <c r="AI12" s="579"/>
      <c r="AJ12" s="579"/>
      <c r="AK12" s="579"/>
      <c r="AL12" s="579"/>
      <c r="AM12" s="579"/>
      <c r="AN12" s="579"/>
      <c r="AO12" s="579"/>
      <c r="AP12" s="579"/>
      <c r="AQ12" s="579"/>
      <c r="AR12" s="579"/>
      <c r="AS12" s="579"/>
      <c r="AT12" s="579"/>
    </row>
    <row r="13" spans="1:98" x14ac:dyDescent="0.2">
      <c r="C13" s="579"/>
      <c r="D13" s="579"/>
      <c r="E13" s="579"/>
      <c r="F13" s="579"/>
      <c r="G13" s="579"/>
      <c r="H13" s="579"/>
      <c r="I13" s="579"/>
      <c r="J13" s="579"/>
      <c r="K13" s="579"/>
      <c r="L13" s="579"/>
      <c r="M13" s="579"/>
      <c r="N13" s="579"/>
      <c r="O13" s="579"/>
      <c r="P13" s="579"/>
      <c r="Q13" s="579"/>
      <c r="R13" s="579"/>
      <c r="S13" s="579"/>
      <c r="T13" s="579"/>
      <c r="U13" s="579"/>
      <c r="V13" s="579"/>
      <c r="W13" s="579"/>
      <c r="X13" s="579"/>
      <c r="Y13" s="579"/>
      <c r="Z13" s="579"/>
      <c r="AA13" s="579"/>
      <c r="AB13" s="579"/>
      <c r="AC13" s="579"/>
      <c r="AD13" s="579"/>
      <c r="AE13" s="579"/>
      <c r="AF13" s="579"/>
      <c r="AG13" s="579"/>
      <c r="AH13" s="579"/>
      <c r="AI13" s="579"/>
      <c r="AJ13" s="579"/>
      <c r="AK13" s="579"/>
      <c r="AL13" s="579"/>
      <c r="AM13" s="579"/>
      <c r="AN13" s="579"/>
      <c r="AO13" s="579"/>
      <c r="AP13" s="579"/>
      <c r="AQ13" s="579"/>
      <c r="AR13" s="579"/>
      <c r="AS13" s="579"/>
      <c r="AT13" s="579"/>
    </row>
    <row r="14" spans="1:98" x14ac:dyDescent="0.2">
      <c r="C14" s="578"/>
      <c r="D14" s="578"/>
      <c r="E14" s="578"/>
      <c r="F14" s="578"/>
      <c r="G14" s="578"/>
      <c r="H14" s="578"/>
      <c r="I14" s="578"/>
      <c r="J14" s="578"/>
      <c r="K14" s="578"/>
      <c r="L14" s="578"/>
      <c r="M14" s="578"/>
      <c r="N14" s="578"/>
      <c r="O14" s="578"/>
      <c r="P14" s="578"/>
      <c r="Q14" s="578"/>
      <c r="R14" s="578"/>
      <c r="S14" s="578"/>
      <c r="T14" s="578"/>
      <c r="U14" s="578"/>
      <c r="V14" s="578"/>
      <c r="W14" s="578"/>
      <c r="X14" s="578"/>
      <c r="Y14" s="578"/>
      <c r="Z14" s="578"/>
      <c r="AA14" s="578"/>
      <c r="AB14" s="578"/>
      <c r="AC14" s="578"/>
      <c r="AD14" s="578"/>
      <c r="AE14" s="578"/>
      <c r="AF14" s="578"/>
      <c r="AG14" s="578"/>
      <c r="AH14" s="578"/>
      <c r="AI14" s="578"/>
      <c r="AJ14" s="578"/>
      <c r="AK14" s="578"/>
      <c r="AL14" s="578"/>
      <c r="AM14" s="578"/>
      <c r="AN14" s="578"/>
      <c r="AO14" s="578"/>
      <c r="AP14" s="578"/>
      <c r="AQ14" s="578"/>
      <c r="AR14" s="578"/>
      <c r="AS14" s="578"/>
      <c r="AT14" s="578"/>
      <c r="BX14" s="580" t="s">
        <v>173</v>
      </c>
      <c r="BY14" s="581"/>
      <c r="BZ14" s="581"/>
      <c r="CA14" s="582" t="s">
        <v>449</v>
      </c>
      <c r="CB14" s="583"/>
      <c r="CC14" s="583"/>
      <c r="CD14" s="583"/>
      <c r="CE14" s="583"/>
      <c r="CF14" s="583"/>
      <c r="CG14" s="581"/>
      <c r="CH14" s="581"/>
      <c r="CI14" s="581"/>
    </row>
    <row r="15" spans="1:98" x14ac:dyDescent="0.2">
      <c r="C15" s="578"/>
      <c r="D15" s="578"/>
      <c r="E15" s="578"/>
      <c r="F15" s="578"/>
      <c r="G15" s="578"/>
      <c r="H15" s="578"/>
      <c r="I15" s="578"/>
      <c r="J15" s="578"/>
      <c r="K15" s="578"/>
      <c r="L15" s="578"/>
      <c r="M15" s="578"/>
      <c r="N15" s="578"/>
      <c r="O15" s="578"/>
      <c r="P15" s="578"/>
      <c r="Q15" s="578"/>
      <c r="R15" s="578"/>
      <c r="S15" s="578"/>
      <c r="T15" s="578"/>
      <c r="U15" s="578"/>
      <c r="V15" s="578"/>
      <c r="W15" s="578"/>
      <c r="X15" s="578"/>
      <c r="Y15" s="578"/>
      <c r="Z15" s="578"/>
      <c r="AA15" s="578"/>
      <c r="AB15" s="578"/>
      <c r="AC15" s="578"/>
      <c r="AD15" s="578"/>
      <c r="AE15" s="578"/>
      <c r="AF15" s="578"/>
      <c r="AG15" s="578"/>
      <c r="AH15" s="578"/>
      <c r="AI15" s="578"/>
      <c r="AJ15" s="578"/>
      <c r="AK15" s="578"/>
      <c r="AL15" s="578"/>
      <c r="AM15" s="578"/>
      <c r="AN15" s="578"/>
      <c r="AO15" s="578"/>
      <c r="AP15" s="578"/>
      <c r="AQ15" s="578"/>
      <c r="AR15" s="578"/>
      <c r="AS15" s="578"/>
      <c r="AT15" s="578"/>
      <c r="BX15" s="584"/>
      <c r="BY15" s="585"/>
      <c r="BZ15" s="585"/>
      <c r="CA15" s="585"/>
      <c r="CB15" s="585"/>
      <c r="CC15" s="585"/>
      <c r="CD15" s="585"/>
      <c r="CE15" s="585"/>
      <c r="CF15" s="585"/>
      <c r="CG15" s="585"/>
      <c r="CH15" s="585"/>
      <c r="CI15" s="586"/>
    </row>
    <row r="16" spans="1:98" x14ac:dyDescent="0.2">
      <c r="C16" s="578"/>
      <c r="D16" s="578"/>
      <c r="E16" s="578"/>
      <c r="F16" s="578"/>
      <c r="G16" s="578"/>
      <c r="H16" s="578"/>
      <c r="I16" s="578"/>
      <c r="J16" s="578"/>
      <c r="K16" s="578"/>
      <c r="L16" s="578"/>
      <c r="M16" s="578"/>
      <c r="N16" s="578"/>
      <c r="O16" s="578"/>
      <c r="P16" s="578"/>
      <c r="Q16" s="578"/>
      <c r="R16" s="578"/>
      <c r="S16" s="578"/>
      <c r="T16" s="578"/>
      <c r="U16" s="578"/>
      <c r="V16" s="578"/>
      <c r="W16" s="578"/>
      <c r="X16" s="578"/>
      <c r="Y16" s="578"/>
      <c r="Z16" s="578"/>
      <c r="AA16" s="578"/>
      <c r="AB16" s="578"/>
      <c r="AC16" s="578"/>
      <c r="AD16" s="578"/>
      <c r="AE16" s="578"/>
      <c r="AF16" s="578"/>
      <c r="AG16" s="578"/>
      <c r="AH16" s="578"/>
      <c r="AI16" s="578"/>
      <c r="AJ16" s="578"/>
      <c r="AK16" s="578"/>
      <c r="AL16" s="578"/>
      <c r="AM16" s="578"/>
      <c r="AN16" s="578"/>
      <c r="AO16" s="578"/>
      <c r="AP16" s="578"/>
      <c r="AQ16" s="578"/>
      <c r="AR16" s="578"/>
      <c r="AS16" s="578"/>
      <c r="AT16" s="578"/>
      <c r="BX16" s="587"/>
      <c r="BY16" s="588" t="s">
        <v>175</v>
      </c>
      <c r="BZ16" s="589" t="s">
        <v>450</v>
      </c>
      <c r="CA16" s="581"/>
      <c r="CB16" s="581"/>
      <c r="CC16" s="581"/>
      <c r="CD16" s="581"/>
      <c r="CE16" s="581"/>
      <c r="CF16" s="581"/>
      <c r="CG16" s="581"/>
      <c r="CH16" s="581"/>
      <c r="CI16" s="590"/>
    </row>
    <row r="17" spans="3:87" x14ac:dyDescent="0.2">
      <c r="C17" s="591"/>
      <c r="D17" s="591"/>
      <c r="E17" s="591"/>
      <c r="F17" s="591"/>
      <c r="G17" s="591"/>
      <c r="H17" s="591"/>
      <c r="I17" s="591"/>
      <c r="J17" s="591"/>
      <c r="K17" s="591"/>
      <c r="L17" s="591"/>
      <c r="M17" s="591"/>
      <c r="N17" s="591"/>
      <c r="O17" s="591"/>
      <c r="P17" s="591"/>
      <c r="Q17" s="591"/>
      <c r="R17" s="591"/>
      <c r="S17" s="591"/>
      <c r="T17" s="591"/>
      <c r="U17" s="591"/>
      <c r="V17" s="591"/>
      <c r="W17" s="591"/>
      <c r="X17" s="591"/>
      <c r="Y17" s="591"/>
      <c r="Z17" s="591"/>
      <c r="AA17" s="591"/>
      <c r="AB17" s="591"/>
      <c r="AC17" s="591"/>
      <c r="AD17" s="591"/>
      <c r="AE17" s="591"/>
      <c r="AF17" s="591"/>
      <c r="AG17" s="591"/>
      <c r="AH17" s="591"/>
      <c r="AI17" s="591"/>
      <c r="AJ17" s="591"/>
      <c r="AK17" s="591"/>
      <c r="AL17" s="591"/>
      <c r="AM17" s="591"/>
      <c r="AN17" s="591"/>
      <c r="AO17" s="591"/>
      <c r="AP17" s="591"/>
      <c r="BX17" s="587"/>
      <c r="BY17" s="581"/>
      <c r="BZ17" s="592" t="str">
        <f>CB7</f>
        <v>2023Q2</v>
      </c>
      <c r="CA17" s="581"/>
      <c r="CB17" s="581"/>
      <c r="CC17" s="581"/>
      <c r="CD17" s="581"/>
      <c r="CE17" s="581"/>
      <c r="CF17" s="581"/>
      <c r="CG17" s="581"/>
      <c r="CH17" s="581"/>
      <c r="CI17" s="593" t="s">
        <v>176</v>
      </c>
    </row>
    <row r="18" spans="3:87" x14ac:dyDescent="0.2">
      <c r="BX18" s="587"/>
      <c r="BY18" s="581"/>
      <c r="BZ18" s="594">
        <f>CB9</f>
        <v>3.30621025530152</v>
      </c>
      <c r="CA18" s="581"/>
      <c r="CB18" s="581"/>
      <c r="CC18" s="581"/>
      <c r="CD18" s="581"/>
      <c r="CE18" s="581"/>
      <c r="CF18" s="581"/>
      <c r="CG18" s="581"/>
      <c r="CH18" s="581"/>
      <c r="CI18" s="595">
        <f>BZ18</f>
        <v>3.30621025530152</v>
      </c>
    </row>
    <row r="19" spans="3:87" x14ac:dyDescent="0.2">
      <c r="BX19" s="587"/>
      <c r="BY19" s="581"/>
      <c r="BZ19" s="581"/>
      <c r="CA19" s="581"/>
      <c r="CB19" s="581"/>
      <c r="CC19" s="581"/>
      <c r="CD19" s="581"/>
      <c r="CE19" s="581"/>
      <c r="CF19" s="581"/>
      <c r="CG19" s="581"/>
      <c r="CH19" s="581"/>
      <c r="CI19" s="596"/>
    </row>
    <row r="20" spans="3:87" x14ac:dyDescent="0.2">
      <c r="BX20" s="1890" t="s">
        <v>177</v>
      </c>
      <c r="BY20" s="1891"/>
      <c r="BZ20" s="1891"/>
      <c r="CA20" s="581" t="s">
        <v>451</v>
      </c>
      <c r="CB20" s="581"/>
      <c r="CC20" s="581"/>
      <c r="CD20" s="581"/>
      <c r="CE20" s="581"/>
      <c r="CF20" s="581"/>
      <c r="CG20" s="581"/>
      <c r="CH20" s="581"/>
      <c r="CI20" s="596"/>
    </row>
    <row r="21" spans="3:87" x14ac:dyDescent="0.2">
      <c r="BX21" s="597"/>
      <c r="BY21" s="588"/>
      <c r="BZ21" s="574" t="str">
        <f>CC7</f>
        <v>2023Q3</v>
      </c>
      <c r="CA21" s="574" t="str">
        <f t="shared" ref="CA21:CG21" si="0">CD7</f>
        <v>2023Q4</v>
      </c>
      <c r="CB21" s="574" t="str">
        <f t="shared" si="0"/>
        <v>2024Q1</v>
      </c>
      <c r="CC21" s="574" t="str">
        <f t="shared" si="0"/>
        <v>2024Q2</v>
      </c>
      <c r="CD21" s="574" t="str">
        <f t="shared" si="0"/>
        <v>2024Q3</v>
      </c>
      <c r="CE21" s="574" t="str">
        <f t="shared" si="0"/>
        <v>2024Q4</v>
      </c>
      <c r="CF21" s="574" t="str">
        <f t="shared" si="0"/>
        <v>2025Q1</v>
      </c>
      <c r="CG21" s="574" t="str">
        <f t="shared" si="0"/>
        <v>2025Q2</v>
      </c>
      <c r="CH21" s="581"/>
      <c r="CI21" s="596"/>
    </row>
    <row r="22" spans="3:87" x14ac:dyDescent="0.2">
      <c r="BX22" s="587"/>
      <c r="BY22" s="581"/>
      <c r="BZ22" s="578">
        <f>CC9</f>
        <v>3.3272304548242801</v>
      </c>
      <c r="CA22" s="578">
        <f t="shared" ref="CA22:CG22" si="1">CD9</f>
        <v>3.3506000676307002</v>
      </c>
      <c r="CB22" s="578">
        <f t="shared" si="1"/>
        <v>3.3713855548821599</v>
      </c>
      <c r="CC22" s="578">
        <f t="shared" si="1"/>
        <v>3.3883014039568402</v>
      </c>
      <c r="CD22" s="578">
        <f t="shared" si="1"/>
        <v>3.4080858525713902</v>
      </c>
      <c r="CE22" s="578">
        <f t="shared" si="1"/>
        <v>3.42941797508669</v>
      </c>
      <c r="CF22" s="578">
        <f t="shared" si="1"/>
        <v>3.4464785567767202</v>
      </c>
      <c r="CG22" s="578">
        <f t="shared" si="1"/>
        <v>3.46378925221474</v>
      </c>
      <c r="CH22" s="581"/>
      <c r="CI22" s="595">
        <f>AVERAGE(BZ22:CG22)</f>
        <v>3.3981611397429399</v>
      </c>
    </row>
    <row r="23" spans="3:87" x14ac:dyDescent="0.2">
      <c r="BX23" s="587"/>
      <c r="BY23" s="581"/>
      <c r="BZ23" s="581"/>
      <c r="CA23" s="581"/>
      <c r="CB23" s="581"/>
      <c r="CC23" s="581"/>
      <c r="CD23" s="581"/>
      <c r="CE23" s="581"/>
      <c r="CF23" s="581"/>
      <c r="CG23" s="581"/>
      <c r="CH23" s="581"/>
      <c r="CI23" s="596"/>
    </row>
    <row r="24" spans="3:87" x14ac:dyDescent="0.2">
      <c r="BX24" s="587"/>
      <c r="BY24" s="581"/>
      <c r="BZ24" s="581"/>
      <c r="CA24" s="581"/>
      <c r="CB24" s="581"/>
      <c r="CC24" s="581"/>
      <c r="CD24" s="581"/>
      <c r="CE24" s="581"/>
      <c r="CF24" s="581"/>
      <c r="CG24" s="581"/>
      <c r="CH24" s="598" t="s">
        <v>179</v>
      </c>
      <c r="CI24" s="565">
        <f>(CI22-CI18)/CI18</f>
        <v>2.7811565914169036E-2</v>
      </c>
    </row>
    <row r="25" spans="3:87" x14ac:dyDescent="0.2">
      <c r="BX25" s="599"/>
      <c r="BY25" s="600"/>
      <c r="BZ25" s="600"/>
      <c r="CA25" s="600"/>
      <c r="CB25" s="600"/>
      <c r="CC25" s="600"/>
      <c r="CD25" s="600"/>
      <c r="CE25" s="600"/>
      <c r="CF25" s="600"/>
      <c r="CG25" s="600"/>
      <c r="CH25" s="600"/>
      <c r="CI25" s="601"/>
    </row>
    <row r="28" spans="3:87" x14ac:dyDescent="0.2">
      <c r="CD28" s="569" t="s">
        <v>241</v>
      </c>
    </row>
  </sheetData>
  <mergeCells count="2">
    <mergeCell ref="A1:B1"/>
    <mergeCell ref="BX20:BZ20"/>
  </mergeCells>
  <pageMargins left="0.25" right="0.25" top="1" bottom="1" header="0.5" footer="0.5"/>
  <pageSetup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F81E0-68FA-4B93-B972-503932EC64E6}">
  <dimension ref="A1:CI25"/>
  <sheetViews>
    <sheetView topLeftCell="BL7" workbookViewId="0">
      <selection activeCell="CB18" sqref="CB18"/>
    </sheetView>
  </sheetViews>
  <sheetFormatPr defaultRowHeight="12.75" x14ac:dyDescent="0.2"/>
  <cols>
    <col min="1" max="1" width="38.42578125" style="523" customWidth="1"/>
    <col min="2" max="2" width="12.85546875" style="528" customWidth="1"/>
    <col min="3" max="67" width="7.7109375" style="523" customWidth="1"/>
    <col min="68" max="68" width="8.140625" style="523" bestFit="1" customWidth="1"/>
    <col min="69" max="82" width="7.7109375" style="523" customWidth="1"/>
    <col min="83" max="256" width="9.140625" style="523"/>
    <col min="257" max="257" width="38.42578125" style="523" customWidth="1"/>
    <col min="258" max="258" width="12.85546875" style="523" customWidth="1"/>
    <col min="259" max="323" width="7.7109375" style="523" customWidth="1"/>
    <col min="324" max="324" width="8.140625" style="523" bestFit="1" customWidth="1"/>
    <col min="325" max="338" width="7.7109375" style="523" customWidth="1"/>
    <col min="339" max="512" width="9.140625" style="523"/>
    <col min="513" max="513" width="38.42578125" style="523" customWidth="1"/>
    <col min="514" max="514" width="12.85546875" style="523" customWidth="1"/>
    <col min="515" max="579" width="7.7109375" style="523" customWidth="1"/>
    <col min="580" max="580" width="8.140625" style="523" bestFit="1" customWidth="1"/>
    <col min="581" max="594" width="7.7109375" style="523" customWidth="1"/>
    <col min="595" max="768" width="9.140625" style="523"/>
    <col min="769" max="769" width="38.42578125" style="523" customWidth="1"/>
    <col min="770" max="770" width="12.85546875" style="523" customWidth="1"/>
    <col min="771" max="835" width="7.7109375" style="523" customWidth="1"/>
    <col min="836" max="836" width="8.140625" style="523" bestFit="1" customWidth="1"/>
    <col min="837" max="850" width="7.7109375" style="523" customWidth="1"/>
    <col min="851" max="1024" width="9.140625" style="523"/>
    <col min="1025" max="1025" width="38.42578125" style="523" customWidth="1"/>
    <col min="1026" max="1026" width="12.85546875" style="523" customWidth="1"/>
    <col min="1027" max="1091" width="7.7109375" style="523" customWidth="1"/>
    <col min="1092" max="1092" width="8.140625" style="523" bestFit="1" customWidth="1"/>
    <col min="1093" max="1106" width="7.7109375" style="523" customWidth="1"/>
    <col min="1107" max="1280" width="9.140625" style="523"/>
    <col min="1281" max="1281" width="38.42578125" style="523" customWidth="1"/>
    <col min="1282" max="1282" width="12.85546875" style="523" customWidth="1"/>
    <col min="1283" max="1347" width="7.7109375" style="523" customWidth="1"/>
    <col min="1348" max="1348" width="8.140625" style="523" bestFit="1" customWidth="1"/>
    <col min="1349" max="1362" width="7.7109375" style="523" customWidth="1"/>
    <col min="1363" max="1536" width="9.140625" style="523"/>
    <col min="1537" max="1537" width="38.42578125" style="523" customWidth="1"/>
    <col min="1538" max="1538" width="12.85546875" style="523" customWidth="1"/>
    <col min="1539" max="1603" width="7.7109375" style="523" customWidth="1"/>
    <col min="1604" max="1604" width="8.140625" style="523" bestFit="1" customWidth="1"/>
    <col min="1605" max="1618" width="7.7109375" style="523" customWidth="1"/>
    <col min="1619" max="1792" width="9.140625" style="523"/>
    <col min="1793" max="1793" width="38.42578125" style="523" customWidth="1"/>
    <col min="1794" max="1794" width="12.85546875" style="523" customWidth="1"/>
    <col min="1795" max="1859" width="7.7109375" style="523" customWidth="1"/>
    <col min="1860" max="1860" width="8.140625" style="523" bestFit="1" customWidth="1"/>
    <col min="1861" max="1874" width="7.7109375" style="523" customWidth="1"/>
    <col min="1875" max="2048" width="9.140625" style="523"/>
    <col min="2049" max="2049" width="38.42578125" style="523" customWidth="1"/>
    <col min="2050" max="2050" width="12.85546875" style="523" customWidth="1"/>
    <col min="2051" max="2115" width="7.7109375" style="523" customWidth="1"/>
    <col min="2116" max="2116" width="8.140625" style="523" bestFit="1" customWidth="1"/>
    <col min="2117" max="2130" width="7.7109375" style="523" customWidth="1"/>
    <col min="2131" max="2304" width="9.140625" style="523"/>
    <col min="2305" max="2305" width="38.42578125" style="523" customWidth="1"/>
    <col min="2306" max="2306" width="12.85546875" style="523" customWidth="1"/>
    <col min="2307" max="2371" width="7.7109375" style="523" customWidth="1"/>
    <col min="2372" max="2372" width="8.140625" style="523" bestFit="1" customWidth="1"/>
    <col min="2373" max="2386" width="7.7109375" style="523" customWidth="1"/>
    <col min="2387" max="2560" width="9.140625" style="523"/>
    <col min="2561" max="2561" width="38.42578125" style="523" customWidth="1"/>
    <col min="2562" max="2562" width="12.85546875" style="523" customWidth="1"/>
    <col min="2563" max="2627" width="7.7109375" style="523" customWidth="1"/>
    <col min="2628" max="2628" width="8.140625" style="523" bestFit="1" customWidth="1"/>
    <col min="2629" max="2642" width="7.7109375" style="523" customWidth="1"/>
    <col min="2643" max="2816" width="9.140625" style="523"/>
    <col min="2817" max="2817" width="38.42578125" style="523" customWidth="1"/>
    <col min="2818" max="2818" width="12.85546875" style="523" customWidth="1"/>
    <col min="2819" max="2883" width="7.7109375" style="523" customWidth="1"/>
    <col min="2884" max="2884" width="8.140625" style="523" bestFit="1" customWidth="1"/>
    <col min="2885" max="2898" width="7.7109375" style="523" customWidth="1"/>
    <col min="2899" max="3072" width="9.140625" style="523"/>
    <col min="3073" max="3073" width="38.42578125" style="523" customWidth="1"/>
    <col min="3074" max="3074" width="12.85546875" style="523" customWidth="1"/>
    <col min="3075" max="3139" width="7.7109375" style="523" customWidth="1"/>
    <col min="3140" max="3140" width="8.140625" style="523" bestFit="1" customWidth="1"/>
    <col min="3141" max="3154" width="7.7109375" style="523" customWidth="1"/>
    <col min="3155" max="3328" width="9.140625" style="523"/>
    <col min="3329" max="3329" width="38.42578125" style="523" customWidth="1"/>
    <col min="3330" max="3330" width="12.85546875" style="523" customWidth="1"/>
    <col min="3331" max="3395" width="7.7109375" style="523" customWidth="1"/>
    <col min="3396" max="3396" width="8.140625" style="523" bestFit="1" customWidth="1"/>
    <col min="3397" max="3410" width="7.7109375" style="523" customWidth="1"/>
    <col min="3411" max="3584" width="9.140625" style="523"/>
    <col min="3585" max="3585" width="38.42578125" style="523" customWidth="1"/>
    <col min="3586" max="3586" width="12.85546875" style="523" customWidth="1"/>
    <col min="3587" max="3651" width="7.7109375" style="523" customWidth="1"/>
    <col min="3652" max="3652" width="8.140625" style="523" bestFit="1" customWidth="1"/>
    <col min="3653" max="3666" width="7.7109375" style="523" customWidth="1"/>
    <col min="3667" max="3840" width="9.140625" style="523"/>
    <col min="3841" max="3841" width="38.42578125" style="523" customWidth="1"/>
    <col min="3842" max="3842" width="12.85546875" style="523" customWidth="1"/>
    <col min="3843" max="3907" width="7.7109375" style="523" customWidth="1"/>
    <col min="3908" max="3908" width="8.140625" style="523" bestFit="1" customWidth="1"/>
    <col min="3909" max="3922" width="7.7109375" style="523" customWidth="1"/>
    <col min="3923" max="4096" width="9.140625" style="523"/>
    <col min="4097" max="4097" width="38.42578125" style="523" customWidth="1"/>
    <col min="4098" max="4098" width="12.85546875" style="523" customWidth="1"/>
    <col min="4099" max="4163" width="7.7109375" style="523" customWidth="1"/>
    <col min="4164" max="4164" width="8.140625" style="523" bestFit="1" customWidth="1"/>
    <col min="4165" max="4178" width="7.7109375" style="523" customWidth="1"/>
    <col min="4179" max="4352" width="9.140625" style="523"/>
    <col min="4353" max="4353" width="38.42578125" style="523" customWidth="1"/>
    <col min="4354" max="4354" width="12.85546875" style="523" customWidth="1"/>
    <col min="4355" max="4419" width="7.7109375" style="523" customWidth="1"/>
    <col min="4420" max="4420" width="8.140625" style="523" bestFit="1" customWidth="1"/>
    <col min="4421" max="4434" width="7.7109375" style="523" customWidth="1"/>
    <col min="4435" max="4608" width="9.140625" style="523"/>
    <col min="4609" max="4609" width="38.42578125" style="523" customWidth="1"/>
    <col min="4610" max="4610" width="12.85546875" style="523" customWidth="1"/>
    <col min="4611" max="4675" width="7.7109375" style="523" customWidth="1"/>
    <col min="4676" max="4676" width="8.140625" style="523" bestFit="1" customWidth="1"/>
    <col min="4677" max="4690" width="7.7109375" style="523" customWidth="1"/>
    <col min="4691" max="4864" width="9.140625" style="523"/>
    <col min="4865" max="4865" width="38.42578125" style="523" customWidth="1"/>
    <col min="4866" max="4866" width="12.85546875" style="523" customWidth="1"/>
    <col min="4867" max="4931" width="7.7109375" style="523" customWidth="1"/>
    <col min="4932" max="4932" width="8.140625" style="523" bestFit="1" customWidth="1"/>
    <col min="4933" max="4946" width="7.7109375" style="523" customWidth="1"/>
    <col min="4947" max="5120" width="9.140625" style="523"/>
    <col min="5121" max="5121" width="38.42578125" style="523" customWidth="1"/>
    <col min="5122" max="5122" width="12.85546875" style="523" customWidth="1"/>
    <col min="5123" max="5187" width="7.7109375" style="523" customWidth="1"/>
    <col min="5188" max="5188" width="8.140625" style="523" bestFit="1" customWidth="1"/>
    <col min="5189" max="5202" width="7.7109375" style="523" customWidth="1"/>
    <col min="5203" max="5376" width="9.140625" style="523"/>
    <col min="5377" max="5377" width="38.42578125" style="523" customWidth="1"/>
    <col min="5378" max="5378" width="12.85546875" style="523" customWidth="1"/>
    <col min="5379" max="5443" width="7.7109375" style="523" customWidth="1"/>
    <col min="5444" max="5444" width="8.140625" style="523" bestFit="1" customWidth="1"/>
    <col min="5445" max="5458" width="7.7109375" style="523" customWidth="1"/>
    <col min="5459" max="5632" width="9.140625" style="523"/>
    <col min="5633" max="5633" width="38.42578125" style="523" customWidth="1"/>
    <col min="5634" max="5634" width="12.85546875" style="523" customWidth="1"/>
    <col min="5635" max="5699" width="7.7109375" style="523" customWidth="1"/>
    <col min="5700" max="5700" width="8.140625" style="523" bestFit="1" customWidth="1"/>
    <col min="5701" max="5714" width="7.7109375" style="523" customWidth="1"/>
    <col min="5715" max="5888" width="9.140625" style="523"/>
    <col min="5889" max="5889" width="38.42578125" style="523" customWidth="1"/>
    <col min="5890" max="5890" width="12.85546875" style="523" customWidth="1"/>
    <col min="5891" max="5955" width="7.7109375" style="523" customWidth="1"/>
    <col min="5956" max="5956" width="8.140625" style="523" bestFit="1" customWidth="1"/>
    <col min="5957" max="5970" width="7.7109375" style="523" customWidth="1"/>
    <col min="5971" max="6144" width="9.140625" style="523"/>
    <col min="6145" max="6145" width="38.42578125" style="523" customWidth="1"/>
    <col min="6146" max="6146" width="12.85546875" style="523" customWidth="1"/>
    <col min="6147" max="6211" width="7.7109375" style="523" customWidth="1"/>
    <col min="6212" max="6212" width="8.140625" style="523" bestFit="1" customWidth="1"/>
    <col min="6213" max="6226" width="7.7109375" style="523" customWidth="1"/>
    <col min="6227" max="6400" width="9.140625" style="523"/>
    <col min="6401" max="6401" width="38.42578125" style="523" customWidth="1"/>
    <col min="6402" max="6402" width="12.85546875" style="523" customWidth="1"/>
    <col min="6403" max="6467" width="7.7109375" style="523" customWidth="1"/>
    <col min="6468" max="6468" width="8.140625" style="523" bestFit="1" customWidth="1"/>
    <col min="6469" max="6482" width="7.7109375" style="523" customWidth="1"/>
    <col min="6483" max="6656" width="9.140625" style="523"/>
    <col min="6657" max="6657" width="38.42578125" style="523" customWidth="1"/>
    <col min="6658" max="6658" width="12.85546875" style="523" customWidth="1"/>
    <col min="6659" max="6723" width="7.7109375" style="523" customWidth="1"/>
    <col min="6724" max="6724" width="8.140625" style="523" bestFit="1" customWidth="1"/>
    <col min="6725" max="6738" width="7.7109375" style="523" customWidth="1"/>
    <col min="6739" max="6912" width="9.140625" style="523"/>
    <col min="6913" max="6913" width="38.42578125" style="523" customWidth="1"/>
    <col min="6914" max="6914" width="12.85546875" style="523" customWidth="1"/>
    <col min="6915" max="6979" width="7.7109375" style="523" customWidth="1"/>
    <col min="6980" max="6980" width="8.140625" style="523" bestFit="1" customWidth="1"/>
    <col min="6981" max="6994" width="7.7109375" style="523" customWidth="1"/>
    <col min="6995" max="7168" width="9.140625" style="523"/>
    <col min="7169" max="7169" width="38.42578125" style="523" customWidth="1"/>
    <col min="7170" max="7170" width="12.85546875" style="523" customWidth="1"/>
    <col min="7171" max="7235" width="7.7109375" style="523" customWidth="1"/>
    <col min="7236" max="7236" width="8.140625" style="523" bestFit="1" customWidth="1"/>
    <col min="7237" max="7250" width="7.7109375" style="523" customWidth="1"/>
    <col min="7251" max="7424" width="9.140625" style="523"/>
    <col min="7425" max="7425" width="38.42578125" style="523" customWidth="1"/>
    <col min="7426" max="7426" width="12.85546875" style="523" customWidth="1"/>
    <col min="7427" max="7491" width="7.7109375" style="523" customWidth="1"/>
    <col min="7492" max="7492" width="8.140625" style="523" bestFit="1" customWidth="1"/>
    <col min="7493" max="7506" width="7.7109375" style="523" customWidth="1"/>
    <col min="7507" max="7680" width="9.140625" style="523"/>
    <col min="7681" max="7681" width="38.42578125" style="523" customWidth="1"/>
    <col min="7682" max="7682" width="12.85546875" style="523" customWidth="1"/>
    <col min="7683" max="7747" width="7.7109375" style="523" customWidth="1"/>
    <col min="7748" max="7748" width="8.140625" style="523" bestFit="1" customWidth="1"/>
    <col min="7749" max="7762" width="7.7109375" style="523" customWidth="1"/>
    <col min="7763" max="7936" width="9.140625" style="523"/>
    <col min="7937" max="7937" width="38.42578125" style="523" customWidth="1"/>
    <col min="7938" max="7938" width="12.85546875" style="523" customWidth="1"/>
    <col min="7939" max="8003" width="7.7109375" style="523" customWidth="1"/>
    <col min="8004" max="8004" width="8.140625" style="523" bestFit="1" customWidth="1"/>
    <col min="8005" max="8018" width="7.7109375" style="523" customWidth="1"/>
    <col min="8019" max="8192" width="9.140625" style="523"/>
    <col min="8193" max="8193" width="38.42578125" style="523" customWidth="1"/>
    <col min="8194" max="8194" width="12.85546875" style="523" customWidth="1"/>
    <col min="8195" max="8259" width="7.7109375" style="523" customWidth="1"/>
    <col min="8260" max="8260" width="8.140625" style="523" bestFit="1" customWidth="1"/>
    <col min="8261" max="8274" width="7.7109375" style="523" customWidth="1"/>
    <col min="8275" max="8448" width="9.140625" style="523"/>
    <col min="8449" max="8449" width="38.42578125" style="523" customWidth="1"/>
    <col min="8450" max="8450" width="12.85546875" style="523" customWidth="1"/>
    <col min="8451" max="8515" width="7.7109375" style="523" customWidth="1"/>
    <col min="8516" max="8516" width="8.140625" style="523" bestFit="1" customWidth="1"/>
    <col min="8517" max="8530" width="7.7109375" style="523" customWidth="1"/>
    <col min="8531" max="8704" width="9.140625" style="523"/>
    <col min="8705" max="8705" width="38.42578125" style="523" customWidth="1"/>
    <col min="8706" max="8706" width="12.85546875" style="523" customWidth="1"/>
    <col min="8707" max="8771" width="7.7109375" style="523" customWidth="1"/>
    <col min="8772" max="8772" width="8.140625" style="523" bestFit="1" customWidth="1"/>
    <col min="8773" max="8786" width="7.7109375" style="523" customWidth="1"/>
    <col min="8787" max="8960" width="9.140625" style="523"/>
    <col min="8961" max="8961" width="38.42578125" style="523" customWidth="1"/>
    <col min="8962" max="8962" width="12.85546875" style="523" customWidth="1"/>
    <col min="8963" max="9027" width="7.7109375" style="523" customWidth="1"/>
    <col min="9028" max="9028" width="8.140625" style="523" bestFit="1" customWidth="1"/>
    <col min="9029" max="9042" width="7.7109375" style="523" customWidth="1"/>
    <col min="9043" max="9216" width="9.140625" style="523"/>
    <col min="9217" max="9217" width="38.42578125" style="523" customWidth="1"/>
    <col min="9218" max="9218" width="12.85546875" style="523" customWidth="1"/>
    <col min="9219" max="9283" width="7.7109375" style="523" customWidth="1"/>
    <col min="9284" max="9284" width="8.140625" style="523" bestFit="1" customWidth="1"/>
    <col min="9285" max="9298" width="7.7109375" style="523" customWidth="1"/>
    <col min="9299" max="9472" width="9.140625" style="523"/>
    <col min="9473" max="9473" width="38.42578125" style="523" customWidth="1"/>
    <col min="9474" max="9474" width="12.85546875" style="523" customWidth="1"/>
    <col min="9475" max="9539" width="7.7109375" style="523" customWidth="1"/>
    <col min="9540" max="9540" width="8.140625" style="523" bestFit="1" customWidth="1"/>
    <col min="9541" max="9554" width="7.7109375" style="523" customWidth="1"/>
    <col min="9555" max="9728" width="9.140625" style="523"/>
    <col min="9729" max="9729" width="38.42578125" style="523" customWidth="1"/>
    <col min="9730" max="9730" width="12.85546875" style="523" customWidth="1"/>
    <col min="9731" max="9795" width="7.7109375" style="523" customWidth="1"/>
    <col min="9796" max="9796" width="8.140625" style="523" bestFit="1" customWidth="1"/>
    <col min="9797" max="9810" width="7.7109375" style="523" customWidth="1"/>
    <col min="9811" max="9984" width="9.140625" style="523"/>
    <col min="9985" max="9985" width="38.42578125" style="523" customWidth="1"/>
    <col min="9986" max="9986" width="12.85546875" style="523" customWidth="1"/>
    <col min="9987" max="10051" width="7.7109375" style="523" customWidth="1"/>
    <col min="10052" max="10052" width="8.140625" style="523" bestFit="1" customWidth="1"/>
    <col min="10053" max="10066" width="7.7109375" style="523" customWidth="1"/>
    <col min="10067" max="10240" width="9.140625" style="523"/>
    <col min="10241" max="10241" width="38.42578125" style="523" customWidth="1"/>
    <col min="10242" max="10242" width="12.85546875" style="523" customWidth="1"/>
    <col min="10243" max="10307" width="7.7109375" style="523" customWidth="1"/>
    <col min="10308" max="10308" width="8.140625" style="523" bestFit="1" customWidth="1"/>
    <col min="10309" max="10322" width="7.7109375" style="523" customWidth="1"/>
    <col min="10323" max="10496" width="9.140625" style="523"/>
    <col min="10497" max="10497" width="38.42578125" style="523" customWidth="1"/>
    <col min="10498" max="10498" width="12.85546875" style="523" customWidth="1"/>
    <col min="10499" max="10563" width="7.7109375" style="523" customWidth="1"/>
    <col min="10564" max="10564" width="8.140625" style="523" bestFit="1" customWidth="1"/>
    <col min="10565" max="10578" width="7.7109375" style="523" customWidth="1"/>
    <col min="10579" max="10752" width="9.140625" style="523"/>
    <col min="10753" max="10753" width="38.42578125" style="523" customWidth="1"/>
    <col min="10754" max="10754" width="12.85546875" style="523" customWidth="1"/>
    <col min="10755" max="10819" width="7.7109375" style="523" customWidth="1"/>
    <col min="10820" max="10820" width="8.140625" style="523" bestFit="1" customWidth="1"/>
    <col min="10821" max="10834" width="7.7109375" style="523" customWidth="1"/>
    <col min="10835" max="11008" width="9.140625" style="523"/>
    <col min="11009" max="11009" width="38.42578125" style="523" customWidth="1"/>
    <col min="11010" max="11010" width="12.85546875" style="523" customWidth="1"/>
    <col min="11011" max="11075" width="7.7109375" style="523" customWidth="1"/>
    <col min="11076" max="11076" width="8.140625" style="523" bestFit="1" customWidth="1"/>
    <col min="11077" max="11090" width="7.7109375" style="523" customWidth="1"/>
    <col min="11091" max="11264" width="9.140625" style="523"/>
    <col min="11265" max="11265" width="38.42578125" style="523" customWidth="1"/>
    <col min="11266" max="11266" width="12.85546875" style="523" customWidth="1"/>
    <col min="11267" max="11331" width="7.7109375" style="523" customWidth="1"/>
    <col min="11332" max="11332" width="8.140625" style="523" bestFit="1" customWidth="1"/>
    <col min="11333" max="11346" width="7.7109375" style="523" customWidth="1"/>
    <col min="11347" max="11520" width="9.140625" style="523"/>
    <col min="11521" max="11521" width="38.42578125" style="523" customWidth="1"/>
    <col min="11522" max="11522" width="12.85546875" style="523" customWidth="1"/>
    <col min="11523" max="11587" width="7.7109375" style="523" customWidth="1"/>
    <col min="11588" max="11588" width="8.140625" style="523" bestFit="1" customWidth="1"/>
    <col min="11589" max="11602" width="7.7109375" style="523" customWidth="1"/>
    <col min="11603" max="11776" width="9.140625" style="523"/>
    <col min="11777" max="11777" width="38.42578125" style="523" customWidth="1"/>
    <col min="11778" max="11778" width="12.85546875" style="523" customWidth="1"/>
    <col min="11779" max="11843" width="7.7109375" style="523" customWidth="1"/>
    <col min="11844" max="11844" width="8.140625" style="523" bestFit="1" customWidth="1"/>
    <col min="11845" max="11858" width="7.7109375" style="523" customWidth="1"/>
    <col min="11859" max="12032" width="9.140625" style="523"/>
    <col min="12033" max="12033" width="38.42578125" style="523" customWidth="1"/>
    <col min="12034" max="12034" width="12.85546875" style="523" customWidth="1"/>
    <col min="12035" max="12099" width="7.7109375" style="523" customWidth="1"/>
    <col min="12100" max="12100" width="8.140625" style="523" bestFit="1" customWidth="1"/>
    <col min="12101" max="12114" width="7.7109375" style="523" customWidth="1"/>
    <col min="12115" max="12288" width="9.140625" style="523"/>
    <col min="12289" max="12289" width="38.42578125" style="523" customWidth="1"/>
    <col min="12290" max="12290" width="12.85546875" style="523" customWidth="1"/>
    <col min="12291" max="12355" width="7.7109375" style="523" customWidth="1"/>
    <col min="12356" max="12356" width="8.140625" style="523" bestFit="1" customWidth="1"/>
    <col min="12357" max="12370" width="7.7109375" style="523" customWidth="1"/>
    <col min="12371" max="12544" width="9.140625" style="523"/>
    <col min="12545" max="12545" width="38.42578125" style="523" customWidth="1"/>
    <col min="12546" max="12546" width="12.85546875" style="523" customWidth="1"/>
    <col min="12547" max="12611" width="7.7109375" style="523" customWidth="1"/>
    <col min="12612" max="12612" width="8.140625" style="523" bestFit="1" customWidth="1"/>
    <col min="12613" max="12626" width="7.7109375" style="523" customWidth="1"/>
    <col min="12627" max="12800" width="9.140625" style="523"/>
    <col min="12801" max="12801" width="38.42578125" style="523" customWidth="1"/>
    <col min="12802" max="12802" width="12.85546875" style="523" customWidth="1"/>
    <col min="12803" max="12867" width="7.7109375" style="523" customWidth="1"/>
    <col min="12868" max="12868" width="8.140625" style="523" bestFit="1" customWidth="1"/>
    <col min="12869" max="12882" width="7.7109375" style="523" customWidth="1"/>
    <col min="12883" max="13056" width="9.140625" style="523"/>
    <col min="13057" max="13057" width="38.42578125" style="523" customWidth="1"/>
    <col min="13058" max="13058" width="12.85546875" style="523" customWidth="1"/>
    <col min="13059" max="13123" width="7.7109375" style="523" customWidth="1"/>
    <col min="13124" max="13124" width="8.140625" style="523" bestFit="1" customWidth="1"/>
    <col min="13125" max="13138" width="7.7109375" style="523" customWidth="1"/>
    <col min="13139" max="13312" width="9.140625" style="523"/>
    <col min="13313" max="13313" width="38.42578125" style="523" customWidth="1"/>
    <col min="13314" max="13314" width="12.85546875" style="523" customWidth="1"/>
    <col min="13315" max="13379" width="7.7109375" style="523" customWidth="1"/>
    <col min="13380" max="13380" width="8.140625" style="523" bestFit="1" customWidth="1"/>
    <col min="13381" max="13394" width="7.7109375" style="523" customWidth="1"/>
    <col min="13395" max="13568" width="9.140625" style="523"/>
    <col min="13569" max="13569" width="38.42578125" style="523" customWidth="1"/>
    <col min="13570" max="13570" width="12.85546875" style="523" customWidth="1"/>
    <col min="13571" max="13635" width="7.7109375" style="523" customWidth="1"/>
    <col min="13636" max="13636" width="8.140625" style="523" bestFit="1" customWidth="1"/>
    <col min="13637" max="13650" width="7.7109375" style="523" customWidth="1"/>
    <col min="13651" max="13824" width="9.140625" style="523"/>
    <col min="13825" max="13825" width="38.42578125" style="523" customWidth="1"/>
    <col min="13826" max="13826" width="12.85546875" style="523" customWidth="1"/>
    <col min="13827" max="13891" width="7.7109375" style="523" customWidth="1"/>
    <col min="13892" max="13892" width="8.140625" style="523" bestFit="1" customWidth="1"/>
    <col min="13893" max="13906" width="7.7109375" style="523" customWidth="1"/>
    <col min="13907" max="14080" width="9.140625" style="523"/>
    <col min="14081" max="14081" width="38.42578125" style="523" customWidth="1"/>
    <col min="14082" max="14082" width="12.85546875" style="523" customWidth="1"/>
    <col min="14083" max="14147" width="7.7109375" style="523" customWidth="1"/>
    <col min="14148" max="14148" width="8.140625" style="523" bestFit="1" customWidth="1"/>
    <col min="14149" max="14162" width="7.7109375" style="523" customWidth="1"/>
    <col min="14163" max="14336" width="9.140625" style="523"/>
    <col min="14337" max="14337" width="38.42578125" style="523" customWidth="1"/>
    <col min="14338" max="14338" width="12.85546875" style="523" customWidth="1"/>
    <col min="14339" max="14403" width="7.7109375" style="523" customWidth="1"/>
    <col min="14404" max="14404" width="8.140625" style="523" bestFit="1" customWidth="1"/>
    <col min="14405" max="14418" width="7.7109375" style="523" customWidth="1"/>
    <col min="14419" max="14592" width="9.140625" style="523"/>
    <col min="14593" max="14593" width="38.42578125" style="523" customWidth="1"/>
    <col min="14594" max="14594" width="12.85546875" style="523" customWidth="1"/>
    <col min="14595" max="14659" width="7.7109375" style="523" customWidth="1"/>
    <col min="14660" max="14660" width="8.140625" style="523" bestFit="1" customWidth="1"/>
    <col min="14661" max="14674" width="7.7109375" style="523" customWidth="1"/>
    <col min="14675" max="14848" width="9.140625" style="523"/>
    <col min="14849" max="14849" width="38.42578125" style="523" customWidth="1"/>
    <col min="14850" max="14850" width="12.85546875" style="523" customWidth="1"/>
    <col min="14851" max="14915" width="7.7109375" style="523" customWidth="1"/>
    <col min="14916" max="14916" width="8.140625" style="523" bestFit="1" customWidth="1"/>
    <col min="14917" max="14930" width="7.7109375" style="523" customWidth="1"/>
    <col min="14931" max="15104" width="9.140625" style="523"/>
    <col min="15105" max="15105" width="38.42578125" style="523" customWidth="1"/>
    <col min="15106" max="15106" width="12.85546875" style="523" customWidth="1"/>
    <col min="15107" max="15171" width="7.7109375" style="523" customWidth="1"/>
    <col min="15172" max="15172" width="8.140625" style="523" bestFit="1" customWidth="1"/>
    <col min="15173" max="15186" width="7.7109375" style="523" customWidth="1"/>
    <col min="15187" max="15360" width="9.140625" style="523"/>
    <col min="15361" max="15361" width="38.42578125" style="523" customWidth="1"/>
    <col min="15362" max="15362" width="12.85546875" style="523" customWidth="1"/>
    <col min="15363" max="15427" width="7.7109375" style="523" customWidth="1"/>
    <col min="15428" max="15428" width="8.140625" style="523" bestFit="1" customWidth="1"/>
    <col min="15429" max="15442" width="7.7109375" style="523" customWidth="1"/>
    <col min="15443" max="15616" width="9.140625" style="523"/>
    <col min="15617" max="15617" width="38.42578125" style="523" customWidth="1"/>
    <col min="15618" max="15618" width="12.85546875" style="523" customWidth="1"/>
    <col min="15619" max="15683" width="7.7109375" style="523" customWidth="1"/>
    <col min="15684" max="15684" width="8.140625" style="523" bestFit="1" customWidth="1"/>
    <col min="15685" max="15698" width="7.7109375" style="523" customWidth="1"/>
    <col min="15699" max="15872" width="9.140625" style="523"/>
    <col min="15873" max="15873" width="38.42578125" style="523" customWidth="1"/>
    <col min="15874" max="15874" width="12.85546875" style="523" customWidth="1"/>
    <col min="15875" max="15939" width="7.7109375" style="523" customWidth="1"/>
    <col min="15940" max="15940" width="8.140625" style="523" bestFit="1" customWidth="1"/>
    <col min="15941" max="15954" width="7.7109375" style="523" customWidth="1"/>
    <col min="15955" max="16128" width="9.140625" style="523"/>
    <col min="16129" max="16129" width="38.42578125" style="523" customWidth="1"/>
    <col min="16130" max="16130" width="12.85546875" style="523" customWidth="1"/>
    <col min="16131" max="16195" width="7.7109375" style="523" customWidth="1"/>
    <col min="16196" max="16196" width="8.140625" style="523" bestFit="1" customWidth="1"/>
    <col min="16197" max="16210" width="7.7109375" style="523" customWidth="1"/>
    <col min="16211" max="16384" width="9.140625" style="523"/>
  </cols>
  <sheetData>
    <row r="1" spans="1:87" ht="18" x14ac:dyDescent="0.25">
      <c r="A1" s="521" t="s">
        <v>62</v>
      </c>
      <c r="B1" s="522"/>
    </row>
    <row r="2" spans="1:87" ht="15.75" x14ac:dyDescent="0.25">
      <c r="A2" s="524" t="s">
        <v>425</v>
      </c>
      <c r="B2" s="525"/>
    </row>
    <row r="3" spans="1:87" ht="15.75" thickBot="1" x14ac:dyDescent="0.3">
      <c r="A3" s="526" t="s">
        <v>64</v>
      </c>
      <c r="B3" s="527"/>
    </row>
    <row r="6" spans="1:87" x14ac:dyDescent="0.2">
      <c r="BM6" s="529" t="s">
        <v>426</v>
      </c>
      <c r="BN6" s="529" t="s">
        <v>426</v>
      </c>
      <c r="BO6" s="529" t="s">
        <v>426</v>
      </c>
      <c r="BP6" s="529" t="s">
        <v>426</v>
      </c>
      <c r="BQ6" s="530" t="s">
        <v>427</v>
      </c>
      <c r="BR6" s="530" t="s">
        <v>427</v>
      </c>
      <c r="BS6" s="530" t="s">
        <v>427</v>
      </c>
      <c r="BT6" s="530" t="s">
        <v>427</v>
      </c>
      <c r="BU6" s="531" t="s">
        <v>428</v>
      </c>
      <c r="BV6" s="531" t="s">
        <v>428</v>
      </c>
      <c r="BW6" s="531" t="s">
        <v>428</v>
      </c>
      <c r="BX6" s="531" t="s">
        <v>428</v>
      </c>
      <c r="BY6" s="532" t="s">
        <v>429</v>
      </c>
      <c r="BZ6" s="532" t="s">
        <v>429</v>
      </c>
      <c r="CA6" s="532" t="s">
        <v>429</v>
      </c>
      <c r="CB6" s="532" t="s">
        <v>429</v>
      </c>
    </row>
    <row r="7" spans="1:87" s="528" customFormat="1" x14ac:dyDescent="0.2">
      <c r="B7" s="528" t="s">
        <v>81</v>
      </c>
      <c r="C7" s="533" t="s">
        <v>82</v>
      </c>
      <c r="D7" s="533" t="s">
        <v>83</v>
      </c>
      <c r="E7" s="533" t="s">
        <v>84</v>
      </c>
      <c r="F7" s="533" t="s">
        <v>85</v>
      </c>
      <c r="G7" s="533" t="s">
        <v>86</v>
      </c>
      <c r="H7" s="533" t="s">
        <v>87</v>
      </c>
      <c r="I7" s="533" t="s">
        <v>88</v>
      </c>
      <c r="J7" s="533" t="s">
        <v>89</v>
      </c>
      <c r="K7" s="533" t="s">
        <v>90</v>
      </c>
      <c r="L7" s="533" t="s">
        <v>91</v>
      </c>
      <c r="M7" s="533" t="s">
        <v>92</v>
      </c>
      <c r="N7" s="533" t="s">
        <v>93</v>
      </c>
      <c r="O7" s="533" t="s">
        <v>94</v>
      </c>
      <c r="P7" s="533" t="s">
        <v>95</v>
      </c>
      <c r="Q7" s="533" t="s">
        <v>96</v>
      </c>
      <c r="R7" s="533" t="s">
        <v>97</v>
      </c>
      <c r="S7" s="533" t="s">
        <v>98</v>
      </c>
      <c r="T7" s="533" t="s">
        <v>99</v>
      </c>
      <c r="U7" s="533" t="s">
        <v>100</v>
      </c>
      <c r="V7" s="533" t="s">
        <v>101</v>
      </c>
      <c r="W7" s="533" t="s">
        <v>102</v>
      </c>
      <c r="X7" s="533" t="s">
        <v>103</v>
      </c>
      <c r="Y7" s="533" t="s">
        <v>104</v>
      </c>
      <c r="Z7" s="533" t="s">
        <v>105</v>
      </c>
      <c r="AA7" s="533" t="s">
        <v>106</v>
      </c>
      <c r="AB7" s="533" t="s">
        <v>107</v>
      </c>
      <c r="AC7" s="533" t="s">
        <v>108</v>
      </c>
      <c r="AD7" s="533" t="s">
        <v>109</v>
      </c>
      <c r="AE7" s="533" t="s">
        <v>110</v>
      </c>
      <c r="AF7" s="533" t="s">
        <v>111</v>
      </c>
      <c r="AG7" s="533" t="s">
        <v>112</v>
      </c>
      <c r="AH7" s="533" t="s">
        <v>113</v>
      </c>
      <c r="AI7" s="533" t="s">
        <v>114</v>
      </c>
      <c r="AJ7" s="533" t="s">
        <v>115</v>
      </c>
      <c r="AK7" s="533" t="s">
        <v>116</v>
      </c>
      <c r="AL7" s="533" t="s">
        <v>117</v>
      </c>
      <c r="AM7" s="533" t="s">
        <v>118</v>
      </c>
      <c r="AN7" s="533" t="s">
        <v>119</v>
      </c>
      <c r="AO7" s="533" t="s">
        <v>120</v>
      </c>
      <c r="AP7" s="533" t="s">
        <v>121</v>
      </c>
      <c r="AQ7" s="533" t="s">
        <v>122</v>
      </c>
      <c r="AR7" s="533" t="s">
        <v>123</v>
      </c>
      <c r="AS7" s="533" t="s">
        <v>124</v>
      </c>
      <c r="AT7" s="533" t="s">
        <v>125</v>
      </c>
      <c r="AU7" s="528" t="s">
        <v>126</v>
      </c>
      <c r="AV7" s="528" t="s">
        <v>127</v>
      </c>
      <c r="AW7" s="528" t="s">
        <v>128</v>
      </c>
      <c r="AX7" s="528" t="s">
        <v>129</v>
      </c>
      <c r="AY7" s="528" t="s">
        <v>130</v>
      </c>
      <c r="AZ7" s="528" t="s">
        <v>131</v>
      </c>
      <c r="BA7" s="528" t="s">
        <v>132</v>
      </c>
      <c r="BB7" s="528" t="s">
        <v>133</v>
      </c>
      <c r="BC7" s="528" t="s">
        <v>134</v>
      </c>
      <c r="BD7" s="528" t="s">
        <v>135</v>
      </c>
      <c r="BE7" s="528" t="s">
        <v>136</v>
      </c>
      <c r="BF7" s="528" t="s">
        <v>137</v>
      </c>
      <c r="BG7" s="528" t="s">
        <v>138</v>
      </c>
      <c r="BH7" s="528" t="s">
        <v>139</v>
      </c>
      <c r="BI7" s="528" t="s">
        <v>140</v>
      </c>
      <c r="BJ7" s="528" t="s">
        <v>141</v>
      </c>
      <c r="BK7" s="528" t="s">
        <v>142</v>
      </c>
      <c r="BL7" s="528" t="s">
        <v>143</v>
      </c>
      <c r="BM7" s="528" t="s">
        <v>144</v>
      </c>
      <c r="BN7" s="528" t="s">
        <v>145</v>
      </c>
      <c r="BO7" s="528" t="s">
        <v>146</v>
      </c>
      <c r="BP7" s="528" t="s">
        <v>147</v>
      </c>
      <c r="BQ7" s="528" t="s">
        <v>148</v>
      </c>
      <c r="BR7" s="528" t="s">
        <v>149</v>
      </c>
      <c r="BS7" s="528" t="s">
        <v>150</v>
      </c>
      <c r="BT7" s="528" t="s">
        <v>151</v>
      </c>
      <c r="BU7" s="528" t="s">
        <v>152</v>
      </c>
      <c r="BV7" s="528" t="s">
        <v>153</v>
      </c>
      <c r="BW7" s="528" t="s">
        <v>154</v>
      </c>
      <c r="BX7" s="528" t="s">
        <v>155</v>
      </c>
      <c r="BY7" s="528" t="s">
        <v>156</v>
      </c>
      <c r="BZ7" s="528" t="s">
        <v>157</v>
      </c>
      <c r="CA7" s="528" t="s">
        <v>158</v>
      </c>
      <c r="CB7" s="528" t="s">
        <v>159</v>
      </c>
      <c r="CC7" s="528" t="s">
        <v>160</v>
      </c>
      <c r="CD7" s="528" t="s">
        <v>161</v>
      </c>
      <c r="CE7" s="528" t="s">
        <v>162</v>
      </c>
      <c r="CF7" s="528" t="s">
        <v>163</v>
      </c>
      <c r="CG7" s="528" t="s">
        <v>164</v>
      </c>
      <c r="CH7" s="528" t="s">
        <v>165</v>
      </c>
      <c r="CI7" s="528" t="s">
        <v>166</v>
      </c>
    </row>
    <row r="8" spans="1:87" x14ac:dyDescent="0.2">
      <c r="A8" s="528" t="s">
        <v>167</v>
      </c>
      <c r="B8" s="528" t="s">
        <v>168</v>
      </c>
      <c r="C8" s="534">
        <v>2.0350000000000001</v>
      </c>
      <c r="D8" s="534">
        <v>2.06</v>
      </c>
      <c r="E8" s="534">
        <v>2.0649999999999999</v>
      </c>
      <c r="F8" s="534">
        <v>2.0870000000000002</v>
      </c>
      <c r="G8" s="534">
        <v>2.1040000000000001</v>
      </c>
      <c r="H8" s="534">
        <v>2.1150000000000002</v>
      </c>
      <c r="I8" s="534">
        <v>2.1509999999999998</v>
      </c>
      <c r="J8" s="534">
        <v>2.17</v>
      </c>
      <c r="K8" s="534">
        <v>2.1869999999999998</v>
      </c>
      <c r="L8" s="534">
        <v>2.2130000000000001</v>
      </c>
      <c r="M8" s="534">
        <v>2.2349999999999999</v>
      </c>
      <c r="N8" s="534">
        <v>2.2200000000000002</v>
      </c>
      <c r="O8" s="534">
        <v>2.2320000000000002</v>
      </c>
      <c r="P8" s="534">
        <v>2.258</v>
      </c>
      <c r="Q8" s="534">
        <v>2.2759999999999998</v>
      </c>
      <c r="R8" s="534">
        <v>2.302</v>
      </c>
      <c r="S8" s="534">
        <v>2.319</v>
      </c>
      <c r="T8" s="534">
        <v>2.363</v>
      </c>
      <c r="U8" s="534">
        <v>2.4039999999999999</v>
      </c>
      <c r="V8" s="534">
        <v>2.351</v>
      </c>
      <c r="W8" s="534">
        <v>2.34</v>
      </c>
      <c r="X8" s="534">
        <v>2.3460000000000001</v>
      </c>
      <c r="Y8" s="534">
        <v>2.3660000000000001</v>
      </c>
      <c r="Z8" s="534">
        <v>2.3809999999999998</v>
      </c>
      <c r="AA8" s="534">
        <v>2.379</v>
      </c>
      <c r="AB8" s="534">
        <v>2.383</v>
      </c>
      <c r="AC8" s="534">
        <v>2.3980000000000001</v>
      </c>
      <c r="AD8" s="534">
        <v>2.4220000000000002</v>
      </c>
      <c r="AE8" s="534">
        <v>2.4319999999999999</v>
      </c>
      <c r="AF8" s="534">
        <v>2.4769999999999999</v>
      </c>
      <c r="AG8" s="534">
        <v>2.4889999999999999</v>
      </c>
      <c r="AH8" s="534">
        <v>2.4969999999999999</v>
      </c>
      <c r="AI8" s="534">
        <v>2.5129999999999999</v>
      </c>
      <c r="AJ8" s="534">
        <v>2.5190000000000001</v>
      </c>
      <c r="AK8" s="534">
        <v>2.5299999999999998</v>
      </c>
      <c r="AL8" s="534">
        <v>2.5499999999999998</v>
      </c>
      <c r="AM8" s="534">
        <v>2.5569999999999999</v>
      </c>
      <c r="AN8" s="534">
        <v>2.5550000000000002</v>
      </c>
      <c r="AO8" s="534">
        <v>2.5739999999999998</v>
      </c>
      <c r="AP8" s="534">
        <v>2.5880000000000001</v>
      </c>
      <c r="AQ8" s="534">
        <v>2.597</v>
      </c>
      <c r="AR8" s="534">
        <v>2.6080000000000001</v>
      </c>
      <c r="AS8" s="534">
        <v>2.6139999999999999</v>
      </c>
      <c r="AT8" s="534">
        <v>2.617</v>
      </c>
      <c r="AU8" s="523">
        <v>2.6120000000000001</v>
      </c>
      <c r="AV8" s="523">
        <v>2.6230000000000002</v>
      </c>
      <c r="AW8" s="523">
        <v>2.6190000000000002</v>
      </c>
      <c r="AX8" s="523">
        <v>2.6259999999999999</v>
      </c>
      <c r="AY8" s="523">
        <v>2.6190000000000002</v>
      </c>
      <c r="AZ8" s="523">
        <v>2.6419999999999999</v>
      </c>
      <c r="BA8" s="523">
        <v>2.6619999999999999</v>
      </c>
      <c r="BB8" s="523">
        <v>2.677</v>
      </c>
      <c r="BC8" s="523">
        <v>2.6909999999999998</v>
      </c>
      <c r="BD8" s="523">
        <v>2.6949999999999998</v>
      </c>
      <c r="BE8" s="523">
        <v>2.7069999999999999</v>
      </c>
      <c r="BF8" s="523">
        <v>2.7210000000000001</v>
      </c>
      <c r="BG8" s="523">
        <v>2.7570000000000001</v>
      </c>
      <c r="BH8" s="523">
        <v>2.77</v>
      </c>
      <c r="BI8" s="523">
        <v>2.7759999999999998</v>
      </c>
      <c r="BJ8" s="523">
        <v>2.7890000000000001</v>
      </c>
      <c r="BK8" s="523">
        <v>2.802</v>
      </c>
      <c r="BL8" s="523">
        <v>2.8149999999999999</v>
      </c>
      <c r="BM8" s="523">
        <v>2.8279999999999998</v>
      </c>
      <c r="BN8" s="523">
        <v>2.8439999999999999</v>
      </c>
      <c r="BO8" s="523">
        <v>2.8610000000000002</v>
      </c>
      <c r="BP8" s="523">
        <v>2.8660000000000001</v>
      </c>
      <c r="BQ8" s="523">
        <v>2.9039999999999999</v>
      </c>
      <c r="BR8" s="523">
        <v>2.92</v>
      </c>
      <c r="BS8" s="523">
        <v>2.944</v>
      </c>
      <c r="BT8" s="523">
        <v>2.964</v>
      </c>
      <c r="BU8" s="535">
        <v>2.9849999999999999</v>
      </c>
      <c r="BV8" s="535">
        <v>3.0049999999999999</v>
      </c>
      <c r="BW8" s="523">
        <v>3.0219999999999998</v>
      </c>
      <c r="BX8" s="523">
        <v>3.0379999999999998</v>
      </c>
      <c r="BY8" s="523">
        <v>3.052</v>
      </c>
      <c r="BZ8" s="523">
        <v>3.069</v>
      </c>
      <c r="CA8" s="523">
        <v>3.081</v>
      </c>
      <c r="CB8" s="523">
        <v>3.0939999999999999</v>
      </c>
      <c r="CC8" s="523">
        <v>3.1080000000000001</v>
      </c>
      <c r="CD8" s="523">
        <v>3.1230000000000002</v>
      </c>
      <c r="CE8" s="523">
        <v>3.1379999999999999</v>
      </c>
      <c r="CF8" s="523">
        <v>3.1539999999999999</v>
      </c>
      <c r="CG8" s="523">
        <v>3.1709999999999998</v>
      </c>
      <c r="CH8" s="523">
        <v>3.1880000000000002</v>
      </c>
    </row>
    <row r="9" spans="1:87" x14ac:dyDescent="0.2">
      <c r="A9" s="528" t="s">
        <v>169</v>
      </c>
      <c r="B9" s="528" t="s">
        <v>170</v>
      </c>
      <c r="C9" s="534">
        <v>2.0350000000000001</v>
      </c>
      <c r="D9" s="534">
        <v>2.06</v>
      </c>
      <c r="E9" s="534">
        <v>2.0649999999999999</v>
      </c>
      <c r="F9" s="534">
        <v>2.0870000000000002</v>
      </c>
      <c r="G9" s="534">
        <v>2.1040000000000001</v>
      </c>
      <c r="H9" s="534">
        <v>2.1150000000000002</v>
      </c>
      <c r="I9" s="534">
        <v>2.1509999999999998</v>
      </c>
      <c r="J9" s="534">
        <v>2.17</v>
      </c>
      <c r="K9" s="534">
        <v>2.1869999999999998</v>
      </c>
      <c r="L9" s="534">
        <v>2.2130000000000001</v>
      </c>
      <c r="M9" s="534">
        <v>2.2349999999999999</v>
      </c>
      <c r="N9" s="534">
        <v>2.2200000000000002</v>
      </c>
      <c r="O9" s="534">
        <v>2.2320000000000002</v>
      </c>
      <c r="P9" s="534">
        <v>2.258</v>
      </c>
      <c r="Q9" s="534">
        <v>2.2759999999999998</v>
      </c>
      <c r="R9" s="534">
        <v>2.302</v>
      </c>
      <c r="S9" s="534">
        <v>2.319</v>
      </c>
      <c r="T9" s="534">
        <v>2.363</v>
      </c>
      <c r="U9" s="534">
        <v>2.4039999999999999</v>
      </c>
      <c r="V9" s="534">
        <v>2.351</v>
      </c>
      <c r="W9" s="534">
        <v>2.34</v>
      </c>
      <c r="X9" s="534">
        <v>2.3460000000000001</v>
      </c>
      <c r="Y9" s="534">
        <v>2.3660000000000001</v>
      </c>
      <c r="Z9" s="534">
        <v>2.3809999999999998</v>
      </c>
      <c r="AA9" s="534">
        <v>2.379</v>
      </c>
      <c r="AB9" s="534">
        <v>2.383</v>
      </c>
      <c r="AC9" s="534">
        <v>2.3980000000000001</v>
      </c>
      <c r="AD9" s="534">
        <v>2.4220000000000002</v>
      </c>
      <c r="AE9" s="534">
        <v>2.4319999999999999</v>
      </c>
      <c r="AF9" s="534">
        <v>2.4769999999999999</v>
      </c>
      <c r="AG9" s="534">
        <v>2.4889999999999999</v>
      </c>
      <c r="AH9" s="534">
        <v>2.4969999999999999</v>
      </c>
      <c r="AI9" s="534">
        <v>2.5129999999999999</v>
      </c>
      <c r="AJ9" s="534">
        <v>2.5190000000000001</v>
      </c>
      <c r="AK9" s="534">
        <v>2.5299999999999998</v>
      </c>
      <c r="AL9" s="534">
        <v>2.5499999999999998</v>
      </c>
      <c r="AM9" s="534">
        <v>2.5569999999999999</v>
      </c>
      <c r="AN9" s="534">
        <v>2.5550000000000002</v>
      </c>
      <c r="AO9" s="534">
        <v>2.5739999999999998</v>
      </c>
      <c r="AP9" s="534">
        <v>2.5880000000000001</v>
      </c>
      <c r="AQ9" s="534">
        <v>2.597</v>
      </c>
      <c r="AR9" s="534">
        <v>2.6080000000000001</v>
      </c>
      <c r="AS9" s="534">
        <v>2.6139999999999999</v>
      </c>
      <c r="AT9" s="534">
        <v>2.617</v>
      </c>
      <c r="AU9" s="523">
        <v>2.6120000000000001</v>
      </c>
      <c r="AV9" s="523">
        <v>2.6230000000000002</v>
      </c>
      <c r="AW9" s="523">
        <v>2.6190000000000002</v>
      </c>
      <c r="AX9" s="523">
        <v>2.6259999999999999</v>
      </c>
      <c r="AY9" s="523">
        <v>2.6190000000000002</v>
      </c>
      <c r="AZ9" s="523">
        <v>2.6419999999999999</v>
      </c>
      <c r="BA9" s="523">
        <v>2.6619999999999999</v>
      </c>
      <c r="BB9" s="523">
        <v>2.677</v>
      </c>
      <c r="BC9" s="523">
        <v>2.6909999999999998</v>
      </c>
      <c r="BD9" s="523">
        <v>2.6949999999999998</v>
      </c>
      <c r="BE9" s="523">
        <v>2.7069999999999999</v>
      </c>
      <c r="BF9" s="523">
        <v>2.7210000000000001</v>
      </c>
      <c r="BG9" s="523">
        <v>2.7570000000000001</v>
      </c>
      <c r="BH9" s="523">
        <v>2.77</v>
      </c>
      <c r="BI9" s="523">
        <v>2.7759999999999998</v>
      </c>
      <c r="BJ9" s="523">
        <v>2.7890000000000001</v>
      </c>
      <c r="BK9" s="523">
        <v>2.802</v>
      </c>
      <c r="BL9" s="523">
        <v>2.8149999999999999</v>
      </c>
      <c r="BM9" s="523">
        <v>2.8279999999999998</v>
      </c>
      <c r="BN9" s="523">
        <v>2.8439999999999999</v>
      </c>
      <c r="BO9" s="523">
        <v>2.8610000000000002</v>
      </c>
      <c r="BP9" s="523">
        <v>2.8660000000000001</v>
      </c>
      <c r="BQ9" s="523">
        <v>2.9039999999999999</v>
      </c>
      <c r="BR9" s="523">
        <v>2.9180000000000001</v>
      </c>
      <c r="BS9" s="523">
        <v>2.94</v>
      </c>
      <c r="BT9" s="536">
        <v>2.956</v>
      </c>
      <c r="BU9" s="537">
        <v>2.9729999999999999</v>
      </c>
      <c r="BV9" s="538">
        <v>2.9889999999999999</v>
      </c>
      <c r="BW9" s="537">
        <v>3.0009999999999999</v>
      </c>
      <c r="BX9" s="538">
        <v>3.0129999999999999</v>
      </c>
      <c r="BY9" s="538">
        <v>3.0219999999999998</v>
      </c>
      <c r="BZ9" s="538">
        <v>3.0329999999999999</v>
      </c>
      <c r="CA9" s="538">
        <v>3.04</v>
      </c>
      <c r="CB9" s="539">
        <v>3.0489999999999999</v>
      </c>
      <c r="CC9" s="523">
        <v>3.0590000000000002</v>
      </c>
      <c r="CD9" s="523">
        <v>3.0710000000000002</v>
      </c>
      <c r="CE9" s="523">
        <v>3.0819999999999999</v>
      </c>
      <c r="CF9" s="523">
        <v>3.0950000000000002</v>
      </c>
      <c r="CG9" s="523">
        <v>3.1080000000000001</v>
      </c>
      <c r="CH9" s="523">
        <v>3.121</v>
      </c>
    </row>
    <row r="10" spans="1:87" x14ac:dyDescent="0.2">
      <c r="A10" s="528" t="s">
        <v>171</v>
      </c>
      <c r="B10" s="528" t="s">
        <v>172</v>
      </c>
      <c r="C10" s="534">
        <v>2.0350000000000001</v>
      </c>
      <c r="D10" s="534">
        <v>2.06</v>
      </c>
      <c r="E10" s="534">
        <v>2.0649999999999999</v>
      </c>
      <c r="F10" s="534">
        <v>2.0870000000000002</v>
      </c>
      <c r="G10" s="534">
        <v>2.1040000000000001</v>
      </c>
      <c r="H10" s="534">
        <v>2.1150000000000002</v>
      </c>
      <c r="I10" s="534">
        <v>2.1509999999999998</v>
      </c>
      <c r="J10" s="534">
        <v>2.17</v>
      </c>
      <c r="K10" s="534">
        <v>2.1869999999999998</v>
      </c>
      <c r="L10" s="534">
        <v>2.2130000000000001</v>
      </c>
      <c r="M10" s="534">
        <v>2.2349999999999999</v>
      </c>
      <c r="N10" s="534">
        <v>2.2200000000000002</v>
      </c>
      <c r="O10" s="534">
        <v>2.2320000000000002</v>
      </c>
      <c r="P10" s="534">
        <v>2.258</v>
      </c>
      <c r="Q10" s="534">
        <v>2.2759999999999998</v>
      </c>
      <c r="R10" s="534">
        <v>2.302</v>
      </c>
      <c r="S10" s="534">
        <v>2.319</v>
      </c>
      <c r="T10" s="534">
        <v>2.363</v>
      </c>
      <c r="U10" s="534">
        <v>2.4039999999999999</v>
      </c>
      <c r="V10" s="534">
        <v>2.351</v>
      </c>
      <c r="W10" s="534">
        <v>2.34</v>
      </c>
      <c r="X10" s="534">
        <v>2.3460000000000001</v>
      </c>
      <c r="Y10" s="534">
        <v>2.3660000000000001</v>
      </c>
      <c r="Z10" s="534">
        <v>2.3809999999999998</v>
      </c>
      <c r="AA10" s="534">
        <v>2.379</v>
      </c>
      <c r="AB10" s="534">
        <v>2.383</v>
      </c>
      <c r="AC10" s="534">
        <v>2.3980000000000001</v>
      </c>
      <c r="AD10" s="534">
        <v>2.4220000000000002</v>
      </c>
      <c r="AE10" s="534">
        <v>2.4319999999999999</v>
      </c>
      <c r="AF10" s="534">
        <v>2.4769999999999999</v>
      </c>
      <c r="AG10" s="534">
        <v>2.4889999999999999</v>
      </c>
      <c r="AH10" s="534">
        <v>2.4969999999999999</v>
      </c>
      <c r="AI10" s="534">
        <v>2.5129999999999999</v>
      </c>
      <c r="AJ10" s="534">
        <v>2.5190000000000001</v>
      </c>
      <c r="AK10" s="534">
        <v>2.5299999999999998</v>
      </c>
      <c r="AL10" s="534">
        <v>2.5499999999999998</v>
      </c>
      <c r="AM10" s="534">
        <v>2.5569999999999999</v>
      </c>
      <c r="AN10" s="534">
        <v>2.5550000000000002</v>
      </c>
      <c r="AO10" s="534">
        <v>2.5739999999999998</v>
      </c>
      <c r="AP10" s="534">
        <v>2.5880000000000001</v>
      </c>
      <c r="AQ10" s="534">
        <v>2.597</v>
      </c>
      <c r="AR10" s="534">
        <v>2.6080000000000001</v>
      </c>
      <c r="AS10" s="534">
        <v>2.6139999999999999</v>
      </c>
      <c r="AT10" s="534">
        <v>2.617</v>
      </c>
      <c r="AU10" s="523">
        <v>2.6120000000000001</v>
      </c>
      <c r="AV10" s="523">
        <v>2.6230000000000002</v>
      </c>
      <c r="AW10" s="523">
        <v>2.6190000000000002</v>
      </c>
      <c r="AX10" s="523">
        <v>2.6259999999999999</v>
      </c>
      <c r="AY10" s="523">
        <v>2.6190000000000002</v>
      </c>
      <c r="AZ10" s="523">
        <v>2.6419999999999999</v>
      </c>
      <c r="BA10" s="523">
        <v>2.6619999999999999</v>
      </c>
      <c r="BB10" s="523">
        <v>2.677</v>
      </c>
      <c r="BC10" s="523">
        <v>2.6909999999999998</v>
      </c>
      <c r="BD10" s="523">
        <v>2.6949999999999998</v>
      </c>
      <c r="BE10" s="523">
        <v>2.7069999999999999</v>
      </c>
      <c r="BF10" s="523">
        <v>2.7210000000000001</v>
      </c>
      <c r="BG10" s="523">
        <v>2.7570000000000001</v>
      </c>
      <c r="BH10" s="523">
        <v>2.77</v>
      </c>
      <c r="BI10" s="523">
        <v>2.7759999999999998</v>
      </c>
      <c r="BJ10" s="523">
        <v>2.7890000000000001</v>
      </c>
      <c r="BK10" s="523">
        <v>2.802</v>
      </c>
      <c r="BL10" s="523">
        <v>2.8149999999999999</v>
      </c>
      <c r="BM10" s="523">
        <v>2.8279999999999998</v>
      </c>
      <c r="BN10" s="523">
        <v>2.8439999999999999</v>
      </c>
      <c r="BO10" s="523">
        <v>2.8610000000000002</v>
      </c>
      <c r="BP10" s="523">
        <v>2.8660000000000001</v>
      </c>
      <c r="BQ10" s="523">
        <v>2.9039999999999999</v>
      </c>
      <c r="BR10" s="523">
        <v>2.923</v>
      </c>
      <c r="BS10" s="523">
        <v>2.95</v>
      </c>
      <c r="BT10" s="540">
        <v>2.9729999999999999</v>
      </c>
      <c r="BU10" s="541">
        <v>2.9990000000000001</v>
      </c>
      <c r="BV10" s="523">
        <v>3.0249999999999999</v>
      </c>
      <c r="BW10" s="523">
        <v>3.0470000000000002</v>
      </c>
      <c r="BX10" s="523">
        <v>3.069</v>
      </c>
      <c r="BY10" s="523">
        <v>3.09</v>
      </c>
      <c r="BZ10" s="523">
        <v>3.113</v>
      </c>
      <c r="CA10" s="523">
        <v>3.133</v>
      </c>
      <c r="CB10" s="523">
        <v>3.1539999999999999</v>
      </c>
      <c r="CC10" s="523">
        <v>3.1760000000000002</v>
      </c>
      <c r="CD10" s="523">
        <v>3.198</v>
      </c>
      <c r="CE10" s="523">
        <v>3.22</v>
      </c>
      <c r="CF10" s="523">
        <v>3.2440000000000002</v>
      </c>
      <c r="CG10" s="523">
        <v>3.2690000000000001</v>
      </c>
      <c r="CH10" s="523">
        <v>3.2949999999999999</v>
      </c>
    </row>
    <row r="11" spans="1:87" x14ac:dyDescent="0.2">
      <c r="BT11" s="542"/>
    </row>
    <row r="12" spans="1:87" x14ac:dyDescent="0.2">
      <c r="C12" s="543"/>
      <c r="D12" s="543"/>
      <c r="E12" s="543"/>
      <c r="F12" s="543"/>
      <c r="G12" s="543"/>
      <c r="H12" s="543"/>
      <c r="I12" s="543"/>
      <c r="J12" s="543"/>
      <c r="K12" s="543"/>
      <c r="L12" s="543"/>
      <c r="M12" s="543"/>
      <c r="N12" s="543"/>
      <c r="O12" s="543"/>
      <c r="P12" s="543"/>
      <c r="Q12" s="543"/>
      <c r="R12" s="543"/>
      <c r="S12" s="543"/>
      <c r="T12" s="543"/>
      <c r="U12" s="543"/>
      <c r="V12" s="543"/>
      <c r="W12" s="543"/>
      <c r="X12" s="543"/>
      <c r="Y12" s="543"/>
      <c r="Z12" s="543"/>
      <c r="AA12" s="543"/>
      <c r="AB12" s="543"/>
      <c r="AC12" s="543"/>
      <c r="AD12" s="543"/>
      <c r="AE12" s="543"/>
      <c r="AF12" s="543"/>
      <c r="AG12" s="543"/>
      <c r="AH12" s="543"/>
      <c r="AI12" s="543"/>
      <c r="AJ12" s="543"/>
      <c r="AK12" s="543"/>
      <c r="AL12" s="543"/>
      <c r="AM12" s="543"/>
      <c r="AN12" s="543"/>
      <c r="AO12" s="543"/>
      <c r="AP12" s="543"/>
      <c r="AQ12" s="543"/>
      <c r="AR12" s="543"/>
      <c r="AS12" s="543"/>
      <c r="AT12" s="543"/>
    </row>
    <row r="13" spans="1:87" x14ac:dyDescent="0.2">
      <c r="C13" s="543"/>
      <c r="D13" s="543"/>
      <c r="E13" s="543"/>
      <c r="F13" s="543"/>
      <c r="G13" s="543"/>
      <c r="H13" s="543"/>
      <c r="I13" s="543"/>
      <c r="J13" s="543"/>
      <c r="K13" s="543"/>
      <c r="L13" s="543"/>
      <c r="M13" s="543"/>
      <c r="N13" s="543"/>
      <c r="O13" s="543"/>
      <c r="P13" s="543"/>
      <c r="Q13" s="543"/>
      <c r="R13" s="543"/>
      <c r="S13" s="543"/>
      <c r="T13" s="543"/>
      <c r="U13" s="543"/>
      <c r="V13" s="543"/>
      <c r="W13" s="543"/>
      <c r="X13" s="543"/>
      <c r="Y13" s="543"/>
      <c r="Z13" s="543"/>
      <c r="AA13" s="543"/>
      <c r="AB13" s="543"/>
      <c r="AC13" s="543"/>
      <c r="AD13" s="543"/>
      <c r="AE13" s="543"/>
      <c r="AF13" s="543"/>
      <c r="AG13" s="543"/>
      <c r="AH13" s="543"/>
      <c r="AI13" s="543"/>
      <c r="AJ13" s="543"/>
      <c r="AK13" s="543"/>
      <c r="AL13" s="543"/>
      <c r="AM13" s="543"/>
      <c r="AN13" s="543"/>
      <c r="AO13" s="543"/>
      <c r="AP13" s="543"/>
      <c r="AQ13" s="543"/>
      <c r="AR13" s="543"/>
      <c r="AS13" s="543"/>
      <c r="AT13" s="543"/>
    </row>
    <row r="14" spans="1:87" x14ac:dyDescent="0.2">
      <c r="C14" s="534"/>
      <c r="D14" s="534"/>
      <c r="E14" s="534"/>
      <c r="F14" s="534"/>
      <c r="G14" s="534"/>
      <c r="H14" s="534"/>
      <c r="I14" s="534"/>
      <c r="J14" s="534"/>
      <c r="K14" s="534"/>
      <c r="L14" s="534"/>
      <c r="M14" s="534"/>
      <c r="N14" s="534"/>
      <c r="O14" s="534"/>
      <c r="P14" s="534"/>
      <c r="Q14" s="534"/>
      <c r="R14" s="534"/>
      <c r="S14" s="534"/>
      <c r="T14" s="534"/>
      <c r="U14" s="534"/>
      <c r="V14" s="534"/>
      <c r="W14" s="534"/>
      <c r="X14" s="534"/>
      <c r="Y14" s="534"/>
      <c r="Z14" s="534"/>
      <c r="AA14" s="534"/>
      <c r="AB14" s="534"/>
      <c r="AC14" s="534"/>
      <c r="AD14" s="534"/>
      <c r="AE14" s="534"/>
      <c r="AF14" s="534"/>
      <c r="AG14" s="534"/>
      <c r="AH14" s="534"/>
      <c r="AI14" s="534"/>
      <c r="AJ14" s="534"/>
      <c r="AK14" s="534"/>
      <c r="AL14" s="534"/>
      <c r="AM14" s="534"/>
      <c r="AN14" s="534"/>
      <c r="AO14" s="534"/>
      <c r="AP14" s="534"/>
      <c r="AQ14" s="534"/>
      <c r="AR14" s="534"/>
      <c r="AS14" s="534"/>
      <c r="AT14" s="534"/>
      <c r="BN14" s="544" t="s">
        <v>173</v>
      </c>
      <c r="BO14" s="545"/>
      <c r="BP14" s="545"/>
      <c r="BQ14" s="546" t="s">
        <v>430</v>
      </c>
      <c r="BR14" s="547"/>
      <c r="BS14" s="547"/>
      <c r="BT14" s="547"/>
      <c r="BU14" s="547"/>
      <c r="BV14" s="547"/>
      <c r="BW14" s="545"/>
      <c r="BX14" s="545"/>
      <c r="BY14" s="545"/>
    </row>
    <row r="15" spans="1:87" x14ac:dyDescent="0.2">
      <c r="C15" s="534"/>
      <c r="D15" s="534"/>
      <c r="E15" s="534"/>
      <c r="F15" s="534"/>
      <c r="G15" s="534"/>
      <c r="H15" s="534"/>
      <c r="I15" s="534"/>
      <c r="J15" s="534"/>
      <c r="K15" s="534"/>
      <c r="L15" s="534"/>
      <c r="M15" s="534"/>
      <c r="N15" s="534"/>
      <c r="O15" s="534"/>
      <c r="P15" s="534"/>
      <c r="Q15" s="534"/>
      <c r="R15" s="534"/>
      <c r="S15" s="534"/>
      <c r="T15" s="534"/>
      <c r="U15" s="534"/>
      <c r="V15" s="534"/>
      <c r="W15" s="534"/>
      <c r="X15" s="534"/>
      <c r="Y15" s="534"/>
      <c r="Z15" s="534"/>
      <c r="AA15" s="534"/>
      <c r="AB15" s="534"/>
      <c r="AC15" s="534"/>
      <c r="AD15" s="534"/>
      <c r="AE15" s="534"/>
      <c r="AF15" s="534"/>
      <c r="AG15" s="534"/>
      <c r="AH15" s="534"/>
      <c r="AI15" s="534"/>
      <c r="AJ15" s="534"/>
      <c r="AK15" s="534"/>
      <c r="AL15" s="534"/>
      <c r="AM15" s="534"/>
      <c r="AN15" s="534"/>
      <c r="AO15" s="534"/>
      <c r="AP15" s="534"/>
      <c r="AQ15" s="534"/>
      <c r="AR15" s="534"/>
      <c r="AS15" s="534"/>
      <c r="AT15" s="534"/>
      <c r="BN15" s="548"/>
      <c r="BO15" s="549"/>
      <c r="BP15" s="549"/>
      <c r="BQ15" s="549"/>
      <c r="BR15" s="549"/>
      <c r="BS15" s="549"/>
      <c r="BT15" s="549"/>
      <c r="BU15" s="549"/>
      <c r="BV15" s="549"/>
      <c r="BW15" s="549"/>
      <c r="BX15" s="549"/>
      <c r="BY15" s="550"/>
    </row>
    <row r="16" spans="1:87" x14ac:dyDescent="0.2">
      <c r="C16" s="534"/>
      <c r="D16" s="534"/>
      <c r="E16" s="534"/>
      <c r="F16" s="534"/>
      <c r="G16" s="534"/>
      <c r="H16" s="534"/>
      <c r="I16" s="534"/>
      <c r="J16" s="534"/>
      <c r="K16" s="534"/>
      <c r="L16" s="534"/>
      <c r="M16" s="534"/>
      <c r="N16" s="534"/>
      <c r="O16" s="534"/>
      <c r="P16" s="534"/>
      <c r="Q16" s="534"/>
      <c r="R16" s="534"/>
      <c r="S16" s="534"/>
      <c r="T16" s="534"/>
      <c r="U16" s="534"/>
      <c r="V16" s="534"/>
      <c r="W16" s="534"/>
      <c r="X16" s="534"/>
      <c r="Y16" s="534"/>
      <c r="Z16" s="534"/>
      <c r="AA16" s="534"/>
      <c r="AB16" s="534"/>
      <c r="AC16" s="534"/>
      <c r="AD16" s="534"/>
      <c r="AE16" s="534"/>
      <c r="AF16" s="534"/>
      <c r="AG16" s="534"/>
      <c r="AH16" s="534"/>
      <c r="AI16" s="534"/>
      <c r="AJ16" s="534"/>
      <c r="AK16" s="534"/>
      <c r="AL16" s="534"/>
      <c r="AM16" s="534"/>
      <c r="AN16" s="534"/>
      <c r="AO16" s="534"/>
      <c r="AP16" s="534"/>
      <c r="AQ16" s="534"/>
      <c r="AR16" s="534"/>
      <c r="AS16" s="534"/>
      <c r="AT16" s="534"/>
      <c r="BN16" s="551"/>
      <c r="BO16" s="552" t="s">
        <v>175</v>
      </c>
      <c r="BP16" s="545" t="s">
        <v>431</v>
      </c>
      <c r="BQ16" s="545"/>
      <c r="BR16" s="545"/>
      <c r="BS16" s="545"/>
      <c r="BT16" s="545"/>
      <c r="BU16" s="545"/>
      <c r="BV16" s="545"/>
      <c r="BW16" s="545"/>
      <c r="BX16" s="545"/>
      <c r="BY16" s="553"/>
    </row>
    <row r="17" spans="3:79" x14ac:dyDescent="0.2">
      <c r="C17" s="554"/>
      <c r="D17" s="554"/>
      <c r="E17" s="554"/>
      <c r="F17" s="554"/>
      <c r="G17" s="554"/>
      <c r="H17" s="554"/>
      <c r="I17" s="554"/>
      <c r="J17" s="554"/>
      <c r="K17" s="554"/>
      <c r="L17" s="554"/>
      <c r="M17" s="554"/>
      <c r="N17" s="554"/>
      <c r="O17" s="554"/>
      <c r="P17" s="554"/>
      <c r="Q17" s="554"/>
      <c r="R17" s="554"/>
      <c r="S17" s="554"/>
      <c r="T17" s="554"/>
      <c r="U17" s="554"/>
      <c r="V17" s="554"/>
      <c r="W17" s="554"/>
      <c r="X17" s="554"/>
      <c r="Y17" s="554"/>
      <c r="Z17" s="554"/>
      <c r="AA17" s="554"/>
      <c r="AB17" s="554"/>
      <c r="AC17" s="554"/>
      <c r="AD17" s="554"/>
      <c r="AE17" s="554"/>
      <c r="AF17" s="554"/>
      <c r="AG17" s="554"/>
      <c r="AH17" s="554"/>
      <c r="AI17" s="554"/>
      <c r="AJ17" s="554"/>
      <c r="AK17" s="554"/>
      <c r="AL17" s="554"/>
      <c r="AM17" s="554"/>
      <c r="AN17" s="554"/>
      <c r="AO17" s="554"/>
      <c r="AP17" s="554"/>
      <c r="BN17" s="551"/>
      <c r="BO17" s="545"/>
      <c r="BP17" s="533" t="str">
        <f>BT7</f>
        <v>2021Q2</v>
      </c>
      <c r="BQ17" s="545"/>
      <c r="BR17" s="545"/>
      <c r="BS17" s="545"/>
      <c r="BT17" s="545"/>
      <c r="BU17" s="545"/>
      <c r="BV17" s="545"/>
      <c r="BW17" s="545"/>
      <c r="BX17" s="545"/>
      <c r="BY17" s="555" t="s">
        <v>176</v>
      </c>
    </row>
    <row r="18" spans="3:79" x14ac:dyDescent="0.2">
      <c r="BN18" s="551"/>
      <c r="BO18" s="545"/>
      <c r="BP18" s="556">
        <f>BT9</f>
        <v>2.956</v>
      </c>
      <c r="BQ18" s="557"/>
      <c r="BR18" s="545"/>
      <c r="BS18" s="545"/>
      <c r="BT18" s="545"/>
      <c r="BU18" s="545"/>
      <c r="BV18" s="545"/>
      <c r="BW18" s="545"/>
      <c r="BX18" s="545"/>
      <c r="BY18" s="558">
        <f>BP18</f>
        <v>2.956</v>
      </c>
    </row>
    <row r="19" spans="3:79" x14ac:dyDescent="0.2">
      <c r="BN19" s="551"/>
      <c r="BO19" s="545"/>
      <c r="BP19" s="545"/>
      <c r="BQ19" s="545"/>
      <c r="BR19" s="545"/>
      <c r="BS19" s="545"/>
      <c r="BT19" s="545"/>
      <c r="BU19" s="545"/>
      <c r="BV19" s="545"/>
      <c r="BW19" s="545"/>
      <c r="BX19" s="545"/>
      <c r="BY19" s="559"/>
      <c r="CA19" s="560"/>
    </row>
    <row r="20" spans="3:79" x14ac:dyDescent="0.2">
      <c r="BN20" s="1892" t="s">
        <v>177</v>
      </c>
      <c r="BO20" s="1893"/>
      <c r="BP20" s="1893"/>
      <c r="BQ20" s="545" t="s">
        <v>432</v>
      </c>
      <c r="BR20" s="545"/>
      <c r="BS20" s="545" t="s">
        <v>433</v>
      </c>
      <c r="BT20" s="545"/>
      <c r="BU20" s="545"/>
      <c r="BV20" s="545"/>
      <c r="BW20" s="545"/>
      <c r="BX20" s="545"/>
      <c r="BY20" s="559"/>
    </row>
    <row r="21" spans="3:79" x14ac:dyDescent="0.2">
      <c r="BN21" s="551"/>
      <c r="BO21" s="545"/>
      <c r="BP21" s="528" t="str">
        <f>BU7</f>
        <v>2021Q3</v>
      </c>
      <c r="BQ21" s="528" t="str">
        <f t="shared" ref="BQ21:BW21" si="0">BV7</f>
        <v>2021Q4</v>
      </c>
      <c r="BR21" s="528" t="str">
        <f t="shared" si="0"/>
        <v>2022Q1</v>
      </c>
      <c r="BS21" s="528" t="str">
        <f t="shared" si="0"/>
        <v>2022Q2</v>
      </c>
      <c r="BT21" s="528" t="str">
        <f t="shared" si="0"/>
        <v>2022Q3</v>
      </c>
      <c r="BU21" s="528" t="str">
        <f t="shared" si="0"/>
        <v>2022Q4</v>
      </c>
      <c r="BV21" s="528" t="str">
        <f t="shared" si="0"/>
        <v>2023Q1</v>
      </c>
      <c r="BW21" s="528" t="str">
        <f t="shared" si="0"/>
        <v>2023Q2</v>
      </c>
      <c r="BX21" s="545"/>
      <c r="BY21" s="559"/>
    </row>
    <row r="22" spans="3:79" x14ac:dyDescent="0.2">
      <c r="BN22" s="551"/>
      <c r="BO22" s="545"/>
      <c r="BP22" s="561">
        <f>BU9</f>
        <v>2.9729999999999999</v>
      </c>
      <c r="BQ22" s="562">
        <f t="shared" ref="BQ22:BW22" si="1">BV9</f>
        <v>2.9889999999999999</v>
      </c>
      <c r="BR22" s="562">
        <f t="shared" si="1"/>
        <v>3.0009999999999999</v>
      </c>
      <c r="BS22" s="562">
        <f t="shared" si="1"/>
        <v>3.0129999999999999</v>
      </c>
      <c r="BT22" s="562">
        <f t="shared" si="1"/>
        <v>3.0219999999999998</v>
      </c>
      <c r="BU22" s="562">
        <f t="shared" si="1"/>
        <v>3.0329999999999999</v>
      </c>
      <c r="BV22" s="562">
        <f t="shared" si="1"/>
        <v>3.04</v>
      </c>
      <c r="BW22" s="563">
        <f t="shared" si="1"/>
        <v>3.0489999999999999</v>
      </c>
      <c r="BX22" s="545"/>
      <c r="BY22" s="558">
        <f>AVERAGE(BP22:BW22)</f>
        <v>3.0149999999999997</v>
      </c>
    </row>
    <row r="23" spans="3:79" x14ac:dyDescent="0.2">
      <c r="BN23" s="551"/>
      <c r="BO23" s="545"/>
      <c r="BP23" s="545"/>
      <c r="BQ23" s="545"/>
      <c r="BR23" s="545"/>
      <c r="BS23" s="545"/>
      <c r="BT23" s="545"/>
      <c r="BU23" s="545"/>
      <c r="BV23" s="545"/>
      <c r="BW23" s="545"/>
      <c r="BX23" s="545"/>
      <c r="BY23" s="559"/>
    </row>
    <row r="24" spans="3:79" x14ac:dyDescent="0.2">
      <c r="BN24" s="551"/>
      <c r="BO24" s="545"/>
      <c r="BP24" s="545"/>
      <c r="BQ24" s="545"/>
      <c r="BR24" s="545"/>
      <c r="BS24" s="545"/>
      <c r="BT24" s="545"/>
      <c r="BU24" s="545"/>
      <c r="BV24" s="545"/>
      <c r="BW24" s="545"/>
      <c r="BX24" s="564" t="s">
        <v>179</v>
      </c>
      <c r="BY24" s="565">
        <f>(BY22-BY18)/BY18</f>
        <v>1.9959404600811814E-2</v>
      </c>
    </row>
    <row r="25" spans="3:79" x14ac:dyDescent="0.2">
      <c r="BN25" s="566"/>
      <c r="BO25" s="567"/>
      <c r="BP25" s="567"/>
      <c r="BQ25" s="567"/>
      <c r="BR25" s="567"/>
      <c r="BS25" s="567"/>
      <c r="BT25" s="567"/>
      <c r="BU25" s="567"/>
      <c r="BV25" s="567"/>
      <c r="BW25" s="567"/>
      <c r="BX25" s="567"/>
      <c r="BY25" s="568"/>
    </row>
  </sheetData>
  <mergeCells count="1">
    <mergeCell ref="BN20:BP20"/>
  </mergeCells>
  <pageMargins left="0.25" right="0.25" top="1" bottom="1" header="0.5" footer="0.5"/>
  <pageSetup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CI24"/>
  <sheetViews>
    <sheetView topLeftCell="BJ4" workbookViewId="0">
      <selection activeCell="N11" sqref="N11"/>
    </sheetView>
  </sheetViews>
  <sheetFormatPr defaultColWidth="9.140625" defaultRowHeight="12.75" x14ac:dyDescent="0.2"/>
  <cols>
    <col min="1" max="1" width="38.42578125" style="32" customWidth="1"/>
    <col min="2" max="2" width="12.85546875" style="37" customWidth="1"/>
    <col min="3" max="68" width="7.7109375" style="32" customWidth="1"/>
    <col min="69" max="76" width="8.85546875" style="32" customWidth="1"/>
    <col min="77" max="82" width="7.7109375" style="32" customWidth="1"/>
    <col min="83" max="16384" width="9.140625" style="32"/>
  </cols>
  <sheetData>
    <row r="1" spans="1:87" ht="18" x14ac:dyDescent="0.25">
      <c r="A1" s="30" t="s">
        <v>62</v>
      </c>
      <c r="B1" s="31"/>
    </row>
    <row r="2" spans="1:87" ht="15.75" x14ac:dyDescent="0.25">
      <c r="A2" s="33" t="s">
        <v>63</v>
      </c>
      <c r="B2" s="34"/>
    </row>
    <row r="3" spans="1:87" ht="15.75" thickBot="1" x14ac:dyDescent="0.3">
      <c r="A3" s="35" t="s">
        <v>64</v>
      </c>
      <c r="B3" s="36"/>
    </row>
    <row r="5" spans="1:87" x14ac:dyDescent="0.2">
      <c r="BM5" s="38">
        <v>43647</v>
      </c>
      <c r="BQ5" s="39">
        <v>44013</v>
      </c>
      <c r="BU5" s="39">
        <v>44378</v>
      </c>
      <c r="BY5" s="39">
        <v>44743</v>
      </c>
    </row>
    <row r="6" spans="1:87" x14ac:dyDescent="0.2">
      <c r="BM6" s="40" t="s">
        <v>65</v>
      </c>
      <c r="BN6" s="40" t="s">
        <v>66</v>
      </c>
      <c r="BO6" s="40" t="s">
        <v>67</v>
      </c>
      <c r="BP6" s="40" t="s">
        <v>68</v>
      </c>
      <c r="BQ6" s="41" t="s">
        <v>69</v>
      </c>
      <c r="BR6" s="41" t="s">
        <v>70</v>
      </c>
      <c r="BS6" s="41" t="s">
        <v>71</v>
      </c>
      <c r="BT6" s="41" t="s">
        <v>72</v>
      </c>
      <c r="BU6" s="42" t="s">
        <v>73</v>
      </c>
      <c r="BV6" s="42" t="s">
        <v>74</v>
      </c>
      <c r="BW6" s="42" t="s">
        <v>75</v>
      </c>
      <c r="BX6" s="42" t="s">
        <v>76</v>
      </c>
      <c r="BY6" s="43" t="s">
        <v>77</v>
      </c>
      <c r="BZ6" s="43" t="s">
        <v>78</v>
      </c>
      <c r="CA6" s="43" t="s">
        <v>79</v>
      </c>
      <c r="CB6" s="43" t="s">
        <v>80</v>
      </c>
    </row>
    <row r="7" spans="1:87" s="37" customFormat="1" x14ac:dyDescent="0.2">
      <c r="B7" s="37" t="s">
        <v>81</v>
      </c>
      <c r="C7" s="44" t="s">
        <v>82</v>
      </c>
      <c r="D7" s="44" t="s">
        <v>83</v>
      </c>
      <c r="E7" s="44" t="s">
        <v>84</v>
      </c>
      <c r="F7" s="44" t="s">
        <v>85</v>
      </c>
      <c r="G7" s="44" t="s">
        <v>86</v>
      </c>
      <c r="H7" s="44" t="s">
        <v>87</v>
      </c>
      <c r="I7" s="44" t="s">
        <v>88</v>
      </c>
      <c r="J7" s="44" t="s">
        <v>89</v>
      </c>
      <c r="K7" s="44" t="s">
        <v>90</v>
      </c>
      <c r="L7" s="44" t="s">
        <v>91</v>
      </c>
      <c r="M7" s="44" t="s">
        <v>92</v>
      </c>
      <c r="N7" s="44" t="s">
        <v>93</v>
      </c>
      <c r="O7" s="44" t="s">
        <v>94</v>
      </c>
      <c r="P7" s="44" t="s">
        <v>95</v>
      </c>
      <c r="Q7" s="44" t="s">
        <v>96</v>
      </c>
      <c r="R7" s="44" t="s">
        <v>97</v>
      </c>
      <c r="S7" s="44" t="s">
        <v>98</v>
      </c>
      <c r="T7" s="44" t="s">
        <v>99</v>
      </c>
      <c r="U7" s="44" t="s">
        <v>100</v>
      </c>
      <c r="V7" s="44" t="s">
        <v>101</v>
      </c>
      <c r="W7" s="44" t="s">
        <v>102</v>
      </c>
      <c r="X7" s="44" t="s">
        <v>103</v>
      </c>
      <c r="Y7" s="44" t="s">
        <v>104</v>
      </c>
      <c r="Z7" s="44" t="s">
        <v>105</v>
      </c>
      <c r="AA7" s="44" t="s">
        <v>106</v>
      </c>
      <c r="AB7" s="44" t="s">
        <v>107</v>
      </c>
      <c r="AC7" s="44" t="s">
        <v>108</v>
      </c>
      <c r="AD7" s="44" t="s">
        <v>109</v>
      </c>
      <c r="AE7" s="44" t="s">
        <v>110</v>
      </c>
      <c r="AF7" s="44" t="s">
        <v>111</v>
      </c>
      <c r="AG7" s="44" t="s">
        <v>112</v>
      </c>
      <c r="AH7" s="44" t="s">
        <v>113</v>
      </c>
      <c r="AI7" s="44" t="s">
        <v>114</v>
      </c>
      <c r="AJ7" s="44" t="s">
        <v>115</v>
      </c>
      <c r="AK7" s="44" t="s">
        <v>116</v>
      </c>
      <c r="AL7" s="44" t="s">
        <v>117</v>
      </c>
      <c r="AM7" s="44" t="s">
        <v>118</v>
      </c>
      <c r="AN7" s="44" t="s">
        <v>119</v>
      </c>
      <c r="AO7" s="44" t="s">
        <v>120</v>
      </c>
      <c r="AP7" s="44" t="s">
        <v>121</v>
      </c>
      <c r="AQ7" s="44" t="s">
        <v>122</v>
      </c>
      <c r="AR7" s="44" t="s">
        <v>123</v>
      </c>
      <c r="AS7" s="44" t="s">
        <v>124</v>
      </c>
      <c r="AT7" s="44" t="s">
        <v>125</v>
      </c>
      <c r="AU7" s="37" t="s">
        <v>126</v>
      </c>
      <c r="AV7" s="37" t="s">
        <v>127</v>
      </c>
      <c r="AW7" s="37" t="s">
        <v>128</v>
      </c>
      <c r="AX7" s="37" t="s">
        <v>129</v>
      </c>
      <c r="AY7" s="37" t="s">
        <v>130</v>
      </c>
      <c r="AZ7" s="37" t="s">
        <v>131</v>
      </c>
      <c r="BA7" s="37" t="s">
        <v>132</v>
      </c>
      <c r="BB7" s="37" t="s">
        <v>133</v>
      </c>
      <c r="BC7" s="37" t="s">
        <v>134</v>
      </c>
      <c r="BD7" s="37" t="s">
        <v>135</v>
      </c>
      <c r="BE7" s="37" t="s">
        <v>136</v>
      </c>
      <c r="BF7" s="37" t="s">
        <v>137</v>
      </c>
      <c r="BG7" s="37" t="s">
        <v>138</v>
      </c>
      <c r="BH7" s="37" t="s">
        <v>139</v>
      </c>
      <c r="BI7" s="37" t="s">
        <v>140</v>
      </c>
      <c r="BJ7" s="37" t="s">
        <v>141</v>
      </c>
      <c r="BK7" s="37" t="s">
        <v>142</v>
      </c>
      <c r="BL7" s="37" t="s">
        <v>143</v>
      </c>
      <c r="BM7" s="45" t="s">
        <v>144</v>
      </c>
      <c r="BN7" s="45" t="s">
        <v>145</v>
      </c>
      <c r="BO7" s="45" t="s">
        <v>146</v>
      </c>
      <c r="BP7" s="45" t="s">
        <v>147</v>
      </c>
      <c r="BQ7" s="46" t="s">
        <v>148</v>
      </c>
      <c r="BR7" s="46" t="s">
        <v>149</v>
      </c>
      <c r="BS7" s="46" t="s">
        <v>150</v>
      </c>
      <c r="BT7" s="46" t="s">
        <v>151</v>
      </c>
      <c r="BU7" s="47" t="s">
        <v>152</v>
      </c>
      <c r="BV7" s="47" t="s">
        <v>153</v>
      </c>
      <c r="BW7" s="47" t="s">
        <v>154</v>
      </c>
      <c r="BX7" s="47" t="s">
        <v>155</v>
      </c>
      <c r="BY7" s="48" t="s">
        <v>156</v>
      </c>
      <c r="BZ7" s="48" t="s">
        <v>157</v>
      </c>
      <c r="CA7" s="48" t="s">
        <v>158</v>
      </c>
      <c r="CB7" s="48" t="s">
        <v>159</v>
      </c>
      <c r="CC7" s="37" t="s">
        <v>160</v>
      </c>
      <c r="CD7" s="37" t="s">
        <v>161</v>
      </c>
      <c r="CE7" s="37" t="s">
        <v>162</v>
      </c>
      <c r="CF7" s="37" t="s">
        <v>163</v>
      </c>
      <c r="CG7" s="37" t="s">
        <v>164</v>
      </c>
      <c r="CH7" s="37" t="s">
        <v>165</v>
      </c>
      <c r="CI7" s="37" t="s">
        <v>166</v>
      </c>
    </row>
    <row r="8" spans="1:87" x14ac:dyDescent="0.2">
      <c r="A8" s="37" t="s">
        <v>167</v>
      </c>
      <c r="B8" s="37" t="s">
        <v>168</v>
      </c>
      <c r="C8" s="49">
        <v>2.0346113979326601</v>
      </c>
      <c r="D8" s="49">
        <v>2.0596527307169299</v>
      </c>
      <c r="E8" s="49">
        <v>2.0647060376300099</v>
      </c>
      <c r="F8" s="49">
        <v>2.0867602850429501</v>
      </c>
      <c r="G8" s="49">
        <v>2.10441482217594</v>
      </c>
      <c r="H8" s="49">
        <v>2.11471520481305</v>
      </c>
      <c r="I8" s="49">
        <v>2.1510993421160198</v>
      </c>
      <c r="J8" s="49">
        <v>2.1700303498167899</v>
      </c>
      <c r="K8" s="49">
        <v>2.1872092285050102</v>
      </c>
      <c r="L8" s="49">
        <v>2.2125396597183</v>
      </c>
      <c r="M8" s="49">
        <v>2.2351373991849601</v>
      </c>
      <c r="N8" s="49">
        <v>2.22048181639967</v>
      </c>
      <c r="O8" s="49">
        <v>2.2320116322918802</v>
      </c>
      <c r="P8" s="49">
        <v>2.25830972721704</v>
      </c>
      <c r="Q8" s="49">
        <v>2.27564533893606</v>
      </c>
      <c r="R8" s="49">
        <v>2.3021267451182101</v>
      </c>
      <c r="S8" s="49">
        <v>2.3193678221698799</v>
      </c>
      <c r="T8" s="49">
        <v>2.3630887401329401</v>
      </c>
      <c r="U8" s="49">
        <v>2.4040183268764199</v>
      </c>
      <c r="V8" s="49">
        <v>2.3508869392328702</v>
      </c>
      <c r="W8" s="49">
        <v>2.3397875662991998</v>
      </c>
      <c r="X8" s="49">
        <v>2.3463321773464698</v>
      </c>
      <c r="Y8" s="49">
        <v>2.3660208299322401</v>
      </c>
      <c r="Z8" s="49">
        <v>2.38072555635337</v>
      </c>
      <c r="AA8" s="49">
        <v>2.3786814788333301</v>
      </c>
      <c r="AB8" s="49">
        <v>2.3833628185945601</v>
      </c>
      <c r="AC8" s="49">
        <v>2.39782738150081</v>
      </c>
      <c r="AD8" s="49">
        <v>2.4216832770124701</v>
      </c>
      <c r="AE8" s="49">
        <v>2.4317461490191898</v>
      </c>
      <c r="AF8" s="49">
        <v>2.4769476627146898</v>
      </c>
      <c r="AG8" s="49">
        <v>2.4884783993884501</v>
      </c>
      <c r="AH8" s="49">
        <v>2.4969456869742301</v>
      </c>
      <c r="AI8" s="49">
        <v>2.5131764836174102</v>
      </c>
      <c r="AJ8" s="49">
        <v>2.5194129138440999</v>
      </c>
      <c r="AK8" s="49">
        <v>2.5296022010905101</v>
      </c>
      <c r="AL8" s="49">
        <v>2.55014674095177</v>
      </c>
      <c r="AM8" s="49">
        <v>2.55727771276656</v>
      </c>
      <c r="AN8" s="49">
        <v>2.5546180799215898</v>
      </c>
      <c r="AO8" s="49">
        <v>2.5737223597019399</v>
      </c>
      <c r="AP8" s="49">
        <v>2.5882577711185202</v>
      </c>
      <c r="AQ8" s="49">
        <v>2.59690193466492</v>
      </c>
      <c r="AR8" s="49">
        <v>2.60782686879682</v>
      </c>
      <c r="AS8" s="49">
        <v>2.6142506250731801</v>
      </c>
      <c r="AT8" s="49">
        <v>2.61661513719574</v>
      </c>
      <c r="AU8" s="49">
        <v>2.61186751422043</v>
      </c>
      <c r="AV8" s="49">
        <v>2.6225716857565202</v>
      </c>
      <c r="AW8" s="49">
        <v>2.61918012339319</v>
      </c>
      <c r="AX8" s="49">
        <v>2.62606071140064</v>
      </c>
      <c r="AY8" s="49">
        <v>2.6197019660963399</v>
      </c>
      <c r="AZ8" s="49">
        <v>2.6412980148257699</v>
      </c>
      <c r="BA8" s="49">
        <v>2.6622434334046901</v>
      </c>
      <c r="BB8" s="49">
        <v>2.67697032006182</v>
      </c>
      <c r="BC8" s="49">
        <v>2.69098591634374</v>
      </c>
      <c r="BD8" s="49">
        <v>2.6945884256758399</v>
      </c>
      <c r="BE8" s="49">
        <v>2.7069727936502899</v>
      </c>
      <c r="BF8" s="49">
        <v>2.72016803750495</v>
      </c>
      <c r="BG8" s="49">
        <v>2.7569818623248801</v>
      </c>
      <c r="BH8" s="49">
        <v>2.7703481242308801</v>
      </c>
      <c r="BI8" s="49">
        <v>2.7761821562378302</v>
      </c>
      <c r="BJ8" s="49">
        <v>2.7882443573554299</v>
      </c>
      <c r="BK8" s="49">
        <v>2.8008154324344998</v>
      </c>
      <c r="BL8" s="49">
        <v>2.8122629827835901</v>
      </c>
      <c r="BM8" s="49">
        <v>2.82670971159797</v>
      </c>
      <c r="BN8" s="49">
        <v>2.8407624221418502</v>
      </c>
      <c r="BO8" s="49">
        <v>2.8524451414889902</v>
      </c>
      <c r="BP8" s="49">
        <v>2.8068865147183502</v>
      </c>
      <c r="BQ8" s="49">
        <v>2.8339048270665099</v>
      </c>
      <c r="BR8" s="49">
        <v>2.8566125197244001</v>
      </c>
      <c r="BS8" s="49">
        <v>2.8745779629897301</v>
      </c>
      <c r="BT8" s="49">
        <v>2.8911172906433</v>
      </c>
      <c r="BU8" s="49">
        <v>2.9074342618909101</v>
      </c>
      <c r="BV8" s="49">
        <v>2.92404361040869</v>
      </c>
      <c r="BW8" s="49">
        <v>2.9454748618216899</v>
      </c>
      <c r="BX8" s="49">
        <v>2.96736156173443</v>
      </c>
      <c r="BY8" s="49">
        <v>2.9925924601287002</v>
      </c>
      <c r="BZ8" s="49">
        <v>3.01635537634772</v>
      </c>
      <c r="CA8" s="49">
        <v>3.0377905218009502</v>
      </c>
      <c r="CB8" s="49">
        <v>3.05548519662897</v>
      </c>
      <c r="CC8" s="49">
        <v>3.07379933713599</v>
      </c>
      <c r="CD8" s="49">
        <v>3.09268940817564</v>
      </c>
      <c r="CE8" s="49">
        <v>3.1120001257908299</v>
      </c>
      <c r="CF8" s="49">
        <v>3.1321186158587802</v>
      </c>
      <c r="CG8" s="49">
        <v>3.1520557224454402</v>
      </c>
      <c r="CH8" s="49">
        <v>3.1715827744427898</v>
      </c>
    </row>
    <row r="9" spans="1:87" x14ac:dyDescent="0.2">
      <c r="A9" s="37" t="s">
        <v>169</v>
      </c>
      <c r="B9" s="37" t="s">
        <v>170</v>
      </c>
      <c r="C9" s="49">
        <v>2.0346113979326601</v>
      </c>
      <c r="D9" s="49">
        <v>2.0596527307169299</v>
      </c>
      <c r="E9" s="49">
        <v>2.0647060376300099</v>
      </c>
      <c r="F9" s="49">
        <v>2.0867602850429501</v>
      </c>
      <c r="G9" s="49">
        <v>2.10441482217594</v>
      </c>
      <c r="H9" s="49">
        <v>2.11471520481305</v>
      </c>
      <c r="I9" s="49">
        <v>2.1510993421160198</v>
      </c>
      <c r="J9" s="49">
        <v>2.1700303498167899</v>
      </c>
      <c r="K9" s="49">
        <v>2.1872092285050102</v>
      </c>
      <c r="L9" s="49">
        <v>2.2125396597183</v>
      </c>
      <c r="M9" s="49">
        <v>2.2351373991849601</v>
      </c>
      <c r="N9" s="49">
        <v>2.22048181639967</v>
      </c>
      <c r="O9" s="49">
        <v>2.2320116322918802</v>
      </c>
      <c r="P9" s="49">
        <v>2.25830972721704</v>
      </c>
      <c r="Q9" s="49">
        <v>2.27564533893606</v>
      </c>
      <c r="R9" s="49">
        <v>2.3021267451182101</v>
      </c>
      <c r="S9" s="49">
        <v>2.3193678221698799</v>
      </c>
      <c r="T9" s="49">
        <v>2.3630887401329401</v>
      </c>
      <c r="U9" s="49">
        <v>2.4040183268764199</v>
      </c>
      <c r="V9" s="49">
        <v>2.3508869392328702</v>
      </c>
      <c r="W9" s="49">
        <v>2.3397875662991998</v>
      </c>
      <c r="X9" s="49">
        <v>2.3463321773464698</v>
      </c>
      <c r="Y9" s="49">
        <v>2.3660208299322401</v>
      </c>
      <c r="Z9" s="49">
        <v>2.38072555635337</v>
      </c>
      <c r="AA9" s="49">
        <v>2.3786814788333301</v>
      </c>
      <c r="AB9" s="49">
        <v>2.3833628185945601</v>
      </c>
      <c r="AC9" s="49">
        <v>2.39782738150081</v>
      </c>
      <c r="AD9" s="49">
        <v>2.4216832770124701</v>
      </c>
      <c r="AE9" s="49">
        <v>2.4317461490191898</v>
      </c>
      <c r="AF9" s="49">
        <v>2.4769476627146898</v>
      </c>
      <c r="AG9" s="49">
        <v>2.4884783993884501</v>
      </c>
      <c r="AH9" s="49">
        <v>2.4969456869742301</v>
      </c>
      <c r="AI9" s="49">
        <v>2.5131764836174102</v>
      </c>
      <c r="AJ9" s="49">
        <v>2.5194129138440999</v>
      </c>
      <c r="AK9" s="49">
        <v>2.5296022010905101</v>
      </c>
      <c r="AL9" s="49">
        <v>2.55014674095177</v>
      </c>
      <c r="AM9" s="49">
        <v>2.55727771276656</v>
      </c>
      <c r="AN9" s="49">
        <v>2.5546180799215898</v>
      </c>
      <c r="AO9" s="49">
        <v>2.5737223597019399</v>
      </c>
      <c r="AP9" s="49">
        <v>2.5882577711185202</v>
      </c>
      <c r="AQ9" s="49">
        <v>2.59690193466492</v>
      </c>
      <c r="AR9" s="49">
        <v>2.60782686879682</v>
      </c>
      <c r="AS9" s="49">
        <v>2.6142506250731801</v>
      </c>
      <c r="AT9" s="49">
        <v>2.61661513719574</v>
      </c>
      <c r="AU9" s="49">
        <v>2.61186751422043</v>
      </c>
      <c r="AV9" s="49">
        <v>2.6225716857565202</v>
      </c>
      <c r="AW9" s="49">
        <v>2.61918012339319</v>
      </c>
      <c r="AX9" s="49">
        <v>2.62606071140064</v>
      </c>
      <c r="AY9" s="49">
        <v>2.6197019660963399</v>
      </c>
      <c r="AZ9" s="49">
        <v>2.6412980148257699</v>
      </c>
      <c r="BA9" s="49">
        <v>2.6622434334046901</v>
      </c>
      <c r="BB9" s="49">
        <v>2.67697032006182</v>
      </c>
      <c r="BC9" s="49">
        <v>2.69098591634374</v>
      </c>
      <c r="BD9" s="49">
        <v>2.6945884256758399</v>
      </c>
      <c r="BE9" s="49">
        <v>2.7069727936502899</v>
      </c>
      <c r="BF9" s="49">
        <v>2.72016803750495</v>
      </c>
      <c r="BG9" s="49">
        <v>2.7569818623248801</v>
      </c>
      <c r="BH9" s="49">
        <v>2.7703481242308801</v>
      </c>
      <c r="BI9" s="49">
        <v>2.7761821562378302</v>
      </c>
      <c r="BJ9" s="49">
        <v>2.7882443573554299</v>
      </c>
      <c r="BK9" s="49">
        <v>2.8008154324344998</v>
      </c>
      <c r="BL9" s="49">
        <v>2.8122629827835901</v>
      </c>
      <c r="BM9" s="49">
        <v>2.82670971159797</v>
      </c>
      <c r="BN9" s="49">
        <v>2.8407624221418502</v>
      </c>
      <c r="BO9" s="49">
        <v>2.8524451414889902</v>
      </c>
      <c r="BP9" s="49">
        <v>2.80860793616002</v>
      </c>
      <c r="BQ9" s="49">
        <v>2.8380202743543701</v>
      </c>
      <c r="BR9" s="49">
        <v>2.86968307025424</v>
      </c>
      <c r="BS9" s="49">
        <v>2.89758026047059</v>
      </c>
      <c r="BT9" s="49">
        <v>2.9235429337398902</v>
      </c>
      <c r="BU9" s="49">
        <v>2.9471940399365701</v>
      </c>
      <c r="BV9" s="49">
        <v>2.9699892448566998</v>
      </c>
      <c r="BW9" s="49">
        <v>2.9922800533195999</v>
      </c>
      <c r="BX9" s="49">
        <v>3.01370698237616</v>
      </c>
      <c r="BY9" s="49">
        <v>3.0353901681736799</v>
      </c>
      <c r="BZ9" s="49">
        <v>3.0579714800193298</v>
      </c>
      <c r="CA9" s="49">
        <v>3.08095019160828</v>
      </c>
      <c r="CB9" s="49">
        <v>3.1044126347735101</v>
      </c>
      <c r="CC9" s="49">
        <v>3.1286114942943901</v>
      </c>
      <c r="CD9" s="49">
        <v>3.1515642168972202</v>
      </c>
      <c r="CE9" s="49">
        <v>3.1739949416486799</v>
      </c>
      <c r="CF9" s="49">
        <v>3.19602400628479</v>
      </c>
      <c r="CG9" s="49">
        <v>3.2176429990764701</v>
      </c>
      <c r="CH9" s="49">
        <v>3.23879428690124</v>
      </c>
    </row>
    <row r="10" spans="1:87" x14ac:dyDescent="0.2">
      <c r="A10" s="37" t="s">
        <v>171</v>
      </c>
      <c r="B10" s="37" t="s">
        <v>172</v>
      </c>
      <c r="C10" s="49">
        <v>2.0346113979326601</v>
      </c>
      <c r="D10" s="49">
        <v>2.0596527307169299</v>
      </c>
      <c r="E10" s="49">
        <v>2.0647060376300099</v>
      </c>
      <c r="F10" s="49">
        <v>2.0867602850429501</v>
      </c>
      <c r="G10" s="49">
        <v>2.10441482217594</v>
      </c>
      <c r="H10" s="49">
        <v>2.11471520481305</v>
      </c>
      <c r="I10" s="49">
        <v>2.1510993421160198</v>
      </c>
      <c r="J10" s="49">
        <v>2.1700303498167899</v>
      </c>
      <c r="K10" s="49">
        <v>2.1872092285050102</v>
      </c>
      <c r="L10" s="49">
        <v>2.2125396597183</v>
      </c>
      <c r="M10" s="49">
        <v>2.2351373991849601</v>
      </c>
      <c r="N10" s="49">
        <v>2.22048181639967</v>
      </c>
      <c r="O10" s="49">
        <v>2.2320116322918802</v>
      </c>
      <c r="P10" s="49">
        <v>2.25830972721704</v>
      </c>
      <c r="Q10" s="49">
        <v>2.27564533893606</v>
      </c>
      <c r="R10" s="49">
        <v>2.3021267451182101</v>
      </c>
      <c r="S10" s="49">
        <v>2.3193678221698799</v>
      </c>
      <c r="T10" s="49">
        <v>2.3630887401329401</v>
      </c>
      <c r="U10" s="49">
        <v>2.4040183268764199</v>
      </c>
      <c r="V10" s="49">
        <v>2.3508869392328702</v>
      </c>
      <c r="W10" s="49">
        <v>2.3397875662991998</v>
      </c>
      <c r="X10" s="49">
        <v>2.3463321773464698</v>
      </c>
      <c r="Y10" s="49">
        <v>2.3660208299322401</v>
      </c>
      <c r="Z10" s="49">
        <v>2.38072555635337</v>
      </c>
      <c r="AA10" s="49">
        <v>2.3786814788333301</v>
      </c>
      <c r="AB10" s="49">
        <v>2.3833628185945601</v>
      </c>
      <c r="AC10" s="49">
        <v>2.39782738150081</v>
      </c>
      <c r="AD10" s="49">
        <v>2.4216832770124701</v>
      </c>
      <c r="AE10" s="49">
        <v>2.4317461490191898</v>
      </c>
      <c r="AF10" s="49">
        <v>2.4769476627146898</v>
      </c>
      <c r="AG10" s="49">
        <v>2.4884783993884501</v>
      </c>
      <c r="AH10" s="49">
        <v>2.4969456869742301</v>
      </c>
      <c r="AI10" s="49">
        <v>2.5131764836174102</v>
      </c>
      <c r="AJ10" s="49">
        <v>2.5194129138440999</v>
      </c>
      <c r="AK10" s="49">
        <v>2.5296022010905101</v>
      </c>
      <c r="AL10" s="49">
        <v>2.55014674095177</v>
      </c>
      <c r="AM10" s="49">
        <v>2.55727771276656</v>
      </c>
      <c r="AN10" s="49">
        <v>2.5546180799215898</v>
      </c>
      <c r="AO10" s="49">
        <v>2.5737223597019399</v>
      </c>
      <c r="AP10" s="49">
        <v>2.5882577711185202</v>
      </c>
      <c r="AQ10" s="49">
        <v>2.59690193466492</v>
      </c>
      <c r="AR10" s="49">
        <v>2.60782686879682</v>
      </c>
      <c r="AS10" s="49">
        <v>2.6142506250731801</v>
      </c>
      <c r="AT10" s="49">
        <v>2.61661513719574</v>
      </c>
      <c r="AU10" s="49">
        <v>2.61186751422043</v>
      </c>
      <c r="AV10" s="49">
        <v>2.6225716857565202</v>
      </c>
      <c r="AW10" s="49">
        <v>2.61918012339319</v>
      </c>
      <c r="AX10" s="49">
        <v>2.62606071140064</v>
      </c>
      <c r="AY10" s="49">
        <v>2.6197019660963399</v>
      </c>
      <c r="AZ10" s="49">
        <v>2.6412980148257699</v>
      </c>
      <c r="BA10" s="49">
        <v>2.6622434334046901</v>
      </c>
      <c r="BB10" s="49">
        <v>2.67697032006182</v>
      </c>
      <c r="BC10" s="49">
        <v>2.69098591634374</v>
      </c>
      <c r="BD10" s="49">
        <v>2.6945884256758399</v>
      </c>
      <c r="BE10" s="49">
        <v>2.7069727936502899</v>
      </c>
      <c r="BF10" s="49">
        <v>2.72016803750495</v>
      </c>
      <c r="BG10" s="49">
        <v>2.7569818623248801</v>
      </c>
      <c r="BH10" s="49">
        <v>2.7703481242308801</v>
      </c>
      <c r="BI10" s="49">
        <v>2.7761821562378302</v>
      </c>
      <c r="BJ10" s="49">
        <v>2.7882443573554299</v>
      </c>
      <c r="BK10" s="49">
        <v>2.8008154324344998</v>
      </c>
      <c r="BL10" s="49">
        <v>2.8122629827835901</v>
      </c>
      <c r="BM10" s="49">
        <v>2.82670971159797</v>
      </c>
      <c r="BN10" s="49">
        <v>2.8407624221418502</v>
      </c>
      <c r="BO10" s="49">
        <v>2.8524451414889902</v>
      </c>
      <c r="BP10" s="49">
        <v>2.7999908176088102</v>
      </c>
      <c r="BQ10" s="49">
        <v>2.8032503664278199</v>
      </c>
      <c r="BR10" s="49">
        <v>2.8137528048086899</v>
      </c>
      <c r="BS10" s="49">
        <v>2.8290771049768502</v>
      </c>
      <c r="BT10" s="49">
        <v>2.8479109397991902</v>
      </c>
      <c r="BU10" s="49">
        <v>2.87387741474262</v>
      </c>
      <c r="BV10" s="49">
        <v>2.9002379288976399</v>
      </c>
      <c r="BW10" s="49">
        <v>2.9239616795251102</v>
      </c>
      <c r="BX10" s="49">
        <v>2.9394378273879398</v>
      </c>
      <c r="BY10" s="49">
        <v>2.9532904006137999</v>
      </c>
      <c r="BZ10" s="49">
        <v>2.9659564211991198</v>
      </c>
      <c r="CA10" s="49">
        <v>2.9808747422772202</v>
      </c>
      <c r="CB10" s="49">
        <v>2.9980860994573302</v>
      </c>
      <c r="CC10" s="49">
        <v>3.0165034939356699</v>
      </c>
      <c r="CD10" s="49">
        <v>3.03371638723912</v>
      </c>
      <c r="CE10" s="49">
        <v>3.0502663702448198</v>
      </c>
      <c r="CF10" s="49">
        <v>3.06655466352704</v>
      </c>
      <c r="CG10" s="49">
        <v>3.08669243367935</v>
      </c>
      <c r="CH10" s="49">
        <v>3.1034194254391299</v>
      </c>
    </row>
    <row r="13" spans="1:87" x14ac:dyDescent="0.2">
      <c r="BO13" s="50" t="s">
        <v>173</v>
      </c>
      <c r="BP13" s="51"/>
      <c r="BQ13" s="51"/>
      <c r="BR13" s="52" t="s">
        <v>174</v>
      </c>
      <c r="BS13" s="53"/>
      <c r="BT13" s="53"/>
      <c r="BU13" s="53"/>
      <c r="BV13" s="53"/>
      <c r="BW13" s="53"/>
      <c r="BX13" s="51"/>
      <c r="BY13" s="51"/>
      <c r="BZ13" s="51"/>
    </row>
    <row r="14" spans="1:87" x14ac:dyDescent="0.2">
      <c r="BO14" s="54"/>
      <c r="BP14" s="55"/>
      <c r="BQ14" s="55"/>
      <c r="BR14" s="55"/>
      <c r="BS14" s="55"/>
      <c r="BT14" s="55"/>
      <c r="BU14" s="55"/>
      <c r="BV14" s="55"/>
      <c r="BW14" s="55"/>
      <c r="BX14" s="55"/>
      <c r="BY14" s="55"/>
      <c r="BZ14" s="56"/>
    </row>
    <row r="15" spans="1:87" x14ac:dyDescent="0.2">
      <c r="BO15" s="57"/>
      <c r="BP15" s="58" t="s">
        <v>175</v>
      </c>
      <c r="BQ15" s="59" t="str">
        <f>BX6</f>
        <v>FY22 Q4</v>
      </c>
      <c r="BR15" s="51"/>
      <c r="BS15" s="51"/>
      <c r="BT15" s="51"/>
      <c r="BU15" s="51"/>
      <c r="BV15" s="51"/>
      <c r="BW15" s="51"/>
      <c r="BX15" s="51"/>
      <c r="BY15" s="51"/>
      <c r="BZ15" s="60"/>
    </row>
    <row r="16" spans="1:87" x14ac:dyDescent="0.2">
      <c r="BO16" s="57"/>
      <c r="BP16" s="51"/>
      <c r="BQ16" s="61" t="str">
        <f>BX7</f>
        <v>2022Q2</v>
      </c>
      <c r="BR16" s="51"/>
      <c r="BS16" s="51"/>
      <c r="BT16" s="51"/>
      <c r="BU16" s="51"/>
      <c r="BV16" s="51"/>
      <c r="BW16" s="51"/>
      <c r="BX16" s="51"/>
      <c r="BY16" s="51"/>
      <c r="BZ16" s="62" t="s">
        <v>176</v>
      </c>
    </row>
    <row r="17" spans="67:78" x14ac:dyDescent="0.2">
      <c r="BO17" s="57"/>
      <c r="BP17" s="51"/>
      <c r="BQ17" s="63">
        <f>BX9</f>
        <v>3.01370698237616</v>
      </c>
      <c r="BR17" s="51"/>
      <c r="BS17" s="51"/>
      <c r="BT17" s="51"/>
      <c r="BU17" s="51"/>
      <c r="BV17" s="51"/>
      <c r="BW17" s="51"/>
      <c r="BX17" s="51"/>
      <c r="BY17" s="51"/>
      <c r="BZ17" s="64">
        <f>BQ17</f>
        <v>3.01370698237616</v>
      </c>
    </row>
    <row r="18" spans="67:78" x14ac:dyDescent="0.2">
      <c r="BO18" s="57"/>
      <c r="BP18" s="51"/>
      <c r="BQ18" s="51"/>
      <c r="BR18" s="51"/>
      <c r="BS18" s="51"/>
      <c r="BT18" s="51"/>
      <c r="BU18" s="51"/>
      <c r="BV18" s="51"/>
      <c r="BW18" s="51"/>
      <c r="BX18" s="51"/>
      <c r="BY18" s="51"/>
      <c r="BZ18" s="65"/>
    </row>
    <row r="19" spans="67:78" x14ac:dyDescent="0.2">
      <c r="BO19" s="1894" t="s">
        <v>177</v>
      </c>
      <c r="BP19" s="1895"/>
      <c r="BQ19" s="1895"/>
      <c r="BR19" s="51" t="s">
        <v>178</v>
      </c>
      <c r="BS19" s="51"/>
      <c r="BT19" s="51"/>
      <c r="BU19" s="51"/>
      <c r="BV19" s="51"/>
      <c r="BW19" s="51"/>
      <c r="BX19" s="51"/>
      <c r="BY19" s="51"/>
      <c r="BZ19" s="65"/>
    </row>
    <row r="20" spans="67:78" x14ac:dyDescent="0.2">
      <c r="BO20" s="57"/>
      <c r="BP20" s="51"/>
      <c r="BQ20" s="66" t="str">
        <f>BU7</f>
        <v>2021Q3</v>
      </c>
      <c r="BR20" s="66" t="str">
        <f t="shared" ref="BR20:BX20" si="0">BV7</f>
        <v>2021Q4</v>
      </c>
      <c r="BS20" s="66" t="str">
        <f t="shared" si="0"/>
        <v>2022Q1</v>
      </c>
      <c r="BT20" s="66" t="str">
        <f t="shared" si="0"/>
        <v>2022Q2</v>
      </c>
      <c r="BU20" s="66" t="str">
        <f t="shared" si="0"/>
        <v>2022Q3</v>
      </c>
      <c r="BV20" s="66" t="str">
        <f t="shared" si="0"/>
        <v>2022Q4</v>
      </c>
      <c r="BW20" s="66" t="str">
        <f t="shared" si="0"/>
        <v>2023Q1</v>
      </c>
      <c r="BX20" s="66" t="str">
        <f t="shared" si="0"/>
        <v>2023Q2</v>
      </c>
      <c r="BY20" s="51"/>
      <c r="BZ20" s="65"/>
    </row>
    <row r="21" spans="67:78" x14ac:dyDescent="0.2">
      <c r="BO21" s="57"/>
      <c r="BP21" s="51"/>
      <c r="BQ21" s="63">
        <f>BU9</f>
        <v>2.9471940399365701</v>
      </c>
      <c r="BR21" s="63">
        <f t="shared" ref="BR21:BX21" si="1">BV9</f>
        <v>2.9699892448566998</v>
      </c>
      <c r="BS21" s="63">
        <f t="shared" si="1"/>
        <v>2.9922800533195999</v>
      </c>
      <c r="BT21" s="63">
        <f t="shared" si="1"/>
        <v>3.01370698237616</v>
      </c>
      <c r="BU21" s="63">
        <f t="shared" si="1"/>
        <v>3.0353901681736799</v>
      </c>
      <c r="BV21" s="63">
        <f t="shared" si="1"/>
        <v>3.0579714800193298</v>
      </c>
      <c r="BW21" s="63">
        <f t="shared" si="1"/>
        <v>3.08095019160828</v>
      </c>
      <c r="BX21" s="63">
        <f t="shared" si="1"/>
        <v>3.1044126347735101</v>
      </c>
      <c r="BY21" s="51"/>
      <c r="BZ21" s="64">
        <f>AVERAGE(BQ21:BX21)</f>
        <v>3.0252368493829787</v>
      </c>
    </row>
    <row r="22" spans="67:78" x14ac:dyDescent="0.2">
      <c r="BO22" s="57"/>
      <c r="BP22" s="51"/>
      <c r="BQ22" s="51"/>
      <c r="BR22" s="51"/>
      <c r="BS22" s="51"/>
      <c r="BT22" s="51"/>
      <c r="BU22" s="51"/>
      <c r="BV22" s="51"/>
      <c r="BW22" s="51"/>
      <c r="BX22" s="51"/>
      <c r="BY22" s="51"/>
      <c r="BZ22" s="65"/>
    </row>
    <row r="23" spans="67:78" x14ac:dyDescent="0.2">
      <c r="BO23" s="57"/>
      <c r="BP23" s="51"/>
      <c r="BQ23" s="51"/>
      <c r="BR23" s="51"/>
      <c r="BS23" s="51"/>
      <c r="BT23" s="51"/>
      <c r="BU23" s="51"/>
      <c r="BV23" s="51"/>
      <c r="BW23" s="51"/>
      <c r="BX23" s="51"/>
      <c r="BY23" s="67" t="s">
        <v>179</v>
      </c>
      <c r="BZ23" s="68">
        <f>(BZ21-BZ17)/BZ17</f>
        <v>3.8258089038662774E-3</v>
      </c>
    </row>
    <row r="24" spans="67:78" x14ac:dyDescent="0.2">
      <c r="BO24" s="69"/>
      <c r="BP24" s="70"/>
      <c r="BQ24" s="70"/>
      <c r="BR24" s="70"/>
      <c r="BS24" s="70"/>
      <c r="BT24" s="70"/>
      <c r="BU24" s="70"/>
      <c r="BV24" s="70"/>
      <c r="BW24" s="70"/>
      <c r="BX24" s="70"/>
      <c r="BY24" s="70"/>
      <c r="BZ24" s="71"/>
    </row>
  </sheetData>
  <mergeCells count="1">
    <mergeCell ref="BO19:BQ19"/>
  </mergeCells>
  <pageMargins left="0.25" right="0.25" top="1" bottom="1" header="0.5" footer="0.5"/>
  <pageSetup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43</vt:i4>
      </vt:variant>
      <vt:variant>
        <vt:lpstr>Named Ranges</vt:lpstr>
      </vt:variant>
      <vt:variant>
        <vt:i4>11</vt:i4>
      </vt:variant>
    </vt:vector>
  </HeadingPairs>
  <TitlesOfParts>
    <vt:vector size="54" baseType="lpstr">
      <vt:lpstr>Salary Bench Chart</vt:lpstr>
      <vt:lpstr>Rate Chart</vt:lpstr>
      <vt:lpstr>CAF Fall 2024</vt:lpstr>
      <vt:lpstr>M2023 BLS Chart</vt:lpstr>
      <vt:lpstr>state_M2023_dl</vt:lpstr>
      <vt:lpstr>M2021 BLS  SALARY CHART 53_PCT</vt:lpstr>
      <vt:lpstr>CAF FALL 2022</vt:lpstr>
      <vt:lpstr>CAF Fall 2020</vt:lpstr>
      <vt:lpstr>CAF Spring 2020</vt:lpstr>
      <vt:lpstr>Youth&amp;YA Group Resid CCYY</vt:lpstr>
      <vt:lpstr>Youth&amp;YA Supp.Living Comm CCYY </vt:lpstr>
      <vt:lpstr>Young Adult Supported Liv CCYY</vt:lpstr>
      <vt:lpstr>Young Parent Resi CCYY</vt:lpstr>
      <vt:lpstr>Comm Treatment Residence CCTR </vt:lpstr>
      <vt:lpstr>Specialty Treatment Resi CCTR</vt:lpstr>
      <vt:lpstr>Specialty TR -CSEC (CCTR) </vt:lpstr>
      <vt:lpstr>Intensive Treatment Resi (CCTR)</vt:lpstr>
      <vt:lpstr>Emergency Residence CCER</vt:lpstr>
      <vt:lpstr>Intensive Emergency Resid CCER</vt:lpstr>
      <vt:lpstr>Int Tment Res Emer Intake addon</vt:lpstr>
      <vt:lpstr> Medically Complex Resid CCMR</vt:lpstr>
      <vt:lpstr>MedCmplx &amp; Behavioral Resi CCMR</vt:lpstr>
      <vt:lpstr>BLS CHART M2020</vt:lpstr>
      <vt:lpstr>Regulation Rates</vt:lpstr>
      <vt:lpstr>3073 Intensive Therapeutic FY24</vt:lpstr>
      <vt:lpstr>TAYYA </vt:lpstr>
      <vt:lpstr>YouthRes</vt:lpstr>
      <vt:lpstr>CIRT</vt:lpstr>
      <vt:lpstr>IRTP</vt:lpstr>
      <vt:lpstr> Intensive Therapeutic Care</vt:lpstr>
      <vt:lpstr>3072 Therap Grp Care 6 FY24</vt:lpstr>
      <vt:lpstr>DMH wish list</vt:lpstr>
      <vt:lpstr> Adult Theraputic Care</vt:lpstr>
      <vt:lpstr>3064 Adult Therap Care (FY24)</vt:lpstr>
      <vt:lpstr>Therapeutic Grp Care 6 Bed</vt:lpstr>
      <vt:lpstr>Therapeutic Grp Care 9 Bed </vt:lpstr>
      <vt:lpstr>Therapeutic Grp Care12 Bed </vt:lpstr>
      <vt:lpstr>FY26 Add on Rates</vt:lpstr>
      <vt:lpstr>BTL 3073</vt:lpstr>
      <vt:lpstr>3072 Therap Grp Care 9  FY24</vt:lpstr>
      <vt:lpstr>3072 Therap Grp Care 12 (FY24)</vt:lpstr>
      <vt:lpstr>IFC </vt:lpstr>
      <vt:lpstr>FY21 UFR TILP-YOUTH</vt:lpstr>
      <vt:lpstr>state_M2023_dl!alldata</vt:lpstr>
      <vt:lpstr>CIRT!Print_Area</vt:lpstr>
      <vt:lpstr>'Comm Treatment Residence CCTR '!Print_Area</vt:lpstr>
      <vt:lpstr>IRTP!Print_Area</vt:lpstr>
      <vt:lpstr>'M2021 BLS  SALARY CHART 53_PCT'!Print_Area</vt:lpstr>
      <vt:lpstr>'M2023 BLS Chart'!Print_Area</vt:lpstr>
      <vt:lpstr>'TAYYA '!Print_Area</vt:lpstr>
      <vt:lpstr>YouthRes!Print_Area</vt:lpstr>
      <vt:lpstr>'CAF Fall 2020'!Print_Titles</vt:lpstr>
      <vt:lpstr>'CAF FALL 2022'!Print_Titles</vt:lpstr>
      <vt:lpstr>'CAF Fall 2024'!Print_Titles</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Kara Stanford</dc:creator>
  <cp:lastModifiedBy>Harrison, Deborah (EHS)</cp:lastModifiedBy>
  <cp:lastPrinted>2025-01-23T21:08:41Z</cp:lastPrinted>
  <dcterms:created xsi:type="dcterms:W3CDTF">2020-06-05T18:18:52Z</dcterms:created>
  <dcterms:modified xsi:type="dcterms:W3CDTF">2025-05-28T18:05:14Z</dcterms:modified>
</cp:coreProperties>
</file>