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EC25C1FF-A8F0-48F0-B6EE-546C36DD2301}" xr6:coauthVersionLast="47" xr6:coauthVersionMax="47" xr10:uidLastSave="{00000000-0000-0000-0000-000000000000}"/>
  <bookViews>
    <workbookView xWindow="19570" yWindow="-1700" windowWidth="18830" windowHeight="11240" tabRatio="598" firstSheet="2" activeTab="9" xr2:uid="{00000000-000D-0000-FFFF-FFFF00000000}"/>
  </bookViews>
  <sheets>
    <sheet name="M2022 BLS  (53_PCT)" sheetId="26" state="hidden" r:id="rId1"/>
    <sheet name="Fiscal Impact" sheetId="23" state="hidden" r:id="rId2"/>
    <sheet name="M2024 BLS  (53_PCT)" sheetId="29" r:id="rId3"/>
    <sheet name="Rate Chart" sheetId="24" r:id="rId4"/>
    <sheet name="Youth Res Models 2026" sheetId="31" r:id="rId5"/>
    <sheet name="TILP Models (A&amp;B) 2026" sheetId="32" r:id="rId6"/>
    <sheet name=" Add-Ons (DC &amp; Clinical 2024)" sheetId="12" state="hidden" r:id="rId7"/>
    <sheet name=" Add-Ons (DC &amp; Clinical 2026" sheetId="41" r:id="rId8"/>
    <sheet name="FY24 UFR CSN" sheetId="37" state="hidden" r:id="rId9"/>
    <sheet name="CSN Models 2026" sheetId="39" r:id="rId10"/>
    <sheet name="CSN Add On Rates 2026" sheetId="35" r:id="rId11"/>
    <sheet name="READY 2514 (FY26)" sheetId="36" r:id="rId12"/>
    <sheet name="CAF Spring 2025" sheetId="30" r:id="rId13"/>
    <sheet name="CAF Spring 2023" sheetId="22" state="hidden" r:id="rId14"/>
    <sheet name="Fiscal Impact2" sheetId="28" state="hidden" r:id="rId15"/>
    <sheet name="Youth Res Models 2024" sheetId="11" state="hidden" r:id="rId16"/>
    <sheet name="TILP Models (A&amp;B) 2024" sheetId="10" state="hidden" r:id="rId17"/>
    <sheet name="CSN Models 2024" sheetId="18" state="hidden" r:id="rId18"/>
    <sheet name="CSN Add On Rates 2024" sheetId="16" state="hidden" r:id="rId19"/>
    <sheet name="FY21 UFR CSN" sheetId="21" state="hidden" r:id="rId20"/>
    <sheet name="READY 2514 (FY24)" sheetId="14" state="hidden" r:id="rId21"/>
    <sheet name="FY24 UFR TILP-Youth" sheetId="38" state="hidden" r:id="rId22"/>
    <sheet name="FY21 UFR TILP-YOUTH" sheetId="27"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Key1" localSheetId="13" hidden="1">#REF!</definedName>
    <definedName name="_Key1" hidden="1">#REF!</definedName>
    <definedName name="_Sort" localSheetId="13" hidden="1">#REF!</definedName>
    <definedName name="_Sort" hidden="1">#REF!</definedName>
    <definedName name="alldata" localSheetId="17">#REF!</definedName>
    <definedName name="alldata" localSheetId="9">#REF!</definedName>
    <definedName name="alldata" localSheetId="1">#REF!</definedName>
    <definedName name="alldata" localSheetId="14">#REF!</definedName>
    <definedName name="alldata" localSheetId="0">#REF!</definedName>
    <definedName name="alldata" localSheetId="2">#REF!</definedName>
    <definedName name="alldata" localSheetId="3">#REF!</definedName>
    <definedName name="alldata">#REF!</definedName>
    <definedName name="alled" localSheetId="1">#REF!</definedName>
    <definedName name="alled" localSheetId="14">#REF!</definedName>
    <definedName name="alled" localSheetId="0">#REF!</definedName>
    <definedName name="alled" localSheetId="2">#REF!</definedName>
    <definedName name="alled" localSheetId="3">#REF!</definedName>
    <definedName name="alled">#REF!</definedName>
    <definedName name="allstem" localSheetId="1">#REF!</definedName>
    <definedName name="allstem" localSheetId="14">#REF!</definedName>
    <definedName name="allstem" localSheetId="0">#REF!</definedName>
    <definedName name="allstem" localSheetId="2">#REF!</definedName>
    <definedName name="allstem" localSheetId="3">#REF!</definedName>
    <definedName name="allstem">#REF!</definedName>
    <definedName name="Area">[1]Sheet2!$A$2:$A$28</definedName>
    <definedName name="ARENEW">[2]amendA!$B$1:$U$51</definedName>
    <definedName name="asdfasd" localSheetId="13">'[3]Complete UFR List'!#REF!</definedName>
    <definedName name="asdfasd" localSheetId="17">'[3]Complete UFR List'!#REF!</definedName>
    <definedName name="asdfasd" localSheetId="9">'[3]Complete UFR List'!#REF!</definedName>
    <definedName name="asdfasd">'[3]Complete UFR List'!#REF!</definedName>
    <definedName name="asdfasdf" localSheetId="6">#REF!</definedName>
    <definedName name="asdfasdf" localSheetId="7">#REF!</definedName>
    <definedName name="asdfasdf" localSheetId="13">'[3]Complete UFR List'!#REF!</definedName>
    <definedName name="asdfasdf" localSheetId="12">'[3]Complete UFR List'!#REF!</definedName>
    <definedName name="asdfasdf" localSheetId="17">#REF!</definedName>
    <definedName name="asdfasdf" localSheetId="9">#REF!</definedName>
    <definedName name="asdfasdf" localSheetId="1">#REF!</definedName>
    <definedName name="asdfasdf" localSheetId="14">#REF!</definedName>
    <definedName name="asdfasdf" localSheetId="3">#REF!</definedName>
    <definedName name="asdfasdf">#REF!</definedName>
    <definedName name="ATTABOY">[2]amendA!$B$2:$S$2</definedName>
    <definedName name="AutoInsurance">[4]Universal!$C$19</definedName>
    <definedName name="autsupp2" localSheetId="13">#REF!</definedName>
    <definedName name="autsupp2">#REF!</definedName>
    <definedName name="Average" localSheetId="6">#REF!</definedName>
    <definedName name="Average" localSheetId="7">#REF!</definedName>
    <definedName name="Average" localSheetId="17">#REF!</definedName>
    <definedName name="Average" localSheetId="9">#REF!</definedName>
    <definedName name="Average" localSheetId="1">#REF!</definedName>
    <definedName name="Average" localSheetId="14">#REF!</definedName>
    <definedName name="Average" localSheetId="3">#REF!</definedName>
    <definedName name="Average">#REF!</definedName>
    <definedName name="BB6_4">#REF!</definedName>
    <definedName name="Break">'[5]Tech Stuff'!$E$4</definedName>
    <definedName name="CAF_NEW" localSheetId="13">[6]RawDataCalcs!$L$70:$DB$70</definedName>
    <definedName name="CAF_NEW" localSheetId="12">[6]RawDataCalcs!$L$70:$DB$70</definedName>
    <definedName name="CAF_NEW">[7]RawDataCalcs!$L$70:$DB$70</definedName>
    <definedName name="Cap" localSheetId="13">[8]RawDataCalcs!$L$17:$DB$17</definedName>
    <definedName name="Cap" localSheetId="12">[8]RawDataCalcs!$L$17:$DB$17</definedName>
    <definedName name="Cap" localSheetId="0">[9]RawDataCalcs!$L$35:$DB$35</definedName>
    <definedName name="Cap" localSheetId="2">[9]RawDataCalcs!$L$35:$DB$35</definedName>
    <definedName name="Cap">[10]RawDataCalcs!$L$70:$DB$70</definedName>
    <definedName name="capa">[8]RawDataCalcs!$L$17:$DB$17</definedName>
    <definedName name="COLA">[4]Universal!$C$12</definedName>
    <definedName name="Data" localSheetId="6">#REF!</definedName>
    <definedName name="Data" localSheetId="7">#REF!</definedName>
    <definedName name="Data" localSheetId="17">#REF!</definedName>
    <definedName name="Data" localSheetId="9">#REF!</definedName>
    <definedName name="Data" localSheetId="1">#REF!</definedName>
    <definedName name="Data" localSheetId="14">#REF!</definedName>
    <definedName name="Data" localSheetId="3">#REF!</definedName>
    <definedName name="Data">#REF!</definedName>
    <definedName name="Electricity">[4]Universal!$C$21</definedName>
    <definedName name="Fisc" localSheetId="13">'[3]Complete UFR List'!#REF!</definedName>
    <definedName name="Fisc">'[3]Complete UFR List'!#REF!</definedName>
    <definedName name="FiveDay">[4]Universal!$C$17</definedName>
    <definedName name="Floor" localSheetId="13">[8]RawDataCalcs!$L$16:$DB$16</definedName>
    <definedName name="Floor" localSheetId="12">[8]RawDataCalcs!$L$16:$DB$16</definedName>
    <definedName name="Floor" localSheetId="0">[9]RawDataCalcs!$L$34:$DB$34</definedName>
    <definedName name="Floor" localSheetId="2">[9]RawDataCalcs!$L$34:$DB$34</definedName>
    <definedName name="Floor">[10]RawDataCalcs!$L$69:$DB$69</definedName>
    <definedName name="Fringe">[4]Universal!$C$8</definedName>
    <definedName name="FROM">[2]amendA!$G$7</definedName>
    <definedName name="Funds" localSheetId="13">'[11]RawDataCalcs3386&amp;3401'!$L$68:$DB$68</definedName>
    <definedName name="Funds" localSheetId="12">'[11]RawDataCalcs3386&amp;3401'!$L$68:$DB$68</definedName>
    <definedName name="Funds">'[12]RawDataCalcs3386&amp;3401'!$L$68:$DB$68</definedName>
    <definedName name="GA">[4]Universal!$C$13</definedName>
    <definedName name="Gas">[4]Universal!$C$22</definedName>
    <definedName name="gk" localSheetId="6">#REF!</definedName>
    <definedName name="gk" localSheetId="7">#REF!</definedName>
    <definedName name="gk" localSheetId="17">#REF!</definedName>
    <definedName name="gk" localSheetId="9">#REF!</definedName>
    <definedName name="gk" localSheetId="1">#REF!</definedName>
    <definedName name="gk" localSheetId="14">#REF!</definedName>
    <definedName name="gk" localSheetId="3">#REF!</definedName>
    <definedName name="gk" localSheetId="20">#REF!</definedName>
    <definedName name="gk" localSheetId="11">#REF!</definedName>
    <definedName name="gk" localSheetId="16">#REF!</definedName>
    <definedName name="gk" localSheetId="5">#REF!</definedName>
    <definedName name="gk" localSheetId="15">#REF!</definedName>
    <definedName name="gk" localSheetId="4">#REF!</definedName>
    <definedName name="gk">#REF!</definedName>
    <definedName name="hhh" localSheetId="6">#REF!</definedName>
    <definedName name="hhh" localSheetId="7">#REF!</definedName>
    <definedName name="hhh" localSheetId="1">#REF!</definedName>
    <definedName name="hhh" localSheetId="14">#REF!</definedName>
    <definedName name="hhh" localSheetId="3">#REF!</definedName>
    <definedName name="hhh">#REF!</definedName>
    <definedName name="Holidays">[4]Universal!$C$49:$C$59</definedName>
    <definedName name="JailDAverage" localSheetId="6">#REF!</definedName>
    <definedName name="JailDAverage" localSheetId="7">#REF!</definedName>
    <definedName name="JailDAverage" localSheetId="1">#REF!</definedName>
    <definedName name="JailDAverage" localSheetId="14">#REF!</definedName>
    <definedName name="JailDAverage" localSheetId="3">#REF!</definedName>
    <definedName name="JailDAverage">#REF!</definedName>
    <definedName name="JailDCap" localSheetId="13">[13]ALLRawDataCalcs!$L$80:$DB$80</definedName>
    <definedName name="JailDCap" localSheetId="12">[13]ALLRawDataCalcs!$L$80:$DB$80</definedName>
    <definedName name="JailDCap">[14]ALLRawDataCalcs!$L$80:$DB$80</definedName>
    <definedName name="JailDFloor" localSheetId="13">[13]ALLRawDataCalcs!$L$79:$DB$79</definedName>
    <definedName name="JailDFloor" localSheetId="12">[13]ALLRawDataCalcs!$L$79:$DB$79</definedName>
    <definedName name="JailDFloor">[14]ALLRawDataCalcs!$L$79:$DB$79</definedName>
    <definedName name="JailDgk" localSheetId="6">#REF!</definedName>
    <definedName name="JailDgk" localSheetId="7">#REF!</definedName>
    <definedName name="JailDgk" localSheetId="17">#REF!</definedName>
    <definedName name="JailDgk" localSheetId="9">#REF!</definedName>
    <definedName name="JailDgk" localSheetId="1">#REF!</definedName>
    <definedName name="JailDgk" localSheetId="14">#REF!</definedName>
    <definedName name="JailDgk" localSheetId="3">#REF!</definedName>
    <definedName name="JailDgk">#REF!</definedName>
    <definedName name="JailDMax" localSheetId="6">#REF!</definedName>
    <definedName name="JailDMax" localSheetId="7">#REF!</definedName>
    <definedName name="JailDMax" localSheetId="17">#REF!</definedName>
    <definedName name="JailDMax" localSheetId="9">#REF!</definedName>
    <definedName name="JailDMax" localSheetId="1">#REF!</definedName>
    <definedName name="JailDMax" localSheetId="14">#REF!</definedName>
    <definedName name="JailDMax" localSheetId="3">#REF!</definedName>
    <definedName name="JailDMax">#REF!</definedName>
    <definedName name="JailDMedian" localSheetId="6">#REF!</definedName>
    <definedName name="JailDMedian" localSheetId="7">#REF!</definedName>
    <definedName name="JailDMedian" localSheetId="17">#REF!</definedName>
    <definedName name="JailDMedian" localSheetId="9">#REF!</definedName>
    <definedName name="JailDMedian" localSheetId="1">#REF!</definedName>
    <definedName name="JailDMedian" localSheetId="14">#REF!</definedName>
    <definedName name="JailDMedian" localSheetId="3">#REF!</definedName>
    <definedName name="JailDMedian">#REF!</definedName>
    <definedName name="jm" localSheetId="17">'[3]Complete UFR List'!#REF!</definedName>
    <definedName name="jm" localSheetId="9">'[3]Complete UFR List'!#REF!</definedName>
    <definedName name="jm">'[3]Complete UFR List'!#REF!</definedName>
    <definedName name="kls" localSheetId="6">#REF!</definedName>
    <definedName name="kls" localSheetId="7">#REF!</definedName>
    <definedName name="kls" localSheetId="17">#REF!</definedName>
    <definedName name="kls" localSheetId="9">#REF!</definedName>
    <definedName name="kls" localSheetId="1">#REF!</definedName>
    <definedName name="kls" localSheetId="14">#REF!</definedName>
    <definedName name="kls" localSheetId="3">#REF!</definedName>
    <definedName name="kls">#REF!</definedName>
    <definedName name="ListProviders">'[15]List of Programs'!$A$24:$A$29</definedName>
    <definedName name="Max" localSheetId="6">#REF!</definedName>
    <definedName name="Max" localSheetId="7">#REF!</definedName>
    <definedName name="Max" localSheetId="17">#REF!</definedName>
    <definedName name="Max" localSheetId="9">#REF!</definedName>
    <definedName name="Max" localSheetId="1">#REF!</definedName>
    <definedName name="Max" localSheetId="14">#REF!</definedName>
    <definedName name="Max" localSheetId="3">#REF!</definedName>
    <definedName name="Max">#REF!</definedName>
    <definedName name="Median" localSheetId="6">#REF!</definedName>
    <definedName name="Median" localSheetId="7">#REF!</definedName>
    <definedName name="Median" localSheetId="17">#REF!</definedName>
    <definedName name="Median" localSheetId="9">#REF!</definedName>
    <definedName name="Median" localSheetId="1">#REF!</definedName>
    <definedName name="Median" localSheetId="14">#REF!</definedName>
    <definedName name="Median" localSheetId="3">#REF!</definedName>
    <definedName name="Median">#REF!</definedName>
    <definedName name="Min" localSheetId="6">#REF!</definedName>
    <definedName name="Min" localSheetId="7">#REF!</definedName>
    <definedName name="Min" localSheetId="17">#REF!</definedName>
    <definedName name="Min" localSheetId="9">#REF!</definedName>
    <definedName name="Min" localSheetId="1">#REF!</definedName>
    <definedName name="Min" localSheetId="14">#REF!</definedName>
    <definedName name="Min" localSheetId="3">#REF!</definedName>
    <definedName name="Min">#REF!</definedName>
    <definedName name="mr">#REF!</definedName>
    <definedName name="MT" localSheetId="6">#REF!</definedName>
    <definedName name="MT" localSheetId="7">#REF!</definedName>
    <definedName name="MT" localSheetId="1">#REF!</definedName>
    <definedName name="MT" localSheetId="14">#REF!</definedName>
    <definedName name="MT" localSheetId="3">#REF!</definedName>
    <definedName name="MT">#REF!</definedName>
    <definedName name="new" localSheetId="6">#REF!</definedName>
    <definedName name="new" localSheetId="7">#REF!</definedName>
    <definedName name="new" localSheetId="1">#REF!</definedName>
    <definedName name="new" localSheetId="14">#REF!</definedName>
    <definedName name="new" localSheetId="3">#REF!</definedName>
    <definedName name="new">#REF!</definedName>
    <definedName name="Oil">[4]Universal!$C$23</definedName>
    <definedName name="ok" localSheetId="6">#REF!</definedName>
    <definedName name="ok" localSheetId="7">#REF!</definedName>
    <definedName name="ok" localSheetId="1">#REF!</definedName>
    <definedName name="ok" localSheetId="14">#REF!</definedName>
    <definedName name="ok" localSheetId="3">#REF!</definedName>
    <definedName name="ok">#REF!</definedName>
    <definedName name="Paydays">[4]Universal!$C$33:$N$33</definedName>
    <definedName name="Phone">[4]Universal!$C$25</definedName>
    <definedName name="_xlnm.Print_Area" localSheetId="6">' Add-Ons (DC &amp; Clinical 2024)'!$A$22:$H$71</definedName>
    <definedName name="_xlnm.Print_Area" localSheetId="7">' Add-Ons (DC &amp; Clinical 2026'!$A$22:$F$71</definedName>
    <definedName name="_xlnm.Print_Area" localSheetId="17">'CSN Models 2024'!$E$40:$O$102</definedName>
    <definedName name="_xlnm.Print_Area" localSheetId="9">'CSN Models 2026'!$B$40:$L$102</definedName>
    <definedName name="_xlnm.Print_Area" localSheetId="1">'Fiscal Impact'!$A$2:$G$48</definedName>
    <definedName name="_xlnm.Print_Area" localSheetId="14">'Fiscal Impact2'!$P$66:$U$78</definedName>
    <definedName name="_xlnm.Print_Area" localSheetId="0">'M2022 BLS  (53_PCT)'!$B$1:$E$46</definedName>
    <definedName name="_xlnm.Print_Area" localSheetId="2">'M2024 BLS  (53_PCT)'!$B$1:$E$46</definedName>
    <definedName name="_xlnm.Print_Area" localSheetId="20">'READY 2514 (FY24)'!$C$2:$M$28</definedName>
    <definedName name="_xlnm.Print_Area" localSheetId="11">'READY 2514 (FY26)'!$B$2:$L$28</definedName>
    <definedName name="_xlnm.Print_Area" localSheetId="16">'TILP Models (A&amp;B) 2024'!$F$1:$AB$82</definedName>
    <definedName name="_xlnm.Print_Area" localSheetId="5">'TILP Models (A&amp;B) 2026'!$B$1:$X$82</definedName>
    <definedName name="_xlnm.Print_Area" localSheetId="15">'Youth Res Models 2024'!$F$3:$AB$148</definedName>
    <definedName name="_xlnm.Print_Area" localSheetId="4">'Youth Res Models 2026'!$M$3:$AI$148</definedName>
    <definedName name="_xlnm.Print_Titles" localSheetId="13">'CAF Spring 2023'!$A:$A</definedName>
    <definedName name="_xlnm.Print_Titles" localSheetId="12">'CAF Spring 2025'!$A:$A</definedName>
    <definedName name="_xlnm.Print_Titles" localSheetId="1">'Fiscal Impact'!$2:$2</definedName>
    <definedName name="_xlnm.Print_Titles" localSheetId="14">'Fiscal Impact2'!$3:$3</definedName>
    <definedName name="Program_File" localSheetId="6">#REF!</definedName>
    <definedName name="Program_File" localSheetId="7">#REF!</definedName>
    <definedName name="Program_File" localSheetId="17">#REF!</definedName>
    <definedName name="Program_File" localSheetId="9">#REF!</definedName>
    <definedName name="Program_File" localSheetId="1">#REF!</definedName>
    <definedName name="Program_File" localSheetId="14">#REF!</definedName>
    <definedName name="Program_File" localSheetId="3">#REF!</definedName>
    <definedName name="Program_File">#REF!</definedName>
    <definedName name="Programs">'[15]List of Programs'!$B$3:$B$19</definedName>
    <definedName name="PropInsurance">[4]Universal!$C$20</definedName>
    <definedName name="ProvFTE" localSheetId="13">'[16]FTE Data'!$A$3:$AW$56</definedName>
    <definedName name="ProvFTE" localSheetId="12">'[16]FTE Data'!$A$3:$AW$56</definedName>
    <definedName name="ProvFTE" localSheetId="14">'[17]FTE Data'!$A$3:$AW$56</definedName>
    <definedName name="ProvFTE">'[18]FTE Data'!$A$3:$AW$56</definedName>
    <definedName name="PTO_Hours">[4]Universal!$F$72:$F$78</definedName>
    <definedName name="PTO_Years">[4]Universal!$B$72:$B$78</definedName>
    <definedName name="PurchasedBy" localSheetId="13">'[16]FTE Data'!$C$263:$AZ$657</definedName>
    <definedName name="PurchasedBy" localSheetId="12">'[16]FTE Data'!$C$263:$AZ$657</definedName>
    <definedName name="PurchasedBy" localSheetId="14">'[17]FTE Data'!$C$263:$AZ$657</definedName>
    <definedName name="PurchasedBy">'[18]FTE Data'!$C$263:$AZ$657</definedName>
    <definedName name="REGION">[1]Sheet2!$B$1:$B$5</definedName>
    <definedName name="Relief">[4]Universal!$C$14</definedName>
    <definedName name="resmay2007" localSheetId="6">#REF!</definedName>
    <definedName name="resmay2007" localSheetId="7">#REF!</definedName>
    <definedName name="resmay2007" localSheetId="17">#REF!</definedName>
    <definedName name="resmay2007" localSheetId="9">#REF!</definedName>
    <definedName name="resmay2007" localSheetId="1">#REF!</definedName>
    <definedName name="resmay2007" localSheetId="14">#REF!</definedName>
    <definedName name="resmay2007" localSheetId="3">#REF!</definedName>
    <definedName name="resmay2007">#REF!</definedName>
    <definedName name="SevenDay">[4]Universal!$C$18</definedName>
    <definedName name="sheet1" localSheetId="17">#REF!</definedName>
    <definedName name="sheet1" localSheetId="9">#REF!</definedName>
    <definedName name="sheet1" localSheetId="1">#REF!</definedName>
    <definedName name="sheet1" localSheetId="14">#REF!</definedName>
    <definedName name="sheet1" localSheetId="0">#REF!</definedName>
    <definedName name="sheet1" localSheetId="2">#REF!</definedName>
    <definedName name="sheet1" localSheetId="3">#REF!</definedName>
    <definedName name="sheet1">#REF!</definedName>
    <definedName name="Site_list" localSheetId="13">[16]Lists!$A$2:$A$53</definedName>
    <definedName name="Site_list" localSheetId="12">[16]Lists!$A$2:$A$53</definedName>
    <definedName name="Site_list" localSheetId="14">[17]Lists!$A$2:$A$53</definedName>
    <definedName name="Site_list">[18]Lists!$A$2:$A$53</definedName>
    <definedName name="Source" localSheetId="6">#REF!</definedName>
    <definedName name="Source" localSheetId="7">#REF!</definedName>
    <definedName name="Source" localSheetId="17">#REF!</definedName>
    <definedName name="Source" localSheetId="9">#REF!</definedName>
    <definedName name="Source" localSheetId="1">#REF!</definedName>
    <definedName name="Source" localSheetId="14">#REF!</definedName>
    <definedName name="Source" localSheetId="3">#REF!</definedName>
    <definedName name="Source">#REF!</definedName>
    <definedName name="Source_2" localSheetId="6">#REF!</definedName>
    <definedName name="Source_2" localSheetId="7">#REF!</definedName>
    <definedName name="Source_2" localSheetId="17">#REF!</definedName>
    <definedName name="Source_2" localSheetId="9">#REF!</definedName>
    <definedName name="Source_2" localSheetId="1">#REF!</definedName>
    <definedName name="Source_2" localSheetId="14">#REF!</definedName>
    <definedName name="Source_2" localSheetId="3">#REF!</definedName>
    <definedName name="Source_2">#REF!</definedName>
    <definedName name="SourcePathAndFileName" localSheetId="6">#REF!</definedName>
    <definedName name="SourcePathAndFileName" localSheetId="7">#REF!</definedName>
    <definedName name="SourcePathAndFileName" localSheetId="17">#REF!</definedName>
    <definedName name="SourcePathAndFileName" localSheetId="9">#REF!</definedName>
    <definedName name="SourcePathAndFileName" localSheetId="1">#REF!</definedName>
    <definedName name="SourcePathAndFileName" localSheetId="14">#REF!</definedName>
    <definedName name="SourcePathAndFileName" localSheetId="3">#REF!</definedName>
    <definedName name="SourcePathAndFileName">#REF!</definedName>
    <definedName name="StaffApp">[4]Universal!$C$11</definedName>
    <definedName name="Tax">[4]Universal!$C$7</definedName>
    <definedName name="TE1_2136768348_pagetransition" localSheetId="1">'Fiscal Impact'!#REF!</definedName>
    <definedName name="TE1_21561673_pagetransition" localSheetId="1">'Fiscal Impact'!#REF!</definedName>
    <definedName name="TO">[2]amendA!$K$7:$O$7</definedName>
    <definedName name="Total_UFR" localSheetId="6">#REF!</definedName>
    <definedName name="Total_UFR" localSheetId="7">#REF!</definedName>
    <definedName name="Total_UFR" localSheetId="17">#REF!</definedName>
    <definedName name="Total_UFR" localSheetId="9">#REF!</definedName>
    <definedName name="Total_UFR" localSheetId="1">#REF!</definedName>
    <definedName name="Total_UFR" localSheetId="14">#REF!</definedName>
    <definedName name="Total_UFR" localSheetId="3">#REF!</definedName>
    <definedName name="Total_UFR" localSheetId="20">#REF!</definedName>
    <definedName name="Total_UFR" localSheetId="11">#REF!</definedName>
    <definedName name="Total_UFR">#REF!</definedName>
    <definedName name="Total_UFRs" localSheetId="6">#REF!</definedName>
    <definedName name="Total_UFRs" localSheetId="7">#REF!</definedName>
    <definedName name="Total_UFRs" localSheetId="1">#REF!</definedName>
    <definedName name="Total_UFRs" localSheetId="14">#REF!</definedName>
    <definedName name="Total_UFRs" localSheetId="3">#REF!</definedName>
    <definedName name="Total_UFRs">#REF!</definedName>
    <definedName name="Total_UFRs_" localSheetId="6">#REF!</definedName>
    <definedName name="Total_UFRs_" localSheetId="7">#REF!</definedName>
    <definedName name="Total_UFRs_" localSheetId="1">#REF!</definedName>
    <definedName name="Total_UFRs_" localSheetId="14">#REF!</definedName>
    <definedName name="Total_UFRs_" localSheetId="3">#REF!</definedName>
    <definedName name="Total_UFRs_">#REF!</definedName>
    <definedName name="TotalDays">[4]Universal!$C$30:$N$30</definedName>
    <definedName name="UFR" localSheetId="6">'[3]Complete UFR List'!#REF!</definedName>
    <definedName name="UFR" localSheetId="7">'[3]Complete UFR List'!#REF!</definedName>
    <definedName name="UFR" localSheetId="17">'[3]Complete UFR List'!#REF!</definedName>
    <definedName name="UFR" localSheetId="9">'[3]Complete UFR List'!#REF!</definedName>
    <definedName name="UFR" localSheetId="1">'[3]Complete UFR List'!#REF!</definedName>
    <definedName name="UFR" localSheetId="14">'[3]Complete UFR List'!#REF!</definedName>
    <definedName name="UFR" localSheetId="3">'[3]Complete UFR List'!#REF!</definedName>
    <definedName name="UFR">'[3]Complete UFR List'!#REF!</definedName>
    <definedName name="UFRS" localSheetId="6">'[3]Complete UFR List'!#REF!</definedName>
    <definedName name="UFRS" localSheetId="7">'[3]Complete UFR List'!#REF!</definedName>
    <definedName name="UFRS" localSheetId="17">'[3]Complete UFR List'!#REF!</definedName>
    <definedName name="UFRS" localSheetId="9">'[3]Complete UFR List'!#REF!</definedName>
    <definedName name="UFRS">'[3]Complete UFR List'!#REF!</definedName>
    <definedName name="UPDATE" localSheetId="17">'[3]Complete UFR List'!#REF!</definedName>
    <definedName name="UPDATE" localSheetId="9">'[3]Complete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3">'[3]Complete UFR List'!#REF!</definedName>
    <definedName name="wefqwerqwe">'[3]Complete UFR List'!#REF!</definedName>
    <definedName name="yes" localSheetId="13">'[3]Complete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35" l="1"/>
  <c r="AD34" i="39"/>
  <c r="X34" i="39"/>
  <c r="R34" i="39"/>
  <c r="L34" i="39"/>
  <c r="I120" i="31" l="1"/>
  <c r="I121" i="31"/>
  <c r="F122" i="31"/>
  <c r="F119" i="31"/>
  <c r="F86" i="31"/>
  <c r="F83" i="31"/>
  <c r="I47" i="31"/>
  <c r="I48" i="31"/>
  <c r="F49" i="31"/>
  <c r="F46" i="31"/>
  <c r="I10" i="31"/>
  <c r="I11" i="31"/>
  <c r="F12" i="31"/>
  <c r="F9" i="31"/>
  <c r="H136" i="31"/>
  <c r="J116" i="31"/>
  <c r="J79" i="31"/>
  <c r="J42" i="31"/>
  <c r="J5" i="31"/>
  <c r="AB57" i="32" l="1"/>
  <c r="AB56" i="32"/>
  <c r="AB55" i="32"/>
  <c r="I10" i="36"/>
  <c r="C64" i="41"/>
  <c r="E64" i="41" s="1"/>
  <c r="C52" i="41"/>
  <c r="E52" i="41" s="1"/>
  <c r="C29" i="41"/>
  <c r="E29" i="41" s="1"/>
  <c r="E30" i="41" s="1"/>
  <c r="B33" i="41"/>
  <c r="B56" i="41" s="1"/>
  <c r="B68" i="41" s="1"/>
  <c r="B30" i="41"/>
  <c r="B53" i="41" s="1"/>
  <c r="A56" i="41"/>
  <c r="A68" i="41" s="1"/>
  <c r="B66" i="41"/>
  <c r="C59" i="41"/>
  <c r="D56" i="41"/>
  <c r="B54" i="41"/>
  <c r="D52" i="41"/>
  <c r="C47" i="41"/>
  <c r="B31" i="41"/>
  <c r="D29" i="41"/>
  <c r="C24" i="41"/>
  <c r="B13" i="41"/>
  <c r="B10" i="41"/>
  <c r="I9" i="41"/>
  <c r="C8" i="41" s="1"/>
  <c r="E8" i="41" s="1"/>
  <c r="B9" i="41"/>
  <c r="I8" i="41"/>
  <c r="C7" i="41" s="1"/>
  <c r="D7" i="41"/>
  <c r="E3" i="41"/>
  <c r="AG20" i="39"/>
  <c r="G38" i="37"/>
  <c r="AG29" i="39"/>
  <c r="AG28" i="39"/>
  <c r="AG27" i="39"/>
  <c r="AG26" i="39"/>
  <c r="AG25" i="39"/>
  <c r="AG18" i="39"/>
  <c r="I40" i="37"/>
  <c r="I39" i="37"/>
  <c r="I38" i="37"/>
  <c r="I37" i="37"/>
  <c r="I36" i="37"/>
  <c r="J31" i="37"/>
  <c r="J40" i="37" s="1"/>
  <c r="H36" i="37"/>
  <c r="R24" i="39" l="1"/>
  <c r="L24" i="39"/>
  <c r="AD24" i="39"/>
  <c r="X24" i="39"/>
  <c r="L25" i="39"/>
  <c r="X25" i="39"/>
  <c r="AD25" i="39"/>
  <c r="R25" i="39"/>
  <c r="X26" i="39"/>
  <c r="R26" i="39"/>
  <c r="L26" i="39"/>
  <c r="AD26" i="39"/>
  <c r="E7" i="41"/>
  <c r="E9" i="41" s="1"/>
  <c r="E10" i="41" s="1"/>
  <c r="E11" i="41" s="1"/>
  <c r="E12" i="41" s="1"/>
  <c r="F13" i="41" s="1"/>
  <c r="J38" i="37"/>
  <c r="J37" i="37"/>
  <c r="J36" i="37"/>
  <c r="J39" i="37"/>
  <c r="E53" i="41"/>
  <c r="E54" i="41"/>
  <c r="B65" i="41"/>
  <c r="E65" i="41" s="1"/>
  <c r="E66" i="41" s="1"/>
  <c r="E31" i="41"/>
  <c r="E32" i="41" s="1"/>
  <c r="E55" i="41" l="1"/>
  <c r="E56" i="41" s="1"/>
  <c r="E36" i="41"/>
  <c r="F36" i="41" s="1"/>
  <c r="E33" i="41"/>
  <c r="E67" i="41"/>
  <c r="E68" i="41" s="1"/>
  <c r="F80" i="24" l="1"/>
  <c r="F79" i="24"/>
  <c r="AG8" i="39" l="1"/>
  <c r="D11" i="39" s="1"/>
  <c r="AG24" i="39" l="1"/>
  <c r="AG22" i="39"/>
  <c r="AG9" i="39"/>
  <c r="AG7" i="39"/>
  <c r="AG5" i="39"/>
  <c r="AG31" i="39"/>
  <c r="D31" i="39"/>
  <c r="AG23" i="39"/>
  <c r="E16" i="39"/>
  <c r="E14" i="32"/>
  <c r="AH15" i="31"/>
  <c r="AB15" i="31"/>
  <c r="V15" i="31"/>
  <c r="P15" i="31"/>
  <c r="P52" i="31" l="1"/>
  <c r="I15" i="31"/>
  <c r="I52" i="31" s="1"/>
  <c r="I89" i="31" s="1"/>
  <c r="I125" i="31" s="1"/>
  <c r="D30" i="39"/>
  <c r="J30" i="39" s="1"/>
  <c r="P30" i="39" s="1"/>
  <c r="V30" i="39" s="1"/>
  <c r="AB30" i="39" s="1"/>
  <c r="F26" i="39"/>
  <c r="F25" i="39"/>
  <c r="F24" i="39"/>
  <c r="F23" i="39"/>
  <c r="R23" i="39" s="1"/>
  <c r="AD23" i="39" s="1"/>
  <c r="F22" i="39"/>
  <c r="AC15" i="39"/>
  <c r="W15" i="39"/>
  <c r="Q15" i="39"/>
  <c r="AG13" i="39"/>
  <c r="E9" i="39" s="1"/>
  <c r="K9" i="39" s="1"/>
  <c r="P11" i="39"/>
  <c r="V11" i="39" s="1"/>
  <c r="X11" i="39" s="1"/>
  <c r="J11" i="39"/>
  <c r="E11" i="39"/>
  <c r="F11" i="39" s="1"/>
  <c r="B11" i="39"/>
  <c r="H11" i="39" s="1"/>
  <c r="N11" i="39" s="1"/>
  <c r="T11" i="39" s="1"/>
  <c r="Z11" i="39" s="1"/>
  <c r="E10" i="39"/>
  <c r="K10" i="39" s="1"/>
  <c r="B10" i="39"/>
  <c r="D13" i="39"/>
  <c r="B9" i="39"/>
  <c r="E8" i="39"/>
  <c r="B8" i="39"/>
  <c r="D10" i="39"/>
  <c r="AG6" i="39"/>
  <c r="D9" i="39" s="1"/>
  <c r="AD4" i="39"/>
  <c r="X4" i="39"/>
  <c r="R4" i="39"/>
  <c r="R20" i="39" s="1"/>
  <c r="L4" i="39"/>
  <c r="F4" i="39"/>
  <c r="Y11" i="18"/>
  <c r="F20" i="39" l="1"/>
  <c r="AB11" i="39"/>
  <c r="AD11" i="39" s="1"/>
  <c r="E15" i="39"/>
  <c r="F21" i="39" s="1"/>
  <c r="L21" i="39" s="1"/>
  <c r="X20" i="39"/>
  <c r="D8" i="39"/>
  <c r="P8" i="39" s="1"/>
  <c r="R8" i="39" s="1"/>
  <c r="K16" i="39"/>
  <c r="Q16" i="39" s="1"/>
  <c r="W16" i="39" s="1"/>
  <c r="AC16" i="39" s="1"/>
  <c r="R11" i="39"/>
  <c r="J10" i="39"/>
  <c r="L10" i="39" s="1"/>
  <c r="F10" i="39"/>
  <c r="P10" i="39"/>
  <c r="P13" i="39"/>
  <c r="J13" i="39"/>
  <c r="L13" i="39" s="1"/>
  <c r="F13" i="39"/>
  <c r="J31" i="39"/>
  <c r="L22" i="39"/>
  <c r="R22" i="39"/>
  <c r="P9" i="39"/>
  <c r="J9" i="39"/>
  <c r="L9" i="39" s="1"/>
  <c r="F9" i="39"/>
  <c r="X23" i="39"/>
  <c r="K8" i="39"/>
  <c r="K11" i="39"/>
  <c r="L11" i="39" s="1"/>
  <c r="L23" i="39"/>
  <c r="R21" i="39" l="1"/>
  <c r="X21" i="39" s="1"/>
  <c r="AD21" i="39" s="1"/>
  <c r="F27" i="39"/>
  <c r="K15" i="39"/>
  <c r="F8" i="39"/>
  <c r="F15" i="39" s="1"/>
  <c r="F16" i="39" s="1"/>
  <c r="F17" i="39" s="1"/>
  <c r="V8" i="39"/>
  <c r="X8" i="39" s="1"/>
  <c r="AB8" i="39"/>
  <c r="AD8" i="39" s="1"/>
  <c r="J8" i="39"/>
  <c r="L8" i="39" s="1"/>
  <c r="L15" i="39" s="1"/>
  <c r="P31" i="39"/>
  <c r="R13" i="39"/>
  <c r="AB13" i="39"/>
  <c r="AD13" i="39" s="1"/>
  <c r="V13" i="39"/>
  <c r="X13" i="39" s="1"/>
  <c r="AB9" i="39"/>
  <c r="AD9" i="39" s="1"/>
  <c r="V9" i="39"/>
  <c r="X9" i="39" s="1"/>
  <c r="R9" i="39"/>
  <c r="AB10" i="39"/>
  <c r="AD10" i="39" s="1"/>
  <c r="V10" i="39"/>
  <c r="X10" i="39" s="1"/>
  <c r="R10" i="39"/>
  <c r="AD22" i="39"/>
  <c r="X22" i="39"/>
  <c r="AD15" i="39" l="1"/>
  <c r="AD16" i="39" s="1"/>
  <c r="AD17" i="39" s="1"/>
  <c r="R27" i="39"/>
  <c r="F29" i="39"/>
  <c r="F30" i="39" s="1"/>
  <c r="F31" i="39" s="1"/>
  <c r="F32" i="39" s="1"/>
  <c r="F34" i="39" s="1"/>
  <c r="R15" i="39"/>
  <c r="X15" i="39"/>
  <c r="X16" i="39" s="1"/>
  <c r="X17" i="39" s="1"/>
  <c r="V31" i="39"/>
  <c r="L16" i="39"/>
  <c r="L17" i="39" s="1"/>
  <c r="X27" i="39"/>
  <c r="F86" i="24" l="1"/>
  <c r="R16" i="39"/>
  <c r="R17" i="39" s="1"/>
  <c r="R29" i="39" s="1"/>
  <c r="R30" i="39" s="1"/>
  <c r="X29" i="39"/>
  <c r="X30" i="39" s="1"/>
  <c r="AB31" i="39"/>
  <c r="X31" i="39" l="1"/>
  <c r="X32" i="39" s="1"/>
  <c r="R31" i="39"/>
  <c r="R32" i="39" s="1"/>
  <c r="F85" i="24" l="1"/>
  <c r="F83" i="24"/>
  <c r="B26" i="38"/>
  <c r="D24" i="38"/>
  <c r="D23" i="38"/>
  <c r="Z26" i="38"/>
  <c r="Z27" i="38" s="1"/>
  <c r="Z29" i="38" s="1"/>
  <c r="Z25" i="38"/>
  <c r="Z24" i="38"/>
  <c r="Z23" i="38"/>
  <c r="N23" i="38"/>
  <c r="AB54" i="32"/>
  <c r="AB7" i="32"/>
  <c r="AB42" i="32" s="1"/>
  <c r="AB6" i="32"/>
  <c r="AB41" i="32" s="1"/>
  <c r="AB5" i="32"/>
  <c r="AB40" i="32" s="1"/>
  <c r="AB4" i="32"/>
  <c r="AB22" i="32"/>
  <c r="AB23" i="32"/>
  <c r="B21" i="38"/>
  <c r="AB21" i="32" l="1"/>
  <c r="AB24" i="32"/>
  <c r="AB25" i="32"/>
  <c r="I12" i="36" l="1"/>
  <c r="I11" i="36"/>
  <c r="I9" i="36"/>
  <c r="I5" i="36"/>
  <c r="B4" i="35"/>
  <c r="C3" i="35"/>
  <c r="B3" i="35"/>
  <c r="A36" i="38" l="1"/>
  <c r="A37" i="38"/>
  <c r="A35" i="38"/>
  <c r="A32" i="38"/>
  <c r="A31" i="38"/>
  <c r="N24" i="38" l="1"/>
  <c r="N27" i="38" s="1"/>
  <c r="N28" i="38" s="1"/>
  <c r="N31" i="38" s="1"/>
  <c r="M31" i="38"/>
  <c r="K31" i="38"/>
  <c r="I31" i="38"/>
  <c r="G31" i="38"/>
  <c r="M30" i="38"/>
  <c r="K30" i="38"/>
  <c r="I30" i="38"/>
  <c r="G30" i="38"/>
  <c r="M29" i="38"/>
  <c r="K29" i="38"/>
  <c r="I29" i="38"/>
  <c r="G29" i="38"/>
  <c r="C39" i="38"/>
  <c r="B27" i="38" s="1"/>
  <c r="M27" i="38" s="1"/>
  <c r="K27" i="38" l="1"/>
  <c r="G27" i="38"/>
  <c r="I27" i="38"/>
  <c r="N30" i="38"/>
  <c r="N29" i="38"/>
  <c r="Z30" i="38" l="1"/>
  <c r="AA29" i="38" s="1"/>
  <c r="AQ302" i="38"/>
  <c r="AO302" i="38"/>
  <c r="AM302" i="38"/>
  <c r="AK302" i="38"/>
  <c r="AI302" i="38"/>
  <c r="AG302" i="38"/>
  <c r="AE302" i="38"/>
  <c r="AC302" i="38"/>
  <c r="AA302" i="38"/>
  <c r="Y302" i="38"/>
  <c r="W302" i="38"/>
  <c r="U302" i="38"/>
  <c r="S302" i="38"/>
  <c r="Q302" i="38"/>
  <c r="O302" i="38"/>
  <c r="M302" i="38"/>
  <c r="K302" i="38"/>
  <c r="I302" i="38"/>
  <c r="G302" i="38"/>
  <c r="E302" i="38"/>
  <c r="AQ301" i="38"/>
  <c r="AO301" i="38"/>
  <c r="AM301" i="38"/>
  <c r="AK301" i="38"/>
  <c r="AI301" i="38"/>
  <c r="AG301" i="38"/>
  <c r="AE301" i="38"/>
  <c r="AC301" i="38"/>
  <c r="AA301" i="38"/>
  <c r="Y301" i="38"/>
  <c r="W301" i="38"/>
  <c r="U301" i="38"/>
  <c r="S301" i="38"/>
  <c r="Q301" i="38"/>
  <c r="O301" i="38"/>
  <c r="M301" i="38"/>
  <c r="K301" i="38"/>
  <c r="I301" i="38"/>
  <c r="G301" i="38"/>
  <c r="E301" i="38"/>
  <c r="AQ300" i="38"/>
  <c r="AO300" i="38"/>
  <c r="AM300" i="38"/>
  <c r="AK300" i="38"/>
  <c r="AI300" i="38"/>
  <c r="AG300" i="38"/>
  <c r="AE300" i="38"/>
  <c r="AC300" i="38"/>
  <c r="AA300" i="38"/>
  <c r="Y300" i="38"/>
  <c r="W300" i="38"/>
  <c r="U300" i="38"/>
  <c r="S300" i="38"/>
  <c r="Q300" i="38"/>
  <c r="O300" i="38"/>
  <c r="M300" i="38"/>
  <c r="K300" i="38"/>
  <c r="I300" i="38"/>
  <c r="G300" i="38"/>
  <c r="E300" i="38"/>
  <c r="AQ299" i="38"/>
  <c r="AO299" i="38"/>
  <c r="AM299" i="38"/>
  <c r="AK299" i="38"/>
  <c r="AI299" i="38"/>
  <c r="AG299" i="38"/>
  <c r="AE299" i="38"/>
  <c r="AC299" i="38"/>
  <c r="AA299" i="38"/>
  <c r="Y299" i="38"/>
  <c r="W299" i="38"/>
  <c r="U299" i="38"/>
  <c r="S299" i="38"/>
  <c r="Q299" i="38"/>
  <c r="O299" i="38"/>
  <c r="M299" i="38"/>
  <c r="K299" i="38"/>
  <c r="I299" i="38"/>
  <c r="G299" i="38"/>
  <c r="E299" i="38"/>
  <c r="AQ298" i="38"/>
  <c r="AO298" i="38"/>
  <c r="AM298" i="38"/>
  <c r="AK298" i="38"/>
  <c r="AI298" i="38"/>
  <c r="AG298" i="38"/>
  <c r="AE298" i="38"/>
  <c r="AC298" i="38"/>
  <c r="AA298" i="38"/>
  <c r="Y298" i="38"/>
  <c r="W298" i="38"/>
  <c r="U298" i="38"/>
  <c r="S298" i="38"/>
  <c r="Q298" i="38"/>
  <c r="O298" i="38"/>
  <c r="M298" i="38"/>
  <c r="K298" i="38"/>
  <c r="I298" i="38"/>
  <c r="G298" i="38"/>
  <c r="E298" i="38"/>
  <c r="AQ297" i="38"/>
  <c r="AO297" i="38"/>
  <c r="AM297" i="38"/>
  <c r="AK297" i="38"/>
  <c r="AI297" i="38"/>
  <c r="AG297" i="38"/>
  <c r="AE297" i="38"/>
  <c r="AC297" i="38"/>
  <c r="AA297" i="38"/>
  <c r="Y297" i="38"/>
  <c r="W297" i="38"/>
  <c r="U297" i="38"/>
  <c r="S297" i="38"/>
  <c r="Q297" i="38"/>
  <c r="O297" i="38"/>
  <c r="M297" i="38"/>
  <c r="K297" i="38"/>
  <c r="I297" i="38"/>
  <c r="G297" i="38"/>
  <c r="E297" i="38"/>
  <c r="AQ296" i="38"/>
  <c r="AO296" i="38"/>
  <c r="AM296" i="38"/>
  <c r="AK296" i="38"/>
  <c r="AI296" i="38"/>
  <c r="AG296" i="38"/>
  <c r="AE296" i="38"/>
  <c r="AC296" i="38"/>
  <c r="AA296" i="38"/>
  <c r="Y296" i="38"/>
  <c r="W296" i="38"/>
  <c r="U296" i="38"/>
  <c r="S296" i="38"/>
  <c r="Q296" i="38"/>
  <c r="O296" i="38"/>
  <c r="M296" i="38"/>
  <c r="K296" i="38"/>
  <c r="I296" i="38"/>
  <c r="G296" i="38"/>
  <c r="E296" i="38"/>
  <c r="AQ295" i="38"/>
  <c r="AO295" i="38"/>
  <c r="AM295" i="38"/>
  <c r="AK295" i="38"/>
  <c r="AI295" i="38"/>
  <c r="AG295" i="38"/>
  <c r="AE295" i="38"/>
  <c r="AC295" i="38"/>
  <c r="AA295" i="38"/>
  <c r="Y295" i="38"/>
  <c r="W295" i="38"/>
  <c r="U295" i="38"/>
  <c r="S295" i="38"/>
  <c r="Q295" i="38"/>
  <c r="O295" i="38"/>
  <c r="M295" i="38"/>
  <c r="K295" i="38"/>
  <c r="I295" i="38"/>
  <c r="G295" i="38"/>
  <c r="E295" i="38"/>
  <c r="AQ294" i="38"/>
  <c r="AO294" i="38"/>
  <c r="AM294" i="38"/>
  <c r="AK294" i="38"/>
  <c r="AI294" i="38"/>
  <c r="AG294" i="38"/>
  <c r="AE294" i="38"/>
  <c r="AC294" i="38"/>
  <c r="AA294" i="38"/>
  <c r="Y294" i="38"/>
  <c r="W294" i="38"/>
  <c r="U294" i="38"/>
  <c r="S294" i="38"/>
  <c r="Q294" i="38"/>
  <c r="O294" i="38"/>
  <c r="M294" i="38"/>
  <c r="K294" i="38"/>
  <c r="I294" i="38"/>
  <c r="G294" i="38"/>
  <c r="E294" i="38"/>
  <c r="AQ293" i="38"/>
  <c r="AO293" i="38"/>
  <c r="AM293" i="38"/>
  <c r="AK293" i="38"/>
  <c r="AI293" i="38"/>
  <c r="AG293" i="38"/>
  <c r="AE293" i="38"/>
  <c r="AC293" i="38"/>
  <c r="AA293" i="38"/>
  <c r="Y293" i="38"/>
  <c r="W293" i="38"/>
  <c r="U293" i="38"/>
  <c r="S293" i="38"/>
  <c r="Q293" i="38"/>
  <c r="O293" i="38"/>
  <c r="M293" i="38"/>
  <c r="K293" i="38"/>
  <c r="I293" i="38"/>
  <c r="G293" i="38"/>
  <c r="E293" i="38"/>
  <c r="AQ292" i="38"/>
  <c r="AO292" i="38"/>
  <c r="AM292" i="38"/>
  <c r="AK292" i="38"/>
  <c r="AI292" i="38"/>
  <c r="AG292" i="38"/>
  <c r="AE292" i="38"/>
  <c r="AC292" i="38"/>
  <c r="AA292" i="38"/>
  <c r="Y292" i="38"/>
  <c r="W292" i="38"/>
  <c r="U292" i="38"/>
  <c r="S292" i="38"/>
  <c r="Q292" i="38"/>
  <c r="O292" i="38"/>
  <c r="M292" i="38"/>
  <c r="K292" i="38"/>
  <c r="I292" i="38"/>
  <c r="G292" i="38"/>
  <c r="E292" i="38"/>
  <c r="AQ291" i="38"/>
  <c r="AO291" i="38"/>
  <c r="AM291" i="38"/>
  <c r="AK291" i="38"/>
  <c r="AI291" i="38"/>
  <c r="AG291" i="38"/>
  <c r="AE291" i="38"/>
  <c r="AC291" i="38"/>
  <c r="AA291" i="38"/>
  <c r="Y291" i="38"/>
  <c r="W291" i="38"/>
  <c r="U291" i="38"/>
  <c r="S291" i="38"/>
  <c r="Q291" i="38"/>
  <c r="O291" i="38"/>
  <c r="M291" i="38"/>
  <c r="K291" i="38"/>
  <c r="I291" i="38"/>
  <c r="G291" i="38"/>
  <c r="E291" i="38"/>
  <c r="AQ290" i="38"/>
  <c r="AO290" i="38"/>
  <c r="AM290" i="38"/>
  <c r="AK290" i="38"/>
  <c r="AI290" i="38"/>
  <c r="AG290" i="38"/>
  <c r="AE290" i="38"/>
  <c r="AC290" i="38"/>
  <c r="AA290" i="38"/>
  <c r="Y290" i="38"/>
  <c r="W290" i="38"/>
  <c r="U290" i="38"/>
  <c r="S290" i="38"/>
  <c r="Q290" i="38"/>
  <c r="O290" i="38"/>
  <c r="M290" i="38"/>
  <c r="K290" i="38"/>
  <c r="I290" i="38"/>
  <c r="G290" i="38"/>
  <c r="E290" i="38"/>
  <c r="AQ289" i="38"/>
  <c r="AO289" i="38"/>
  <c r="AM289" i="38"/>
  <c r="AK289" i="38"/>
  <c r="AI289" i="38"/>
  <c r="AG289" i="38"/>
  <c r="AE289" i="38"/>
  <c r="AC289" i="38"/>
  <c r="AA289" i="38"/>
  <c r="Y289" i="38"/>
  <c r="W289" i="38"/>
  <c r="U289" i="38"/>
  <c r="S289" i="38"/>
  <c r="Q289" i="38"/>
  <c r="O289" i="38"/>
  <c r="M289" i="38"/>
  <c r="K289" i="38"/>
  <c r="I289" i="38"/>
  <c r="G289" i="38"/>
  <c r="E289" i="38"/>
  <c r="AQ288" i="38"/>
  <c r="AO288" i="38"/>
  <c r="AM288" i="38"/>
  <c r="AK288" i="38"/>
  <c r="AI288" i="38"/>
  <c r="AG288" i="38"/>
  <c r="AE288" i="38"/>
  <c r="AC288" i="38"/>
  <c r="AA288" i="38"/>
  <c r="Y288" i="38"/>
  <c r="W288" i="38"/>
  <c r="U288" i="38"/>
  <c r="S288" i="38"/>
  <c r="Q288" i="38"/>
  <c r="O288" i="38"/>
  <c r="M288" i="38"/>
  <c r="K288" i="38"/>
  <c r="I288" i="38"/>
  <c r="G288" i="38"/>
  <c r="E288" i="38"/>
  <c r="AQ287" i="38"/>
  <c r="AO287" i="38"/>
  <c r="AM287" i="38"/>
  <c r="AK287" i="38"/>
  <c r="AI287" i="38"/>
  <c r="AG287" i="38"/>
  <c r="AE287" i="38"/>
  <c r="AC287" i="38"/>
  <c r="AA287" i="38"/>
  <c r="Y287" i="38"/>
  <c r="W287" i="38"/>
  <c r="U287" i="38"/>
  <c r="S287" i="38"/>
  <c r="Q287" i="38"/>
  <c r="O287" i="38"/>
  <c r="M287" i="38"/>
  <c r="K287" i="38"/>
  <c r="I287" i="38"/>
  <c r="G287" i="38"/>
  <c r="E287" i="38"/>
  <c r="AQ286" i="38"/>
  <c r="AO286" i="38"/>
  <c r="AM286" i="38"/>
  <c r="AK286" i="38"/>
  <c r="AI286" i="38"/>
  <c r="AG286" i="38"/>
  <c r="AE286" i="38"/>
  <c r="AC286" i="38"/>
  <c r="AA286" i="38"/>
  <c r="Y286" i="38"/>
  <c r="W286" i="38"/>
  <c r="U286" i="38"/>
  <c r="S286" i="38"/>
  <c r="Q286" i="38"/>
  <c r="O286" i="38"/>
  <c r="M286" i="38"/>
  <c r="K286" i="38"/>
  <c r="I286" i="38"/>
  <c r="G286" i="38"/>
  <c r="E286" i="38"/>
  <c r="AQ285" i="38"/>
  <c r="AO285" i="38"/>
  <c r="AM285" i="38"/>
  <c r="AK285" i="38"/>
  <c r="AI285" i="38"/>
  <c r="AG285" i="38"/>
  <c r="AE285" i="38"/>
  <c r="AC285" i="38"/>
  <c r="AA285" i="38"/>
  <c r="Y285" i="38"/>
  <c r="W285" i="38"/>
  <c r="U285" i="38"/>
  <c r="S285" i="38"/>
  <c r="Q285" i="38"/>
  <c r="O285" i="38"/>
  <c r="M285" i="38"/>
  <c r="K285" i="38"/>
  <c r="I285" i="38"/>
  <c r="G285" i="38"/>
  <c r="E285" i="38"/>
  <c r="AQ284" i="38"/>
  <c r="AO284" i="38"/>
  <c r="AM284" i="38"/>
  <c r="AK284" i="38"/>
  <c r="AI284" i="38"/>
  <c r="AG284" i="38"/>
  <c r="AE284" i="38"/>
  <c r="AC284" i="38"/>
  <c r="AA284" i="38"/>
  <c r="Y284" i="38"/>
  <c r="W284" i="38"/>
  <c r="U284" i="38"/>
  <c r="S284" i="38"/>
  <c r="Q284" i="38"/>
  <c r="O284" i="38"/>
  <c r="M284" i="38"/>
  <c r="K284" i="38"/>
  <c r="I284" i="38"/>
  <c r="G284" i="38"/>
  <c r="E284" i="38"/>
  <c r="AQ283" i="38"/>
  <c r="AO283" i="38"/>
  <c r="AM283" i="38"/>
  <c r="AK283" i="38"/>
  <c r="AI283" i="38"/>
  <c r="AG283" i="38"/>
  <c r="AE283" i="38"/>
  <c r="AC283" i="38"/>
  <c r="AA283" i="38"/>
  <c r="Y283" i="38"/>
  <c r="W283" i="38"/>
  <c r="U283" i="38"/>
  <c r="S283" i="38"/>
  <c r="Q283" i="38"/>
  <c r="O283" i="38"/>
  <c r="M283" i="38"/>
  <c r="K283" i="38"/>
  <c r="I283" i="38"/>
  <c r="G283" i="38"/>
  <c r="E283" i="38"/>
  <c r="AQ282" i="38"/>
  <c r="AO282" i="38"/>
  <c r="AM282" i="38"/>
  <c r="AK282" i="38"/>
  <c r="AI282" i="38"/>
  <c r="AG282" i="38"/>
  <c r="AE282" i="38"/>
  <c r="AC282" i="38"/>
  <c r="AA282" i="38"/>
  <c r="Y282" i="38"/>
  <c r="W282" i="38"/>
  <c r="U282" i="38"/>
  <c r="S282" i="38"/>
  <c r="Q282" i="38"/>
  <c r="O282" i="38"/>
  <c r="M282" i="38"/>
  <c r="K282" i="38"/>
  <c r="I282" i="38"/>
  <c r="G282" i="38"/>
  <c r="E282" i="38"/>
  <c r="AQ281" i="38"/>
  <c r="AO281" i="38"/>
  <c r="AM281" i="38"/>
  <c r="AK281" i="38"/>
  <c r="AI281" i="38"/>
  <c r="AG281" i="38"/>
  <c r="AE281" i="38"/>
  <c r="AC281" i="38"/>
  <c r="AA281" i="38"/>
  <c r="Y281" i="38"/>
  <c r="W281" i="38"/>
  <c r="U281" i="38"/>
  <c r="S281" i="38"/>
  <c r="Q281" i="38"/>
  <c r="O281" i="38"/>
  <c r="M281" i="38"/>
  <c r="K281" i="38"/>
  <c r="I281" i="38"/>
  <c r="G281" i="38"/>
  <c r="E281" i="38"/>
  <c r="AQ280" i="38"/>
  <c r="AO280" i="38"/>
  <c r="AM280" i="38"/>
  <c r="AK280" i="38"/>
  <c r="AI280" i="38"/>
  <c r="AG280" i="38"/>
  <c r="AE280" i="38"/>
  <c r="AC280" i="38"/>
  <c r="AA280" i="38"/>
  <c r="Y280" i="38"/>
  <c r="W280" i="38"/>
  <c r="U280" i="38"/>
  <c r="S280" i="38"/>
  <c r="Q280" i="38"/>
  <c r="O280" i="38"/>
  <c r="M280" i="38"/>
  <c r="K280" i="38"/>
  <c r="I280" i="38"/>
  <c r="G280" i="38"/>
  <c r="E280" i="38"/>
  <c r="AQ279" i="38"/>
  <c r="AO279" i="38"/>
  <c r="AM279" i="38"/>
  <c r="AK279" i="38"/>
  <c r="AI279" i="38"/>
  <c r="AG279" i="38"/>
  <c r="AE279" i="38"/>
  <c r="AC279" i="38"/>
  <c r="AA279" i="38"/>
  <c r="Y279" i="38"/>
  <c r="W279" i="38"/>
  <c r="U279" i="38"/>
  <c r="S279" i="38"/>
  <c r="Q279" i="38"/>
  <c r="O279" i="38"/>
  <c r="M279" i="38"/>
  <c r="K279" i="38"/>
  <c r="I279" i="38"/>
  <c r="G279" i="38"/>
  <c r="E279" i="38"/>
  <c r="AQ278" i="38"/>
  <c r="AO278" i="38"/>
  <c r="AM278" i="38"/>
  <c r="AK278" i="38"/>
  <c r="AI278" i="38"/>
  <c r="AG278" i="38"/>
  <c r="AE278" i="38"/>
  <c r="AC278" i="38"/>
  <c r="AA278" i="38"/>
  <c r="Y278" i="38"/>
  <c r="W278" i="38"/>
  <c r="U278" i="38"/>
  <c r="S278" i="38"/>
  <c r="Q278" i="38"/>
  <c r="O278" i="38"/>
  <c r="M278" i="38"/>
  <c r="K278" i="38"/>
  <c r="I278" i="38"/>
  <c r="G278" i="38"/>
  <c r="E278" i="38"/>
  <c r="AQ277" i="38"/>
  <c r="AO277" i="38"/>
  <c r="AM277" i="38"/>
  <c r="AK277" i="38"/>
  <c r="AI277" i="38"/>
  <c r="AG277" i="38"/>
  <c r="AE277" i="38"/>
  <c r="AC277" i="38"/>
  <c r="AA277" i="38"/>
  <c r="Y277" i="38"/>
  <c r="W277" i="38"/>
  <c r="U277" i="38"/>
  <c r="S277" i="38"/>
  <c r="Q277" i="38"/>
  <c r="O277" i="38"/>
  <c r="M277" i="38"/>
  <c r="K277" i="38"/>
  <c r="I277" i="38"/>
  <c r="G277" i="38"/>
  <c r="E277" i="38"/>
  <c r="AQ276" i="38"/>
  <c r="AO276" i="38"/>
  <c r="AM276" i="38"/>
  <c r="AK276" i="38"/>
  <c r="AI276" i="38"/>
  <c r="AG276" i="38"/>
  <c r="AE276" i="38"/>
  <c r="AC276" i="38"/>
  <c r="AA276" i="38"/>
  <c r="Y276" i="38"/>
  <c r="W276" i="38"/>
  <c r="U276" i="38"/>
  <c r="S276" i="38"/>
  <c r="Q276" i="38"/>
  <c r="O276" i="38"/>
  <c r="M276" i="38"/>
  <c r="K276" i="38"/>
  <c r="I276" i="38"/>
  <c r="G276" i="38"/>
  <c r="E276" i="38"/>
  <c r="AQ275" i="38"/>
  <c r="AO275" i="38"/>
  <c r="AM275" i="38"/>
  <c r="AK275" i="38"/>
  <c r="AI275" i="38"/>
  <c r="AG275" i="38"/>
  <c r="AE275" i="38"/>
  <c r="AC275" i="38"/>
  <c r="AA275" i="38"/>
  <c r="Y275" i="38"/>
  <c r="W275" i="38"/>
  <c r="U275" i="38"/>
  <c r="S275" i="38"/>
  <c r="Q275" i="38"/>
  <c r="O275" i="38"/>
  <c r="M275" i="38"/>
  <c r="K275" i="38"/>
  <c r="I275" i="38"/>
  <c r="G275" i="38"/>
  <c r="E275" i="38"/>
  <c r="AQ274" i="38"/>
  <c r="AO274" i="38"/>
  <c r="AM274" i="38"/>
  <c r="AK274" i="38"/>
  <c r="AI274" i="38"/>
  <c r="AG274" i="38"/>
  <c r="AE274" i="38"/>
  <c r="AC274" i="38"/>
  <c r="AA274" i="38"/>
  <c r="Y274" i="38"/>
  <c r="W274" i="38"/>
  <c r="U274" i="38"/>
  <c r="S274" i="38"/>
  <c r="Q274" i="38"/>
  <c r="O274" i="38"/>
  <c r="M274" i="38"/>
  <c r="K274" i="38"/>
  <c r="I274" i="38"/>
  <c r="G274" i="38"/>
  <c r="E274" i="38"/>
  <c r="AQ273" i="38"/>
  <c r="AO273" i="38"/>
  <c r="AM273" i="38"/>
  <c r="AK273" i="38"/>
  <c r="AI273" i="38"/>
  <c r="AG273" i="38"/>
  <c r="AE273" i="38"/>
  <c r="AC273" i="38"/>
  <c r="AA273" i="38"/>
  <c r="Y273" i="38"/>
  <c r="W273" i="38"/>
  <c r="U273" i="38"/>
  <c r="S273" i="38"/>
  <c r="Q273" i="38"/>
  <c r="O273" i="38"/>
  <c r="M273" i="38"/>
  <c r="K273" i="38"/>
  <c r="I273" i="38"/>
  <c r="G273" i="38"/>
  <c r="E273" i="38"/>
  <c r="AQ272" i="38"/>
  <c r="AO272" i="38"/>
  <c r="AM272" i="38"/>
  <c r="AK272" i="38"/>
  <c r="AI272" i="38"/>
  <c r="AG272" i="38"/>
  <c r="AE272" i="38"/>
  <c r="AC272" i="38"/>
  <c r="AA272" i="38"/>
  <c r="Y272" i="38"/>
  <c r="W272" i="38"/>
  <c r="U272" i="38"/>
  <c r="S272" i="38"/>
  <c r="Q272" i="38"/>
  <c r="O272" i="38"/>
  <c r="M272" i="38"/>
  <c r="K272" i="38"/>
  <c r="I272" i="38"/>
  <c r="G272" i="38"/>
  <c r="E272" i="38"/>
  <c r="AQ271" i="38"/>
  <c r="AO271" i="38"/>
  <c r="AM271" i="38"/>
  <c r="AK271" i="38"/>
  <c r="AI271" i="38"/>
  <c r="AG271" i="38"/>
  <c r="AE271" i="38"/>
  <c r="AC271" i="38"/>
  <c r="AA271" i="38"/>
  <c r="Y271" i="38"/>
  <c r="W271" i="38"/>
  <c r="U271" i="38"/>
  <c r="S271" i="38"/>
  <c r="Q271" i="38"/>
  <c r="O271" i="38"/>
  <c r="M271" i="38"/>
  <c r="K271" i="38"/>
  <c r="I271" i="38"/>
  <c r="G271" i="38"/>
  <c r="E271" i="38"/>
  <c r="AQ270" i="38"/>
  <c r="AO270" i="38"/>
  <c r="AM270" i="38"/>
  <c r="AK270" i="38"/>
  <c r="AI270" i="38"/>
  <c r="AG270" i="38"/>
  <c r="AE270" i="38"/>
  <c r="AC270" i="38"/>
  <c r="AA270" i="38"/>
  <c r="Y270" i="38"/>
  <c r="W270" i="38"/>
  <c r="U270" i="38"/>
  <c r="S270" i="38"/>
  <c r="Q270" i="38"/>
  <c r="O270" i="38"/>
  <c r="M270" i="38"/>
  <c r="K270" i="38"/>
  <c r="I270" i="38"/>
  <c r="G270" i="38"/>
  <c r="E270" i="38"/>
  <c r="AQ269" i="38"/>
  <c r="AO269" i="38"/>
  <c r="AM269" i="38"/>
  <c r="AK269" i="38"/>
  <c r="AI269" i="38"/>
  <c r="AG269" i="38"/>
  <c r="AE269" i="38"/>
  <c r="AC269" i="38"/>
  <c r="AA269" i="38"/>
  <c r="Y269" i="38"/>
  <c r="W269" i="38"/>
  <c r="U269" i="38"/>
  <c r="S269" i="38"/>
  <c r="Q269" i="38"/>
  <c r="O269" i="38"/>
  <c r="M269" i="38"/>
  <c r="K269" i="38"/>
  <c r="I269" i="38"/>
  <c r="G269" i="38"/>
  <c r="E269" i="38"/>
  <c r="AQ268" i="38"/>
  <c r="AO268" i="38"/>
  <c r="AM268" i="38"/>
  <c r="AK268" i="38"/>
  <c r="AI268" i="38"/>
  <c r="AG268" i="38"/>
  <c r="AE268" i="38"/>
  <c r="AC268" i="38"/>
  <c r="AA268" i="38"/>
  <c r="Y268" i="38"/>
  <c r="W268" i="38"/>
  <c r="U268" i="38"/>
  <c r="S268" i="38"/>
  <c r="Q268" i="38"/>
  <c r="O268" i="38"/>
  <c r="M268" i="38"/>
  <c r="K268" i="38"/>
  <c r="I268" i="38"/>
  <c r="G268" i="38"/>
  <c r="E268" i="38"/>
  <c r="AQ267" i="38"/>
  <c r="AO267" i="38"/>
  <c r="AM267" i="38"/>
  <c r="AK267" i="38"/>
  <c r="AI267" i="38"/>
  <c r="AG267" i="38"/>
  <c r="AE267" i="38"/>
  <c r="AC267" i="38"/>
  <c r="AA267" i="38"/>
  <c r="Y267" i="38"/>
  <c r="W267" i="38"/>
  <c r="U267" i="38"/>
  <c r="S267" i="38"/>
  <c r="Q267" i="38"/>
  <c r="O267" i="38"/>
  <c r="M267" i="38"/>
  <c r="K267" i="38"/>
  <c r="I267" i="38"/>
  <c r="G267" i="38"/>
  <c r="E267" i="38"/>
  <c r="AQ266" i="38"/>
  <c r="AO266" i="38"/>
  <c r="AM266" i="38"/>
  <c r="AK266" i="38"/>
  <c r="AI266" i="38"/>
  <c r="AG266" i="38"/>
  <c r="AE266" i="38"/>
  <c r="AC266" i="38"/>
  <c r="AA266" i="38"/>
  <c r="Y266" i="38"/>
  <c r="W266" i="38"/>
  <c r="U266" i="38"/>
  <c r="S266" i="38"/>
  <c r="Q266" i="38"/>
  <c r="O266" i="38"/>
  <c r="M266" i="38"/>
  <c r="K266" i="38"/>
  <c r="I266" i="38"/>
  <c r="G266" i="38"/>
  <c r="E266" i="38"/>
  <c r="AQ265" i="38"/>
  <c r="AO265" i="38"/>
  <c r="AM265" i="38"/>
  <c r="AK265" i="38"/>
  <c r="AI265" i="38"/>
  <c r="AG265" i="38"/>
  <c r="AE265" i="38"/>
  <c r="AC265" i="38"/>
  <c r="AA265" i="38"/>
  <c r="Y265" i="38"/>
  <c r="W265" i="38"/>
  <c r="U265" i="38"/>
  <c r="S265" i="38"/>
  <c r="Q265" i="38"/>
  <c r="O265" i="38"/>
  <c r="M265" i="38"/>
  <c r="K265" i="38"/>
  <c r="I265" i="38"/>
  <c r="G265" i="38"/>
  <c r="E265" i="38"/>
  <c r="AQ264" i="38"/>
  <c r="AO264" i="38"/>
  <c r="AM264" i="38"/>
  <c r="AK264" i="38"/>
  <c r="AI264" i="38"/>
  <c r="AG264" i="38"/>
  <c r="AE264" i="38"/>
  <c r="AC264" i="38"/>
  <c r="AA264" i="38"/>
  <c r="Y264" i="38"/>
  <c r="W264" i="38"/>
  <c r="U264" i="38"/>
  <c r="S264" i="38"/>
  <c r="Q264" i="38"/>
  <c r="O264" i="38"/>
  <c r="M264" i="38"/>
  <c r="K264" i="38"/>
  <c r="I264" i="38"/>
  <c r="G264" i="38"/>
  <c r="E264" i="38"/>
  <c r="AQ263" i="38"/>
  <c r="AO263" i="38"/>
  <c r="AM263" i="38"/>
  <c r="AK263" i="38"/>
  <c r="AI263" i="38"/>
  <c r="AG263" i="38"/>
  <c r="AE263" i="38"/>
  <c r="AC263" i="38"/>
  <c r="AA263" i="38"/>
  <c r="Y263" i="38"/>
  <c r="W263" i="38"/>
  <c r="U263" i="38"/>
  <c r="S263" i="38"/>
  <c r="Q263" i="38"/>
  <c r="O263" i="38"/>
  <c r="M263" i="38"/>
  <c r="K263" i="38"/>
  <c r="I263" i="38"/>
  <c r="G263" i="38"/>
  <c r="E263" i="38"/>
  <c r="AQ262" i="38"/>
  <c r="AO262" i="38"/>
  <c r="AM262" i="38"/>
  <c r="AK262" i="38"/>
  <c r="AI262" i="38"/>
  <c r="AG262" i="38"/>
  <c r="AE262" i="38"/>
  <c r="AC262" i="38"/>
  <c r="AA262" i="38"/>
  <c r="Y262" i="38"/>
  <c r="W262" i="38"/>
  <c r="U262" i="38"/>
  <c r="S262" i="38"/>
  <c r="Q262" i="38"/>
  <c r="O262" i="38"/>
  <c r="M262" i="38"/>
  <c r="K262" i="38"/>
  <c r="I262" i="38"/>
  <c r="G262" i="38"/>
  <c r="E262" i="38"/>
  <c r="AQ261" i="38"/>
  <c r="AO261" i="38"/>
  <c r="AM261" i="38"/>
  <c r="AK261" i="38"/>
  <c r="AI261" i="38"/>
  <c r="AG261" i="38"/>
  <c r="AE261" i="38"/>
  <c r="AC261" i="38"/>
  <c r="AA261" i="38"/>
  <c r="Y261" i="38"/>
  <c r="W261" i="38"/>
  <c r="U261" i="38"/>
  <c r="S261" i="38"/>
  <c r="Q261" i="38"/>
  <c r="O261" i="38"/>
  <c r="M261" i="38"/>
  <c r="K261" i="38"/>
  <c r="I261" i="38"/>
  <c r="G261" i="38"/>
  <c r="E261" i="38"/>
  <c r="AQ260" i="38"/>
  <c r="AO260" i="38"/>
  <c r="AM260" i="38"/>
  <c r="AK260" i="38"/>
  <c r="AI260" i="38"/>
  <c r="AG260" i="38"/>
  <c r="AE260" i="38"/>
  <c r="AC260" i="38"/>
  <c r="AA260" i="38"/>
  <c r="Y260" i="38"/>
  <c r="W260" i="38"/>
  <c r="U260" i="38"/>
  <c r="S260" i="38"/>
  <c r="Q260" i="38"/>
  <c r="O260" i="38"/>
  <c r="M260" i="38"/>
  <c r="K260" i="38"/>
  <c r="I260" i="38"/>
  <c r="G260" i="38"/>
  <c r="E260" i="38"/>
  <c r="AQ259" i="38"/>
  <c r="AO259" i="38"/>
  <c r="AM259" i="38"/>
  <c r="AK259" i="38"/>
  <c r="AI259" i="38"/>
  <c r="AG259" i="38"/>
  <c r="AE259" i="38"/>
  <c r="AC259" i="38"/>
  <c r="AA259" i="38"/>
  <c r="Y259" i="38"/>
  <c r="W259" i="38"/>
  <c r="U259" i="38"/>
  <c r="S259" i="38"/>
  <c r="Q259" i="38"/>
  <c r="O259" i="38"/>
  <c r="M259" i="38"/>
  <c r="K259" i="38"/>
  <c r="I259" i="38"/>
  <c r="G259" i="38"/>
  <c r="E259" i="38"/>
  <c r="AQ258" i="38"/>
  <c r="AO258" i="38"/>
  <c r="AM258" i="38"/>
  <c r="AK258" i="38"/>
  <c r="AI258" i="38"/>
  <c r="AG258" i="38"/>
  <c r="AE258" i="38"/>
  <c r="AC258" i="38"/>
  <c r="AA258" i="38"/>
  <c r="Y258" i="38"/>
  <c r="W258" i="38"/>
  <c r="U258" i="38"/>
  <c r="S258" i="38"/>
  <c r="Q258" i="38"/>
  <c r="O258" i="38"/>
  <c r="M258" i="38"/>
  <c r="K258" i="38"/>
  <c r="I258" i="38"/>
  <c r="G258" i="38"/>
  <c r="E258" i="38"/>
  <c r="AQ257" i="38"/>
  <c r="AO257" i="38"/>
  <c r="AM257" i="38"/>
  <c r="AK257" i="38"/>
  <c r="AI257" i="38"/>
  <c r="AG257" i="38"/>
  <c r="AE257" i="38"/>
  <c r="AC257" i="38"/>
  <c r="AA257" i="38"/>
  <c r="Y257" i="38"/>
  <c r="W257" i="38"/>
  <c r="U257" i="38"/>
  <c r="S257" i="38"/>
  <c r="Q257" i="38"/>
  <c r="O257" i="38"/>
  <c r="M257" i="38"/>
  <c r="K257" i="38"/>
  <c r="I257" i="38"/>
  <c r="G257" i="38"/>
  <c r="E257" i="38"/>
  <c r="AQ256" i="38"/>
  <c r="AO256" i="38"/>
  <c r="AM256" i="38"/>
  <c r="AK256" i="38"/>
  <c r="AI256" i="38"/>
  <c r="AG256" i="38"/>
  <c r="AE256" i="38"/>
  <c r="AC256" i="38"/>
  <c r="AA256" i="38"/>
  <c r="Y256" i="38"/>
  <c r="W256" i="38"/>
  <c r="U256" i="38"/>
  <c r="S256" i="38"/>
  <c r="Q256" i="38"/>
  <c r="O256" i="38"/>
  <c r="M256" i="38"/>
  <c r="K256" i="38"/>
  <c r="I256" i="38"/>
  <c r="G256" i="38"/>
  <c r="E256" i="38"/>
  <c r="AQ255" i="38"/>
  <c r="AO255" i="38"/>
  <c r="AM255" i="38"/>
  <c r="AK255" i="38"/>
  <c r="AI255" i="38"/>
  <c r="AG255" i="38"/>
  <c r="AE255" i="38"/>
  <c r="AC255" i="38"/>
  <c r="AA255" i="38"/>
  <c r="Y255" i="38"/>
  <c r="W255" i="38"/>
  <c r="U255" i="38"/>
  <c r="S255" i="38"/>
  <c r="Q255" i="38"/>
  <c r="O255" i="38"/>
  <c r="M255" i="38"/>
  <c r="K255" i="38"/>
  <c r="I255" i="38"/>
  <c r="G255" i="38"/>
  <c r="E255" i="38"/>
  <c r="AQ254" i="38"/>
  <c r="AO254" i="38"/>
  <c r="AM254" i="38"/>
  <c r="AK254" i="38"/>
  <c r="AI254" i="38"/>
  <c r="AG254" i="38"/>
  <c r="AE254" i="38"/>
  <c r="AC254" i="38"/>
  <c r="AA254" i="38"/>
  <c r="Y254" i="38"/>
  <c r="W254" i="38"/>
  <c r="U254" i="38"/>
  <c r="S254" i="38"/>
  <c r="Q254" i="38"/>
  <c r="O254" i="38"/>
  <c r="M254" i="38"/>
  <c r="K254" i="38"/>
  <c r="I254" i="38"/>
  <c r="G254" i="38"/>
  <c r="E254" i="38"/>
  <c r="AQ253" i="38"/>
  <c r="AO253" i="38"/>
  <c r="AM253" i="38"/>
  <c r="AK253" i="38"/>
  <c r="AI253" i="38"/>
  <c r="AG253" i="38"/>
  <c r="AE253" i="38"/>
  <c r="AC253" i="38"/>
  <c r="AA253" i="38"/>
  <c r="Y253" i="38"/>
  <c r="W253" i="38"/>
  <c r="U253" i="38"/>
  <c r="S253" i="38"/>
  <c r="Q253" i="38"/>
  <c r="O253" i="38"/>
  <c r="M253" i="38"/>
  <c r="K253" i="38"/>
  <c r="I253" i="38"/>
  <c r="G253" i="38"/>
  <c r="E253" i="38"/>
  <c r="AQ252" i="38"/>
  <c r="AO252" i="38"/>
  <c r="AM252" i="38"/>
  <c r="AK252" i="38"/>
  <c r="AI252" i="38"/>
  <c r="AG252" i="38"/>
  <c r="AE252" i="38"/>
  <c r="AC252" i="38"/>
  <c r="AA252" i="38"/>
  <c r="Y252" i="38"/>
  <c r="W252" i="38"/>
  <c r="U252" i="38"/>
  <c r="S252" i="38"/>
  <c r="Q252" i="38"/>
  <c r="O252" i="38"/>
  <c r="M252" i="38"/>
  <c r="K252" i="38"/>
  <c r="I252" i="38"/>
  <c r="G252" i="38"/>
  <c r="E252" i="38"/>
  <c r="AQ251" i="38"/>
  <c r="AO251" i="38"/>
  <c r="AM251" i="38"/>
  <c r="AK251" i="38"/>
  <c r="AI251" i="38"/>
  <c r="AG251" i="38"/>
  <c r="AE251" i="38"/>
  <c r="AC251" i="38"/>
  <c r="AA251" i="38"/>
  <c r="Y251" i="38"/>
  <c r="W251" i="38"/>
  <c r="U251" i="38"/>
  <c r="S251" i="38"/>
  <c r="Q251" i="38"/>
  <c r="O251" i="38"/>
  <c r="M251" i="38"/>
  <c r="K251" i="38"/>
  <c r="I251" i="38"/>
  <c r="G251" i="38"/>
  <c r="E251" i="38"/>
  <c r="AQ250" i="38"/>
  <c r="AO250" i="38"/>
  <c r="AM250" i="38"/>
  <c r="AK250" i="38"/>
  <c r="AI250" i="38"/>
  <c r="AG250" i="38"/>
  <c r="AE250" i="38"/>
  <c r="AC250" i="38"/>
  <c r="AA250" i="38"/>
  <c r="Y250" i="38"/>
  <c r="W250" i="38"/>
  <c r="U250" i="38"/>
  <c r="S250" i="38"/>
  <c r="Q250" i="38"/>
  <c r="O250" i="38"/>
  <c r="M250" i="38"/>
  <c r="K250" i="38"/>
  <c r="I250" i="38"/>
  <c r="G250" i="38"/>
  <c r="E250" i="38"/>
  <c r="AQ249" i="38"/>
  <c r="AO249" i="38"/>
  <c r="AM249" i="38"/>
  <c r="AK249" i="38"/>
  <c r="AI249" i="38"/>
  <c r="AG249" i="38"/>
  <c r="AE249" i="38"/>
  <c r="AC249" i="38"/>
  <c r="AA249" i="38"/>
  <c r="Y249" i="38"/>
  <c r="W249" i="38"/>
  <c r="U249" i="38"/>
  <c r="S249" i="38"/>
  <c r="Q249" i="38"/>
  <c r="O249" i="38"/>
  <c r="M249" i="38"/>
  <c r="K249" i="38"/>
  <c r="I249" i="38"/>
  <c r="G249" i="38"/>
  <c r="E249" i="38"/>
  <c r="AQ248" i="38"/>
  <c r="AO248" i="38"/>
  <c r="AM248" i="38"/>
  <c r="AK248" i="38"/>
  <c r="AI248" i="38"/>
  <c r="AG248" i="38"/>
  <c r="AE248" i="38"/>
  <c r="AC248" i="38"/>
  <c r="AA248" i="38"/>
  <c r="Y248" i="38"/>
  <c r="W248" i="38"/>
  <c r="U248" i="38"/>
  <c r="S248" i="38"/>
  <c r="Q248" i="38"/>
  <c r="O248" i="38"/>
  <c r="M248" i="38"/>
  <c r="K248" i="38"/>
  <c r="I248" i="38"/>
  <c r="G248" i="38"/>
  <c r="E248" i="38"/>
  <c r="AQ247" i="38"/>
  <c r="AO247" i="38"/>
  <c r="AM247" i="38"/>
  <c r="AK247" i="38"/>
  <c r="AI247" i="38"/>
  <c r="AG247" i="38"/>
  <c r="AE247" i="38"/>
  <c r="AC247" i="38"/>
  <c r="AA247" i="38"/>
  <c r="Y247" i="38"/>
  <c r="W247" i="38"/>
  <c r="U247" i="38"/>
  <c r="S247" i="38"/>
  <c r="Q247" i="38"/>
  <c r="O247" i="38"/>
  <c r="M247" i="38"/>
  <c r="K247" i="38"/>
  <c r="I247" i="38"/>
  <c r="G247" i="38"/>
  <c r="E247" i="38"/>
  <c r="AQ246" i="38"/>
  <c r="AO246" i="38"/>
  <c r="AM246" i="38"/>
  <c r="AK246" i="38"/>
  <c r="AI246" i="38"/>
  <c r="AG246" i="38"/>
  <c r="AE246" i="38"/>
  <c r="AC246" i="38"/>
  <c r="AA246" i="38"/>
  <c r="Y246" i="38"/>
  <c r="W246" i="38"/>
  <c r="U246" i="38"/>
  <c r="S246" i="38"/>
  <c r="Q246" i="38"/>
  <c r="O246" i="38"/>
  <c r="M246" i="38"/>
  <c r="K246" i="38"/>
  <c r="I246" i="38"/>
  <c r="G246" i="38"/>
  <c r="E246" i="38"/>
  <c r="AQ245" i="38"/>
  <c r="AO245" i="38"/>
  <c r="AM245" i="38"/>
  <c r="AK245" i="38"/>
  <c r="AI245" i="38"/>
  <c r="AG245" i="38"/>
  <c r="AE245" i="38"/>
  <c r="AC245" i="38"/>
  <c r="AA245" i="38"/>
  <c r="Y245" i="38"/>
  <c r="W245" i="38"/>
  <c r="U245" i="38"/>
  <c r="S245" i="38"/>
  <c r="Q245" i="38"/>
  <c r="O245" i="38"/>
  <c r="M245" i="38"/>
  <c r="K245" i="38"/>
  <c r="I245" i="38"/>
  <c r="G245" i="38"/>
  <c r="E245" i="38"/>
  <c r="AQ244" i="38"/>
  <c r="AO244" i="38"/>
  <c r="AM244" i="38"/>
  <c r="AK244" i="38"/>
  <c r="AI244" i="38"/>
  <c r="AG244" i="38"/>
  <c r="AE244" i="38"/>
  <c r="AC244" i="38"/>
  <c r="AA244" i="38"/>
  <c r="Y244" i="38"/>
  <c r="W244" i="38"/>
  <c r="U244" i="38"/>
  <c r="S244" i="38"/>
  <c r="Q244" i="38"/>
  <c r="O244" i="38"/>
  <c r="M244" i="38"/>
  <c r="K244" i="38"/>
  <c r="I244" i="38"/>
  <c r="G244" i="38"/>
  <c r="E244" i="38"/>
  <c r="AQ243" i="38"/>
  <c r="AO243" i="38"/>
  <c r="AM243" i="38"/>
  <c r="AK243" i="38"/>
  <c r="AI243" i="38"/>
  <c r="AG243" i="38"/>
  <c r="AE243" i="38"/>
  <c r="AC243" i="38"/>
  <c r="AA243" i="38"/>
  <c r="Y243" i="38"/>
  <c r="W243" i="38"/>
  <c r="U243" i="38"/>
  <c r="S243" i="38"/>
  <c r="Q243" i="38"/>
  <c r="O243" i="38"/>
  <c r="M243" i="38"/>
  <c r="K243" i="38"/>
  <c r="I243" i="38"/>
  <c r="G243" i="38"/>
  <c r="E243" i="38"/>
  <c r="AQ242" i="38"/>
  <c r="AO242" i="38"/>
  <c r="AM242" i="38"/>
  <c r="AK242" i="38"/>
  <c r="AI242" i="38"/>
  <c r="AG242" i="38"/>
  <c r="AE242" i="38"/>
  <c r="AC242" i="38"/>
  <c r="AA242" i="38"/>
  <c r="Y242" i="38"/>
  <c r="W242" i="38"/>
  <c r="U242" i="38"/>
  <c r="S242" i="38"/>
  <c r="Q242" i="38"/>
  <c r="O242" i="38"/>
  <c r="M242" i="38"/>
  <c r="K242" i="38"/>
  <c r="I242" i="38"/>
  <c r="G242" i="38"/>
  <c r="E242" i="38"/>
  <c r="AQ241" i="38"/>
  <c r="AO241" i="38"/>
  <c r="AM241" i="38"/>
  <c r="AK241" i="38"/>
  <c r="AI241" i="38"/>
  <c r="AG241" i="38"/>
  <c r="AE241" i="38"/>
  <c r="AC241" i="38"/>
  <c r="AA241" i="38"/>
  <c r="Y241" i="38"/>
  <c r="W241" i="38"/>
  <c r="U241" i="38"/>
  <c r="S241" i="38"/>
  <c r="Q241" i="38"/>
  <c r="O241" i="38"/>
  <c r="M241" i="38"/>
  <c r="K241" i="38"/>
  <c r="I241" i="38"/>
  <c r="G241" i="38"/>
  <c r="E241" i="38"/>
  <c r="AQ240" i="38"/>
  <c r="AO240" i="38"/>
  <c r="AM240" i="38"/>
  <c r="AK240" i="38"/>
  <c r="AI240" i="38"/>
  <c r="AG240" i="38"/>
  <c r="AE240" i="38"/>
  <c r="AC240" i="38"/>
  <c r="AA240" i="38"/>
  <c r="Y240" i="38"/>
  <c r="W240" i="38"/>
  <c r="U240" i="38"/>
  <c r="S240" i="38"/>
  <c r="Q240" i="38"/>
  <c r="O240" i="38"/>
  <c r="M240" i="38"/>
  <c r="K240" i="38"/>
  <c r="I240" i="38"/>
  <c r="G240" i="38"/>
  <c r="E240" i="38"/>
  <c r="AQ239" i="38"/>
  <c r="AO239" i="38"/>
  <c r="AM239" i="38"/>
  <c r="AK239" i="38"/>
  <c r="AI239" i="38"/>
  <c r="AG239" i="38"/>
  <c r="AE239" i="38"/>
  <c r="AC239" i="38"/>
  <c r="AA239" i="38"/>
  <c r="Y239" i="38"/>
  <c r="W239" i="38"/>
  <c r="U239" i="38"/>
  <c r="S239" i="38"/>
  <c r="Q239" i="38"/>
  <c r="O239" i="38"/>
  <c r="M239" i="38"/>
  <c r="K239" i="38"/>
  <c r="I239" i="38"/>
  <c r="G239" i="38"/>
  <c r="E239" i="38"/>
  <c r="AQ238" i="38"/>
  <c r="AO238" i="38"/>
  <c r="AM238" i="38"/>
  <c r="AK238" i="38"/>
  <c r="AI238" i="38"/>
  <c r="AG238" i="38"/>
  <c r="AE238" i="38"/>
  <c r="AC238" i="38"/>
  <c r="AA238" i="38"/>
  <c r="Y238" i="38"/>
  <c r="W238" i="38"/>
  <c r="U238" i="38"/>
  <c r="S238" i="38"/>
  <c r="Q238" i="38"/>
  <c r="O238" i="38"/>
  <c r="M238" i="38"/>
  <c r="K238" i="38"/>
  <c r="I238" i="38"/>
  <c r="G238" i="38"/>
  <c r="E238" i="38"/>
  <c r="AQ237" i="38"/>
  <c r="AO237" i="38"/>
  <c r="AM237" i="38"/>
  <c r="AK237" i="38"/>
  <c r="AI237" i="38"/>
  <c r="AG237" i="38"/>
  <c r="AE237" i="38"/>
  <c r="AC237" i="38"/>
  <c r="AA237" i="38"/>
  <c r="Y237" i="38"/>
  <c r="W237" i="38"/>
  <c r="U237" i="38"/>
  <c r="S237" i="38"/>
  <c r="Q237" i="38"/>
  <c r="O237" i="38"/>
  <c r="M237" i="38"/>
  <c r="K237" i="38"/>
  <c r="I237" i="38"/>
  <c r="G237" i="38"/>
  <c r="E237" i="38"/>
  <c r="AQ236" i="38"/>
  <c r="AO236" i="38"/>
  <c r="AM236" i="38"/>
  <c r="AK236" i="38"/>
  <c r="AI236" i="38"/>
  <c r="AG236" i="38"/>
  <c r="AE236" i="38"/>
  <c r="AC236" i="38"/>
  <c r="AA236" i="38"/>
  <c r="Y236" i="38"/>
  <c r="W236" i="38"/>
  <c r="U236" i="38"/>
  <c r="S236" i="38"/>
  <c r="Q236" i="38"/>
  <c r="O236" i="38"/>
  <c r="M236" i="38"/>
  <c r="K236" i="38"/>
  <c r="I236" i="38"/>
  <c r="G236" i="38"/>
  <c r="E236" i="38"/>
  <c r="AQ235" i="38"/>
  <c r="AO235" i="38"/>
  <c r="AM235" i="38"/>
  <c r="AK235" i="38"/>
  <c r="AI235" i="38"/>
  <c r="AG235" i="38"/>
  <c r="AE235" i="38"/>
  <c r="AC235" i="38"/>
  <c r="AA235" i="38"/>
  <c r="Y235" i="38"/>
  <c r="W235" i="38"/>
  <c r="U235" i="38"/>
  <c r="S235" i="38"/>
  <c r="Q235" i="38"/>
  <c r="O235" i="38"/>
  <c r="M235" i="38"/>
  <c r="K235" i="38"/>
  <c r="I235" i="38"/>
  <c r="G235" i="38"/>
  <c r="E235" i="38"/>
  <c r="AQ234" i="38"/>
  <c r="AO234" i="38"/>
  <c r="AM234" i="38"/>
  <c r="AK234" i="38"/>
  <c r="AI234" i="38"/>
  <c r="AG234" i="38"/>
  <c r="AE234" i="38"/>
  <c r="AC234" i="38"/>
  <c r="AA234" i="38"/>
  <c r="Y234" i="38"/>
  <c r="W234" i="38"/>
  <c r="U234" i="38"/>
  <c r="S234" i="38"/>
  <c r="Q234" i="38"/>
  <c r="O234" i="38"/>
  <c r="M234" i="38"/>
  <c r="K234" i="38"/>
  <c r="I234" i="38"/>
  <c r="G234" i="38"/>
  <c r="E234" i="38"/>
  <c r="AQ233" i="38"/>
  <c r="AO233" i="38"/>
  <c r="AM233" i="38"/>
  <c r="AK233" i="38"/>
  <c r="AI233" i="38"/>
  <c r="AG233" i="38"/>
  <c r="AE233" i="38"/>
  <c r="AC233" i="38"/>
  <c r="AA233" i="38"/>
  <c r="Y233" i="38"/>
  <c r="W233" i="38"/>
  <c r="U233" i="38"/>
  <c r="S233" i="38"/>
  <c r="Q233" i="38"/>
  <c r="O233" i="38"/>
  <c r="M233" i="38"/>
  <c r="K233" i="38"/>
  <c r="I233" i="38"/>
  <c r="G233" i="38"/>
  <c r="E233" i="38"/>
  <c r="AQ232" i="38"/>
  <c r="AO232" i="38"/>
  <c r="AM232" i="38"/>
  <c r="AK232" i="38"/>
  <c r="AI232" i="38"/>
  <c r="AG232" i="38"/>
  <c r="AE232" i="38"/>
  <c r="AC232" i="38"/>
  <c r="AA232" i="38"/>
  <c r="Y232" i="38"/>
  <c r="W232" i="38"/>
  <c r="U232" i="38"/>
  <c r="S232" i="38"/>
  <c r="Q232" i="38"/>
  <c r="O232" i="38"/>
  <c r="M232" i="38"/>
  <c r="K232" i="38"/>
  <c r="I232" i="38"/>
  <c r="G232" i="38"/>
  <c r="E232" i="38"/>
  <c r="AQ231" i="38"/>
  <c r="AO231" i="38"/>
  <c r="AM231" i="38"/>
  <c r="AK231" i="38"/>
  <c r="AI231" i="38"/>
  <c r="AG231" i="38"/>
  <c r="AE231" i="38"/>
  <c r="AC231" i="38"/>
  <c r="AA231" i="38"/>
  <c r="Y231" i="38"/>
  <c r="W231" i="38"/>
  <c r="U231" i="38"/>
  <c r="S231" i="38"/>
  <c r="Q231" i="38"/>
  <c r="O231" i="38"/>
  <c r="M231" i="38"/>
  <c r="K231" i="38"/>
  <c r="I231" i="38"/>
  <c r="G231" i="38"/>
  <c r="E231" i="38"/>
  <c r="AQ230" i="38"/>
  <c r="AO230" i="38"/>
  <c r="AM230" i="38"/>
  <c r="AK230" i="38"/>
  <c r="AI230" i="38"/>
  <c r="AG230" i="38"/>
  <c r="AE230" i="38"/>
  <c r="AC230" i="38"/>
  <c r="AA230" i="38"/>
  <c r="Y230" i="38"/>
  <c r="W230" i="38"/>
  <c r="U230" i="38"/>
  <c r="S230" i="38"/>
  <c r="Q230" i="38"/>
  <c r="O230" i="38"/>
  <c r="M230" i="38"/>
  <c r="K230" i="38"/>
  <c r="I230" i="38"/>
  <c r="G230" i="38"/>
  <c r="E230" i="38"/>
  <c r="AQ229" i="38"/>
  <c r="AO229" i="38"/>
  <c r="AM229" i="38"/>
  <c r="AK229" i="38"/>
  <c r="AI229" i="38"/>
  <c r="AG229" i="38"/>
  <c r="AE229" i="38"/>
  <c r="AC229" i="38"/>
  <c r="AA229" i="38"/>
  <c r="Y229" i="38"/>
  <c r="W229" i="38"/>
  <c r="U229" i="38"/>
  <c r="S229" i="38"/>
  <c r="Q229" i="38"/>
  <c r="O229" i="38"/>
  <c r="M229" i="38"/>
  <c r="K229" i="38"/>
  <c r="I229" i="38"/>
  <c r="G229" i="38"/>
  <c r="E229" i="38"/>
  <c r="AQ228" i="38"/>
  <c r="AO228" i="38"/>
  <c r="AM228" i="38"/>
  <c r="AK228" i="38"/>
  <c r="AI228" i="38"/>
  <c r="AG228" i="38"/>
  <c r="AE228" i="38"/>
  <c r="AC228" i="38"/>
  <c r="AA228" i="38"/>
  <c r="Y228" i="38"/>
  <c r="W228" i="38"/>
  <c r="U228" i="38"/>
  <c r="S228" i="38"/>
  <c r="Q228" i="38"/>
  <c r="O228" i="38"/>
  <c r="M228" i="38"/>
  <c r="K228" i="38"/>
  <c r="I228" i="38"/>
  <c r="G228" i="38"/>
  <c r="E228" i="38"/>
  <c r="AQ227" i="38"/>
  <c r="AO227" i="38"/>
  <c r="AM227" i="38"/>
  <c r="AK227" i="38"/>
  <c r="AI227" i="38"/>
  <c r="AG227" i="38"/>
  <c r="AE227" i="38"/>
  <c r="AC227" i="38"/>
  <c r="AA227" i="38"/>
  <c r="Y227" i="38"/>
  <c r="W227" i="38"/>
  <c r="U227" i="38"/>
  <c r="S227" i="38"/>
  <c r="Q227" i="38"/>
  <c r="O227" i="38"/>
  <c r="M227" i="38"/>
  <c r="K227" i="38"/>
  <c r="I227" i="38"/>
  <c r="G227" i="38"/>
  <c r="E227" i="38"/>
  <c r="AQ226" i="38"/>
  <c r="AO226" i="38"/>
  <c r="AM226" i="38"/>
  <c r="AK226" i="38"/>
  <c r="AI226" i="38"/>
  <c r="AG226" i="38"/>
  <c r="AE226" i="38"/>
  <c r="AC226" i="38"/>
  <c r="AA226" i="38"/>
  <c r="Y226" i="38"/>
  <c r="W226" i="38"/>
  <c r="U226" i="38"/>
  <c r="S226" i="38"/>
  <c r="Q226" i="38"/>
  <c r="O226" i="38"/>
  <c r="M226" i="38"/>
  <c r="K226" i="38"/>
  <c r="I226" i="38"/>
  <c r="G226" i="38"/>
  <c r="E226" i="38"/>
  <c r="AQ225" i="38"/>
  <c r="AO225" i="38"/>
  <c r="AM225" i="38"/>
  <c r="AK225" i="38"/>
  <c r="AI225" i="38"/>
  <c r="AG225" i="38"/>
  <c r="AE225" i="38"/>
  <c r="AC225" i="38"/>
  <c r="AA225" i="38"/>
  <c r="Y225" i="38"/>
  <c r="W225" i="38"/>
  <c r="U225" i="38"/>
  <c r="S225" i="38"/>
  <c r="Q225" i="38"/>
  <c r="O225" i="38"/>
  <c r="M225" i="38"/>
  <c r="K225" i="38"/>
  <c r="I225" i="38"/>
  <c r="G225" i="38"/>
  <c r="E225" i="38"/>
  <c r="AQ224" i="38"/>
  <c r="AO224" i="38"/>
  <c r="AM224" i="38"/>
  <c r="AK224" i="38"/>
  <c r="AI224" i="38"/>
  <c r="AG224" i="38"/>
  <c r="AE224" i="38"/>
  <c r="AC224" i="38"/>
  <c r="AA224" i="38"/>
  <c r="Y224" i="38"/>
  <c r="W224" i="38"/>
  <c r="U224" i="38"/>
  <c r="S224" i="38"/>
  <c r="Q224" i="38"/>
  <c r="O224" i="38"/>
  <c r="M224" i="38"/>
  <c r="K224" i="38"/>
  <c r="I224" i="38"/>
  <c r="G224" i="38"/>
  <c r="E224" i="38"/>
  <c r="AQ223" i="38"/>
  <c r="AO223" i="38"/>
  <c r="AM223" i="38"/>
  <c r="AK223" i="38"/>
  <c r="AI223" i="38"/>
  <c r="AG223" i="38"/>
  <c r="AE223" i="38"/>
  <c r="AC223" i="38"/>
  <c r="AA223" i="38"/>
  <c r="Y223" i="38"/>
  <c r="W223" i="38"/>
  <c r="U223" i="38"/>
  <c r="S223" i="38"/>
  <c r="Q223" i="38"/>
  <c r="O223" i="38"/>
  <c r="M223" i="38"/>
  <c r="K223" i="38"/>
  <c r="I223" i="38"/>
  <c r="G223" i="38"/>
  <c r="E223" i="38"/>
  <c r="AQ222" i="38"/>
  <c r="AO222" i="38"/>
  <c r="AM222" i="38"/>
  <c r="AK222" i="38"/>
  <c r="AI222" i="38"/>
  <c r="AG222" i="38"/>
  <c r="AE222" i="38"/>
  <c r="AC222" i="38"/>
  <c r="AA222" i="38"/>
  <c r="Y222" i="38"/>
  <c r="W222" i="38"/>
  <c r="U222" i="38"/>
  <c r="S222" i="38"/>
  <c r="Q222" i="38"/>
  <c r="O222" i="38"/>
  <c r="M222" i="38"/>
  <c r="K222" i="38"/>
  <c r="I222" i="38"/>
  <c r="G222" i="38"/>
  <c r="E222" i="38"/>
  <c r="AQ221" i="38"/>
  <c r="AO221" i="38"/>
  <c r="AM221" i="38"/>
  <c r="AK221" i="38"/>
  <c r="AI221" i="38"/>
  <c r="AG221" i="38"/>
  <c r="AE221" i="38"/>
  <c r="AC221" i="38"/>
  <c r="AA221" i="38"/>
  <c r="Y221" i="38"/>
  <c r="W221" i="38"/>
  <c r="U221" i="38"/>
  <c r="S221" i="38"/>
  <c r="Q221" i="38"/>
  <c r="O221" i="38"/>
  <c r="M221" i="38"/>
  <c r="K221" i="38"/>
  <c r="I221" i="38"/>
  <c r="G221" i="38"/>
  <c r="E221" i="38"/>
  <c r="AQ220" i="38"/>
  <c r="AO220" i="38"/>
  <c r="AM220" i="38"/>
  <c r="AK220" i="38"/>
  <c r="AI220" i="38"/>
  <c r="AG220" i="38"/>
  <c r="AE220" i="38"/>
  <c r="AC220" i="38"/>
  <c r="AA220" i="38"/>
  <c r="Y220" i="38"/>
  <c r="W220" i="38"/>
  <c r="U220" i="38"/>
  <c r="S220" i="38"/>
  <c r="Q220" i="38"/>
  <c r="O220" i="38"/>
  <c r="M220" i="38"/>
  <c r="K220" i="38"/>
  <c r="I220" i="38"/>
  <c r="G220" i="38"/>
  <c r="E220" i="38"/>
  <c r="AQ219" i="38"/>
  <c r="AO219" i="38"/>
  <c r="AM219" i="38"/>
  <c r="AK219" i="38"/>
  <c r="AI219" i="38"/>
  <c r="AG219" i="38"/>
  <c r="AE219" i="38"/>
  <c r="AC219" i="38"/>
  <c r="AA219" i="38"/>
  <c r="Y219" i="38"/>
  <c r="W219" i="38"/>
  <c r="U219" i="38"/>
  <c r="S219" i="38"/>
  <c r="Q219" i="38"/>
  <c r="O219" i="38"/>
  <c r="M219" i="38"/>
  <c r="K219" i="38"/>
  <c r="I219" i="38"/>
  <c r="G219" i="38"/>
  <c r="E219" i="38"/>
  <c r="AQ218" i="38"/>
  <c r="AO218" i="38"/>
  <c r="AM218" i="38"/>
  <c r="AK218" i="38"/>
  <c r="AI218" i="38"/>
  <c r="AG218" i="38"/>
  <c r="AE218" i="38"/>
  <c r="AC218" i="38"/>
  <c r="AA218" i="38"/>
  <c r="Y218" i="38"/>
  <c r="W218" i="38"/>
  <c r="U218" i="38"/>
  <c r="S218" i="38"/>
  <c r="Q218" i="38"/>
  <c r="O218" i="38"/>
  <c r="M218" i="38"/>
  <c r="K218" i="38"/>
  <c r="I218" i="38"/>
  <c r="G218" i="38"/>
  <c r="E218" i="38"/>
  <c r="AQ217" i="38"/>
  <c r="AO217" i="38"/>
  <c r="AM217" i="38"/>
  <c r="AK217" i="38"/>
  <c r="AI217" i="38"/>
  <c r="AG217" i="38"/>
  <c r="AE217" i="38"/>
  <c r="AC217" i="38"/>
  <c r="AA217" i="38"/>
  <c r="Y217" i="38"/>
  <c r="W217" i="38"/>
  <c r="U217" i="38"/>
  <c r="S217" i="38"/>
  <c r="Q217" i="38"/>
  <c r="O217" i="38"/>
  <c r="M217" i="38"/>
  <c r="K217" i="38"/>
  <c r="I217" i="38"/>
  <c r="G217" i="38"/>
  <c r="E217" i="38"/>
  <c r="AQ216" i="38"/>
  <c r="AO216" i="38"/>
  <c r="AM216" i="38"/>
  <c r="AK216" i="38"/>
  <c r="AI216" i="38"/>
  <c r="AG216" i="38"/>
  <c r="AE216" i="38"/>
  <c r="AC216" i="38"/>
  <c r="AA216" i="38"/>
  <c r="Y216" i="38"/>
  <c r="W216" i="38"/>
  <c r="U216" i="38"/>
  <c r="S216" i="38"/>
  <c r="Q216" i="38"/>
  <c r="O216" i="38"/>
  <c r="M216" i="38"/>
  <c r="K216" i="38"/>
  <c r="I216" i="38"/>
  <c r="G216" i="38"/>
  <c r="E216" i="38"/>
  <c r="AQ215" i="38"/>
  <c r="AO215" i="38"/>
  <c r="AM215" i="38"/>
  <c r="AK215" i="38"/>
  <c r="AI215" i="38"/>
  <c r="AG215" i="38"/>
  <c r="AE215" i="38"/>
  <c r="AC215" i="38"/>
  <c r="AA215" i="38"/>
  <c r="Y215" i="38"/>
  <c r="W215" i="38"/>
  <c r="U215" i="38"/>
  <c r="S215" i="38"/>
  <c r="Q215" i="38"/>
  <c r="O215" i="38"/>
  <c r="M215" i="38"/>
  <c r="K215" i="38"/>
  <c r="I215" i="38"/>
  <c r="G215" i="38"/>
  <c r="E215" i="38"/>
  <c r="AQ214" i="38"/>
  <c r="AO214" i="38"/>
  <c r="AM214" i="38"/>
  <c r="AK214" i="38"/>
  <c r="AI214" i="38"/>
  <c r="AG214" i="38"/>
  <c r="AE214" i="38"/>
  <c r="AC214" i="38"/>
  <c r="AA214" i="38"/>
  <c r="Y214" i="38"/>
  <c r="W214" i="38"/>
  <c r="U214" i="38"/>
  <c r="S214" i="38"/>
  <c r="Q214" i="38"/>
  <c r="O214" i="38"/>
  <c r="M214" i="38"/>
  <c r="K214" i="38"/>
  <c r="I214" i="38"/>
  <c r="G214" i="38"/>
  <c r="E214" i="38"/>
  <c r="AQ213" i="38"/>
  <c r="AO213" i="38"/>
  <c r="AM213" i="38"/>
  <c r="AK213" i="38"/>
  <c r="AI213" i="38"/>
  <c r="AG213" i="38"/>
  <c r="AE213" i="38"/>
  <c r="AC213" i="38"/>
  <c r="AA213" i="38"/>
  <c r="Y213" i="38"/>
  <c r="W213" i="38"/>
  <c r="U213" i="38"/>
  <c r="S213" i="38"/>
  <c r="Q213" i="38"/>
  <c r="O213" i="38"/>
  <c r="M213" i="38"/>
  <c r="K213" i="38"/>
  <c r="I213" i="38"/>
  <c r="G213" i="38"/>
  <c r="E213" i="38"/>
  <c r="AQ212" i="38"/>
  <c r="AO212" i="38"/>
  <c r="AM212" i="38"/>
  <c r="AK212" i="38"/>
  <c r="AI212" i="38"/>
  <c r="AG212" i="38"/>
  <c r="AE212" i="38"/>
  <c r="AC212" i="38"/>
  <c r="AA212" i="38"/>
  <c r="Y212" i="38"/>
  <c r="W212" i="38"/>
  <c r="U212" i="38"/>
  <c r="S212" i="38"/>
  <c r="Q212" i="38"/>
  <c r="O212" i="38"/>
  <c r="M212" i="38"/>
  <c r="K212" i="38"/>
  <c r="I212" i="38"/>
  <c r="G212" i="38"/>
  <c r="E212" i="38"/>
  <c r="AQ211" i="38"/>
  <c r="AO211" i="38"/>
  <c r="AM211" i="38"/>
  <c r="AK211" i="38"/>
  <c r="AI211" i="38"/>
  <c r="AG211" i="38"/>
  <c r="AE211" i="38"/>
  <c r="AC211" i="38"/>
  <c r="AA211" i="38"/>
  <c r="Y211" i="38"/>
  <c r="W211" i="38"/>
  <c r="U211" i="38"/>
  <c r="S211" i="38"/>
  <c r="Q211" i="38"/>
  <c r="O211" i="38"/>
  <c r="M211" i="38"/>
  <c r="K211" i="38"/>
  <c r="I211" i="38"/>
  <c r="G211" i="38"/>
  <c r="E211" i="38"/>
  <c r="AQ210" i="38"/>
  <c r="AO210" i="38"/>
  <c r="AM210" i="38"/>
  <c r="AK210" i="38"/>
  <c r="AI210" i="38"/>
  <c r="AG210" i="38"/>
  <c r="AE210" i="38"/>
  <c r="AC210" i="38"/>
  <c r="AA210" i="38"/>
  <c r="Y210" i="38"/>
  <c r="W210" i="38"/>
  <c r="U210" i="38"/>
  <c r="S210" i="38"/>
  <c r="Q210" i="38"/>
  <c r="O210" i="38"/>
  <c r="M210" i="38"/>
  <c r="K210" i="38"/>
  <c r="I210" i="38"/>
  <c r="G210" i="38"/>
  <c r="E210" i="38"/>
  <c r="AQ209" i="38"/>
  <c r="AO209" i="38"/>
  <c r="AM209" i="38"/>
  <c r="AK209" i="38"/>
  <c r="AI209" i="38"/>
  <c r="AG209" i="38"/>
  <c r="AE209" i="38"/>
  <c r="AC209" i="38"/>
  <c r="AA209" i="38"/>
  <c r="Y209" i="38"/>
  <c r="W209" i="38"/>
  <c r="U209" i="38"/>
  <c r="S209" i="38"/>
  <c r="Q209" i="38"/>
  <c r="O209" i="38"/>
  <c r="M209" i="38"/>
  <c r="K209" i="38"/>
  <c r="I209" i="38"/>
  <c r="G209" i="38"/>
  <c r="E209" i="38"/>
  <c r="AQ208" i="38"/>
  <c r="AO208" i="38"/>
  <c r="AM208" i="38"/>
  <c r="AK208" i="38"/>
  <c r="AI208" i="38"/>
  <c r="AG208" i="38"/>
  <c r="AE208" i="38"/>
  <c r="AC208" i="38"/>
  <c r="AA208" i="38"/>
  <c r="Y208" i="38"/>
  <c r="W208" i="38"/>
  <c r="U208" i="38"/>
  <c r="S208" i="38"/>
  <c r="Q208" i="38"/>
  <c r="O208" i="38"/>
  <c r="M208" i="38"/>
  <c r="K208" i="38"/>
  <c r="I208" i="38"/>
  <c r="G208" i="38"/>
  <c r="E208" i="38"/>
  <c r="AQ207" i="38"/>
  <c r="AO207" i="38"/>
  <c r="AM207" i="38"/>
  <c r="AK207" i="38"/>
  <c r="AI207" i="38"/>
  <c r="AG207" i="38"/>
  <c r="AE207" i="38"/>
  <c r="AC207" i="38"/>
  <c r="AA207" i="38"/>
  <c r="Y207" i="38"/>
  <c r="W207" i="38"/>
  <c r="U207" i="38"/>
  <c r="S207" i="38"/>
  <c r="Q207" i="38"/>
  <c r="O207" i="38"/>
  <c r="M207" i="38"/>
  <c r="K207" i="38"/>
  <c r="I207" i="38"/>
  <c r="G207" i="38"/>
  <c r="E207" i="38"/>
  <c r="AQ206" i="38"/>
  <c r="AO206" i="38"/>
  <c r="AM206" i="38"/>
  <c r="AK206" i="38"/>
  <c r="AI206" i="38"/>
  <c r="AG206" i="38"/>
  <c r="AE206" i="38"/>
  <c r="AC206" i="38"/>
  <c r="AA206" i="38"/>
  <c r="Y206" i="38"/>
  <c r="W206" i="38"/>
  <c r="U206" i="38"/>
  <c r="S206" i="38"/>
  <c r="Q206" i="38"/>
  <c r="O206" i="38"/>
  <c r="M206" i="38"/>
  <c r="K206" i="38"/>
  <c r="I206" i="38"/>
  <c r="G206" i="38"/>
  <c r="E206" i="38"/>
  <c r="AQ205" i="38"/>
  <c r="AO205" i="38"/>
  <c r="AM205" i="38"/>
  <c r="AK205" i="38"/>
  <c r="AI205" i="38"/>
  <c r="AG205" i="38"/>
  <c r="AE205" i="38"/>
  <c r="AC205" i="38"/>
  <c r="AA205" i="38"/>
  <c r="Y205" i="38"/>
  <c r="W205" i="38"/>
  <c r="U205" i="38"/>
  <c r="S205" i="38"/>
  <c r="Q205" i="38"/>
  <c r="O205" i="38"/>
  <c r="M205" i="38"/>
  <c r="K205" i="38"/>
  <c r="I205" i="38"/>
  <c r="G205" i="38"/>
  <c r="E205" i="38"/>
  <c r="AQ204" i="38"/>
  <c r="AO204" i="38"/>
  <c r="AM204" i="38"/>
  <c r="AK204" i="38"/>
  <c r="AI204" i="38"/>
  <c r="AG204" i="38"/>
  <c r="AE204" i="38"/>
  <c r="AC204" i="38"/>
  <c r="AA204" i="38"/>
  <c r="Y204" i="38"/>
  <c r="W204" i="38"/>
  <c r="U204" i="38"/>
  <c r="S204" i="38"/>
  <c r="Q204" i="38"/>
  <c r="O204" i="38"/>
  <c r="M204" i="38"/>
  <c r="K204" i="38"/>
  <c r="I204" i="38"/>
  <c r="G204" i="38"/>
  <c r="E204" i="38"/>
  <c r="AQ203" i="38"/>
  <c r="AO203" i="38"/>
  <c r="AM203" i="38"/>
  <c r="AK203" i="38"/>
  <c r="AI203" i="38"/>
  <c r="AG203" i="38"/>
  <c r="AE203" i="38"/>
  <c r="AC203" i="38"/>
  <c r="AA203" i="38"/>
  <c r="Y203" i="38"/>
  <c r="W203" i="38"/>
  <c r="U203" i="38"/>
  <c r="S203" i="38"/>
  <c r="Q203" i="38"/>
  <c r="O203" i="38"/>
  <c r="M203" i="38"/>
  <c r="K203" i="38"/>
  <c r="I203" i="38"/>
  <c r="G203" i="38"/>
  <c r="E203" i="38"/>
  <c r="AQ202" i="38"/>
  <c r="AO202" i="38"/>
  <c r="AM202" i="38"/>
  <c r="AK202" i="38"/>
  <c r="AI202" i="38"/>
  <c r="AG202" i="38"/>
  <c r="AE202" i="38"/>
  <c r="AC202" i="38"/>
  <c r="AA202" i="38"/>
  <c r="Y202" i="38"/>
  <c r="W202" i="38"/>
  <c r="U202" i="38"/>
  <c r="S202" i="38"/>
  <c r="Q202" i="38"/>
  <c r="O202" i="38"/>
  <c r="M202" i="38"/>
  <c r="K202" i="38"/>
  <c r="I202" i="38"/>
  <c r="G202" i="38"/>
  <c r="E202" i="38"/>
  <c r="AQ201" i="38"/>
  <c r="AO201" i="38"/>
  <c r="AM201" i="38"/>
  <c r="AK201" i="38"/>
  <c r="AI201" i="38"/>
  <c r="AG201" i="38"/>
  <c r="AE201" i="38"/>
  <c r="AC201" i="38"/>
  <c r="AA201" i="38"/>
  <c r="Y201" i="38"/>
  <c r="W201" i="38"/>
  <c r="U201" i="38"/>
  <c r="S201" i="38"/>
  <c r="Q201" i="38"/>
  <c r="O201" i="38"/>
  <c r="M201" i="38"/>
  <c r="K201" i="38"/>
  <c r="I201" i="38"/>
  <c r="G201" i="38"/>
  <c r="E201" i="38"/>
  <c r="AQ200" i="38"/>
  <c r="AO200" i="38"/>
  <c r="AM200" i="38"/>
  <c r="AK200" i="38"/>
  <c r="AI200" i="38"/>
  <c r="AG200" i="38"/>
  <c r="AE200" i="38"/>
  <c r="AC200" i="38"/>
  <c r="AA200" i="38"/>
  <c r="Y200" i="38"/>
  <c r="W200" i="38"/>
  <c r="U200" i="38"/>
  <c r="S200" i="38"/>
  <c r="Q200" i="38"/>
  <c r="O200" i="38"/>
  <c r="M200" i="38"/>
  <c r="K200" i="38"/>
  <c r="I200" i="38"/>
  <c r="G200" i="38"/>
  <c r="E200" i="38"/>
  <c r="AQ199" i="38"/>
  <c r="AO199" i="38"/>
  <c r="AM199" i="38"/>
  <c r="AK199" i="38"/>
  <c r="AI199" i="38"/>
  <c r="AG199" i="38"/>
  <c r="AE199" i="38"/>
  <c r="AC199" i="38"/>
  <c r="AA199" i="38"/>
  <c r="Y199" i="38"/>
  <c r="W199" i="38"/>
  <c r="U199" i="38"/>
  <c r="S199" i="38"/>
  <c r="Q199" i="38"/>
  <c r="O199" i="38"/>
  <c r="M199" i="38"/>
  <c r="K199" i="38"/>
  <c r="I199" i="38"/>
  <c r="G199" i="38"/>
  <c r="E199" i="38"/>
  <c r="AQ198" i="38"/>
  <c r="AO198" i="38"/>
  <c r="AM198" i="38"/>
  <c r="AK198" i="38"/>
  <c r="AI198" i="38"/>
  <c r="AG198" i="38"/>
  <c r="AE198" i="38"/>
  <c r="AC198" i="38"/>
  <c r="AA198" i="38"/>
  <c r="Y198" i="38"/>
  <c r="W198" i="38"/>
  <c r="U198" i="38"/>
  <c r="S198" i="38"/>
  <c r="Q198" i="38"/>
  <c r="O198" i="38"/>
  <c r="M198" i="38"/>
  <c r="K198" i="38"/>
  <c r="I198" i="38"/>
  <c r="G198" i="38"/>
  <c r="E198" i="38"/>
  <c r="AQ197" i="38"/>
  <c r="AO197" i="38"/>
  <c r="AM197" i="38"/>
  <c r="AK197" i="38"/>
  <c r="AI197" i="38"/>
  <c r="AG197" i="38"/>
  <c r="AE197" i="38"/>
  <c r="AC197" i="38"/>
  <c r="AA197" i="38"/>
  <c r="Y197" i="38"/>
  <c r="W197" i="38"/>
  <c r="U197" i="38"/>
  <c r="S197" i="38"/>
  <c r="Q197" i="38"/>
  <c r="O197" i="38"/>
  <c r="M197" i="38"/>
  <c r="K197" i="38"/>
  <c r="I197" i="38"/>
  <c r="G197" i="38"/>
  <c r="E197" i="38"/>
  <c r="AQ196" i="38"/>
  <c r="AO196" i="38"/>
  <c r="AM196" i="38"/>
  <c r="AK196" i="38"/>
  <c r="AI196" i="38"/>
  <c r="AG196" i="38"/>
  <c r="AE196" i="38"/>
  <c r="AC196" i="38"/>
  <c r="AA196" i="38"/>
  <c r="Y196" i="38"/>
  <c r="W196" i="38"/>
  <c r="U196" i="38"/>
  <c r="S196" i="38"/>
  <c r="Q196" i="38"/>
  <c r="O196" i="38"/>
  <c r="M196" i="38"/>
  <c r="K196" i="38"/>
  <c r="I196" i="38"/>
  <c r="G196" i="38"/>
  <c r="E196" i="38"/>
  <c r="AQ195" i="38"/>
  <c r="AO195" i="38"/>
  <c r="AM195" i="38"/>
  <c r="AK195" i="38"/>
  <c r="AI195" i="38"/>
  <c r="AG195" i="38"/>
  <c r="AE195" i="38"/>
  <c r="AC195" i="38"/>
  <c r="AA195" i="38"/>
  <c r="Y195" i="38"/>
  <c r="W195" i="38"/>
  <c r="U195" i="38"/>
  <c r="S195" i="38"/>
  <c r="Q195" i="38"/>
  <c r="O195" i="38"/>
  <c r="M195" i="38"/>
  <c r="K195" i="38"/>
  <c r="I195" i="38"/>
  <c r="G195" i="38"/>
  <c r="E195" i="38"/>
  <c r="AQ194" i="38"/>
  <c r="AO194" i="38"/>
  <c r="AM194" i="38"/>
  <c r="AK194" i="38"/>
  <c r="AI194" i="38"/>
  <c r="AG194" i="38"/>
  <c r="AE194" i="38"/>
  <c r="AC194" i="38"/>
  <c r="AA194" i="38"/>
  <c r="Y194" i="38"/>
  <c r="W194" i="38"/>
  <c r="U194" i="38"/>
  <c r="S194" i="38"/>
  <c r="Q194" i="38"/>
  <c r="O194" i="38"/>
  <c r="M194" i="38"/>
  <c r="K194" i="38"/>
  <c r="I194" i="38"/>
  <c r="G194" i="38"/>
  <c r="E194" i="38"/>
  <c r="AQ193" i="38"/>
  <c r="AO193" i="38"/>
  <c r="AM193" i="38"/>
  <c r="AK193" i="38"/>
  <c r="AI193" i="38"/>
  <c r="AG193" i="38"/>
  <c r="AE193" i="38"/>
  <c r="AC193" i="38"/>
  <c r="AA193" i="38"/>
  <c r="Y193" i="38"/>
  <c r="W193" i="38"/>
  <c r="U193" i="38"/>
  <c r="S193" i="38"/>
  <c r="Q193" i="38"/>
  <c r="O193" i="38"/>
  <c r="M193" i="38"/>
  <c r="K193" i="38"/>
  <c r="I193" i="38"/>
  <c r="G193" i="38"/>
  <c r="E193" i="38"/>
  <c r="AQ192" i="38"/>
  <c r="AO192" i="38"/>
  <c r="AM192" i="38"/>
  <c r="AK192" i="38"/>
  <c r="AI192" i="38"/>
  <c r="AG192" i="38"/>
  <c r="AE192" i="38"/>
  <c r="AC192" i="38"/>
  <c r="AA192" i="38"/>
  <c r="Y192" i="38"/>
  <c r="W192" i="38"/>
  <c r="U192" i="38"/>
  <c r="S192" i="38"/>
  <c r="Q192" i="38"/>
  <c r="O192" i="38"/>
  <c r="M192" i="38"/>
  <c r="K192" i="38"/>
  <c r="I192" i="38"/>
  <c r="G192" i="38"/>
  <c r="E192" i="38"/>
  <c r="AQ191" i="38"/>
  <c r="AO191" i="38"/>
  <c r="AM191" i="38"/>
  <c r="AK191" i="38"/>
  <c r="AI191" i="38"/>
  <c r="AG191" i="38"/>
  <c r="AE191" i="38"/>
  <c r="AC191" i="38"/>
  <c r="AA191" i="38"/>
  <c r="Y191" i="38"/>
  <c r="W191" i="38"/>
  <c r="U191" i="38"/>
  <c r="S191" i="38"/>
  <c r="Q191" i="38"/>
  <c r="O191" i="38"/>
  <c r="M191" i="38"/>
  <c r="K191" i="38"/>
  <c r="I191" i="38"/>
  <c r="G191" i="38"/>
  <c r="E191" i="38"/>
  <c r="AQ190" i="38"/>
  <c r="AO190" i="38"/>
  <c r="AM190" i="38"/>
  <c r="AK190" i="38"/>
  <c r="AI190" i="38"/>
  <c r="AG190" i="38"/>
  <c r="AE190" i="38"/>
  <c r="AC190" i="38"/>
  <c r="AA190" i="38"/>
  <c r="Y190" i="38"/>
  <c r="W190" i="38"/>
  <c r="U190" i="38"/>
  <c r="S190" i="38"/>
  <c r="Q190" i="38"/>
  <c r="O190" i="38"/>
  <c r="M190" i="38"/>
  <c r="K190" i="38"/>
  <c r="I190" i="38"/>
  <c r="G190" i="38"/>
  <c r="E190" i="38"/>
  <c r="AQ189" i="38"/>
  <c r="AO189" i="38"/>
  <c r="AM189" i="38"/>
  <c r="AK189" i="38"/>
  <c r="AI189" i="38"/>
  <c r="AG189" i="38"/>
  <c r="AE189" i="38"/>
  <c r="AC189" i="38"/>
  <c r="AA189" i="38"/>
  <c r="Y189" i="38"/>
  <c r="W189" i="38"/>
  <c r="U189" i="38"/>
  <c r="S189" i="38"/>
  <c r="Q189" i="38"/>
  <c r="O189" i="38"/>
  <c r="M189" i="38"/>
  <c r="K189" i="38"/>
  <c r="I189" i="38"/>
  <c r="G189" i="38"/>
  <c r="E189" i="38"/>
  <c r="AQ188" i="38"/>
  <c r="AO188" i="38"/>
  <c r="AM188" i="38"/>
  <c r="AK188" i="38"/>
  <c r="AI188" i="38"/>
  <c r="AG188" i="38"/>
  <c r="AE188" i="38"/>
  <c r="AC188" i="38"/>
  <c r="AA188" i="38"/>
  <c r="Y188" i="38"/>
  <c r="W188" i="38"/>
  <c r="U188" i="38"/>
  <c r="S188" i="38"/>
  <c r="Q188" i="38"/>
  <c r="O188" i="38"/>
  <c r="M188" i="38"/>
  <c r="K188" i="38"/>
  <c r="I188" i="38"/>
  <c r="G188" i="38"/>
  <c r="E188" i="38"/>
  <c r="AQ187" i="38"/>
  <c r="AO187" i="38"/>
  <c r="AM187" i="38"/>
  <c r="AK187" i="38"/>
  <c r="AI187" i="38"/>
  <c r="AG187" i="38"/>
  <c r="AE187" i="38"/>
  <c r="AC187" i="38"/>
  <c r="AA187" i="38"/>
  <c r="Y187" i="38"/>
  <c r="W187" i="38"/>
  <c r="U187" i="38"/>
  <c r="S187" i="38"/>
  <c r="Q187" i="38"/>
  <c r="O187" i="38"/>
  <c r="M187" i="38"/>
  <c r="K187" i="38"/>
  <c r="I187" i="38"/>
  <c r="G187" i="38"/>
  <c r="E187" i="38"/>
  <c r="AQ186" i="38"/>
  <c r="AO186" i="38"/>
  <c r="AM186" i="38"/>
  <c r="AK186" i="38"/>
  <c r="AI186" i="38"/>
  <c r="AG186" i="38"/>
  <c r="AE186" i="38"/>
  <c r="AC186" i="38"/>
  <c r="AA186" i="38"/>
  <c r="Y186" i="38"/>
  <c r="W186" i="38"/>
  <c r="U186" i="38"/>
  <c r="S186" i="38"/>
  <c r="Q186" i="38"/>
  <c r="O186" i="38"/>
  <c r="M186" i="38"/>
  <c r="K186" i="38"/>
  <c r="I186" i="38"/>
  <c r="G186" i="38"/>
  <c r="E186" i="38"/>
  <c r="AQ185" i="38"/>
  <c r="AO185" i="38"/>
  <c r="AM185" i="38"/>
  <c r="AK185" i="38"/>
  <c r="AI185" i="38"/>
  <c r="AG185" i="38"/>
  <c r="AE185" i="38"/>
  <c r="AC185" i="38"/>
  <c r="AA185" i="38"/>
  <c r="Y185" i="38"/>
  <c r="W185" i="38"/>
  <c r="U185" i="38"/>
  <c r="S185" i="38"/>
  <c r="Q185" i="38"/>
  <c r="O185" i="38"/>
  <c r="M185" i="38"/>
  <c r="K185" i="38"/>
  <c r="I185" i="38"/>
  <c r="G185" i="38"/>
  <c r="E185" i="38"/>
  <c r="AQ184" i="38"/>
  <c r="AO184" i="38"/>
  <c r="AM184" i="38"/>
  <c r="AK184" i="38"/>
  <c r="AI184" i="38"/>
  <c r="AG184" i="38"/>
  <c r="AE184" i="38"/>
  <c r="AC184" i="38"/>
  <c r="AA184" i="38"/>
  <c r="Y184" i="38"/>
  <c r="W184" i="38"/>
  <c r="U184" i="38"/>
  <c r="S184" i="38"/>
  <c r="Q184" i="38"/>
  <c r="O184" i="38"/>
  <c r="M184" i="38"/>
  <c r="K184" i="38"/>
  <c r="I184" i="38"/>
  <c r="G184" i="38"/>
  <c r="E184" i="38"/>
  <c r="AQ183" i="38"/>
  <c r="AO183" i="38"/>
  <c r="AM183" i="38"/>
  <c r="AK183" i="38"/>
  <c r="AI183" i="38"/>
  <c r="AG183" i="38"/>
  <c r="AE183" i="38"/>
  <c r="AC183" i="38"/>
  <c r="AA183" i="38"/>
  <c r="Y183" i="38"/>
  <c r="W183" i="38"/>
  <c r="U183" i="38"/>
  <c r="S183" i="38"/>
  <c r="Q183" i="38"/>
  <c r="O183" i="38"/>
  <c r="M183" i="38"/>
  <c r="K183" i="38"/>
  <c r="I183" i="38"/>
  <c r="G183" i="38"/>
  <c r="E183" i="38"/>
  <c r="AQ182" i="38"/>
  <c r="AO182" i="38"/>
  <c r="AM182" i="38"/>
  <c r="AK182" i="38"/>
  <c r="AI182" i="38"/>
  <c r="AG182" i="38"/>
  <c r="AE182" i="38"/>
  <c r="AC182" i="38"/>
  <c r="AA182" i="38"/>
  <c r="Y182" i="38"/>
  <c r="W182" i="38"/>
  <c r="U182" i="38"/>
  <c r="S182" i="38"/>
  <c r="Q182" i="38"/>
  <c r="O182" i="38"/>
  <c r="M182" i="38"/>
  <c r="K182" i="38"/>
  <c r="I182" i="38"/>
  <c r="G182" i="38"/>
  <c r="E182" i="38"/>
  <c r="AQ181" i="38"/>
  <c r="AO181" i="38"/>
  <c r="AM181" i="38"/>
  <c r="AK181" i="38"/>
  <c r="AI181" i="38"/>
  <c r="AG181" i="38"/>
  <c r="AE181" i="38"/>
  <c r="AC181" i="38"/>
  <c r="AA181" i="38"/>
  <c r="Y181" i="38"/>
  <c r="W181" i="38"/>
  <c r="U181" i="38"/>
  <c r="S181" i="38"/>
  <c r="Q181" i="38"/>
  <c r="O181" i="38"/>
  <c r="M181" i="38"/>
  <c r="K181" i="38"/>
  <c r="I181" i="38"/>
  <c r="G181" i="38"/>
  <c r="E181" i="38"/>
  <c r="AQ180" i="38"/>
  <c r="AO180" i="38"/>
  <c r="AM180" i="38"/>
  <c r="AK180" i="38"/>
  <c r="AI180" i="38"/>
  <c r="AG180" i="38"/>
  <c r="AE180" i="38"/>
  <c r="AC180" i="38"/>
  <c r="AA180" i="38"/>
  <c r="Y180" i="38"/>
  <c r="W180" i="38"/>
  <c r="U180" i="38"/>
  <c r="S180" i="38"/>
  <c r="Q180" i="38"/>
  <c r="O180" i="38"/>
  <c r="M180" i="38"/>
  <c r="K180" i="38"/>
  <c r="I180" i="38"/>
  <c r="G180" i="38"/>
  <c r="E180" i="38"/>
  <c r="AQ179" i="38"/>
  <c r="AO179" i="38"/>
  <c r="AM179" i="38"/>
  <c r="AK179" i="38"/>
  <c r="AI179" i="38"/>
  <c r="AG179" i="38"/>
  <c r="AE179" i="38"/>
  <c r="AC179" i="38"/>
  <c r="AA179" i="38"/>
  <c r="Y179" i="38"/>
  <c r="W179" i="38"/>
  <c r="U179" i="38"/>
  <c r="S179" i="38"/>
  <c r="Q179" i="38"/>
  <c r="O179" i="38"/>
  <c r="M179" i="38"/>
  <c r="K179" i="38"/>
  <c r="I179" i="38"/>
  <c r="G179" i="38"/>
  <c r="E179" i="38"/>
  <c r="AQ178" i="38"/>
  <c r="AO178" i="38"/>
  <c r="AM178" i="38"/>
  <c r="AK178" i="38"/>
  <c r="AI178" i="38"/>
  <c r="AG178" i="38"/>
  <c r="AE178" i="38"/>
  <c r="AC178" i="38"/>
  <c r="AA178" i="38"/>
  <c r="Y178" i="38"/>
  <c r="W178" i="38"/>
  <c r="U178" i="38"/>
  <c r="S178" i="38"/>
  <c r="Q178" i="38"/>
  <c r="O178" i="38"/>
  <c r="M178" i="38"/>
  <c r="K178" i="38"/>
  <c r="I178" i="38"/>
  <c r="G178" i="38"/>
  <c r="E178" i="38"/>
  <c r="AQ177" i="38"/>
  <c r="AO177" i="38"/>
  <c r="AM177" i="38"/>
  <c r="AK177" i="38"/>
  <c r="AI177" i="38"/>
  <c r="AG177" i="38"/>
  <c r="AE177" i="38"/>
  <c r="AC177" i="38"/>
  <c r="AA177" i="38"/>
  <c r="Y177" i="38"/>
  <c r="W177" i="38"/>
  <c r="U177" i="38"/>
  <c r="S177" i="38"/>
  <c r="Q177" i="38"/>
  <c r="O177" i="38"/>
  <c r="M177" i="38"/>
  <c r="K177" i="38"/>
  <c r="I177" i="38"/>
  <c r="G177" i="38"/>
  <c r="E177" i="38"/>
  <c r="AQ176" i="38"/>
  <c r="AO176" i="38"/>
  <c r="AM176" i="38"/>
  <c r="AK176" i="38"/>
  <c r="AI176" i="38"/>
  <c r="AG176" i="38"/>
  <c r="AE176" i="38"/>
  <c r="AC176" i="38"/>
  <c r="AA176" i="38"/>
  <c r="Y176" i="38"/>
  <c r="W176" i="38"/>
  <c r="U176" i="38"/>
  <c r="S176" i="38"/>
  <c r="Q176" i="38"/>
  <c r="O176" i="38"/>
  <c r="M176" i="38"/>
  <c r="K176" i="38"/>
  <c r="I176" i="38"/>
  <c r="G176" i="38"/>
  <c r="E176" i="38"/>
  <c r="AQ175" i="38"/>
  <c r="AO175" i="38"/>
  <c r="AM175" i="38"/>
  <c r="AK175" i="38"/>
  <c r="AI175" i="38"/>
  <c r="AG175" i="38"/>
  <c r="AE175" i="38"/>
  <c r="AC175" i="38"/>
  <c r="AA175" i="38"/>
  <c r="Y175" i="38"/>
  <c r="W175" i="38"/>
  <c r="U175" i="38"/>
  <c r="S175" i="38"/>
  <c r="Q175" i="38"/>
  <c r="O175" i="38"/>
  <c r="M175" i="38"/>
  <c r="K175" i="38"/>
  <c r="I175" i="38"/>
  <c r="G175" i="38"/>
  <c r="E175" i="38"/>
  <c r="AQ174" i="38"/>
  <c r="AO174" i="38"/>
  <c r="AM174" i="38"/>
  <c r="AK174" i="38"/>
  <c r="AI174" i="38"/>
  <c r="AG174" i="38"/>
  <c r="AE174" i="38"/>
  <c r="AC174" i="38"/>
  <c r="AA174" i="38"/>
  <c r="Y174" i="38"/>
  <c r="W174" i="38"/>
  <c r="U174" i="38"/>
  <c r="S174" i="38"/>
  <c r="Q174" i="38"/>
  <c r="O174" i="38"/>
  <c r="M174" i="38"/>
  <c r="K174" i="38"/>
  <c r="I174" i="38"/>
  <c r="G174" i="38"/>
  <c r="E174" i="38"/>
  <c r="AQ173" i="38"/>
  <c r="AO173" i="38"/>
  <c r="AM173" i="38"/>
  <c r="AK173" i="38"/>
  <c r="AI173" i="38"/>
  <c r="AG173" i="38"/>
  <c r="AE173" i="38"/>
  <c r="AC173" i="38"/>
  <c r="AA173" i="38"/>
  <c r="Y173" i="38"/>
  <c r="W173" i="38"/>
  <c r="U173" i="38"/>
  <c r="S173" i="38"/>
  <c r="Q173" i="38"/>
  <c r="O173" i="38"/>
  <c r="M173" i="38"/>
  <c r="K173" i="38"/>
  <c r="I173" i="38"/>
  <c r="G173" i="38"/>
  <c r="E173" i="38"/>
  <c r="AQ172" i="38"/>
  <c r="AO172" i="38"/>
  <c r="AM172" i="38"/>
  <c r="AK172" i="38"/>
  <c r="AI172" i="38"/>
  <c r="AG172" i="38"/>
  <c r="AE172" i="38"/>
  <c r="AC172" i="38"/>
  <c r="AA172" i="38"/>
  <c r="Y172" i="38"/>
  <c r="W172" i="38"/>
  <c r="U172" i="38"/>
  <c r="S172" i="38"/>
  <c r="Q172" i="38"/>
  <c r="O172" i="38"/>
  <c r="M172" i="38"/>
  <c r="K172" i="38"/>
  <c r="I172" i="38"/>
  <c r="G172" i="38"/>
  <c r="E172" i="38"/>
  <c r="AQ171" i="38"/>
  <c r="AO171" i="38"/>
  <c r="AM171" i="38"/>
  <c r="AK171" i="38"/>
  <c r="AI171" i="38"/>
  <c r="AG171" i="38"/>
  <c r="AE171" i="38"/>
  <c r="AC171" i="38"/>
  <c r="AA171" i="38"/>
  <c r="Y171" i="38"/>
  <c r="W171" i="38"/>
  <c r="U171" i="38"/>
  <c r="S171" i="38"/>
  <c r="Q171" i="38"/>
  <c r="O171" i="38"/>
  <c r="M171" i="38"/>
  <c r="K171" i="38"/>
  <c r="I171" i="38"/>
  <c r="G171" i="38"/>
  <c r="E171" i="38"/>
  <c r="AQ170" i="38"/>
  <c r="AO170" i="38"/>
  <c r="AM170" i="38"/>
  <c r="AK170" i="38"/>
  <c r="AI170" i="38"/>
  <c r="AG170" i="38"/>
  <c r="AE170" i="38"/>
  <c r="AC170" i="38"/>
  <c r="AA170" i="38"/>
  <c r="Y170" i="38"/>
  <c r="W170" i="38"/>
  <c r="U170" i="38"/>
  <c r="S170" i="38"/>
  <c r="Q170" i="38"/>
  <c r="O170" i="38"/>
  <c r="M170" i="38"/>
  <c r="K170" i="38"/>
  <c r="I170" i="38"/>
  <c r="G170" i="38"/>
  <c r="E170" i="38"/>
  <c r="AQ169" i="38"/>
  <c r="AO169" i="38"/>
  <c r="AM169" i="38"/>
  <c r="AK169" i="38"/>
  <c r="AI169" i="38"/>
  <c r="AG169" i="38"/>
  <c r="AE169" i="38"/>
  <c r="AC169" i="38"/>
  <c r="AA169" i="38"/>
  <c r="Y169" i="38"/>
  <c r="W169" i="38"/>
  <c r="U169" i="38"/>
  <c r="S169" i="38"/>
  <c r="Q169" i="38"/>
  <c r="O169" i="38"/>
  <c r="M169" i="38"/>
  <c r="K169" i="38"/>
  <c r="I169" i="38"/>
  <c r="G169" i="38"/>
  <c r="E169" i="38"/>
  <c r="AQ168" i="38"/>
  <c r="AO168" i="38"/>
  <c r="AM168" i="38"/>
  <c r="AK168" i="38"/>
  <c r="AI168" i="38"/>
  <c r="AG168" i="38"/>
  <c r="AE168" i="38"/>
  <c r="AC168" i="38"/>
  <c r="AA168" i="38"/>
  <c r="Y168" i="38"/>
  <c r="W168" i="38"/>
  <c r="U168" i="38"/>
  <c r="S168" i="38"/>
  <c r="Q168" i="38"/>
  <c r="O168" i="38"/>
  <c r="M168" i="38"/>
  <c r="K168" i="38"/>
  <c r="I168" i="38"/>
  <c r="G168" i="38"/>
  <c r="E168" i="38"/>
  <c r="AQ167" i="38"/>
  <c r="AO167" i="38"/>
  <c r="AM167" i="38"/>
  <c r="AK167" i="38"/>
  <c r="AI167" i="38"/>
  <c r="AG167" i="38"/>
  <c r="AE167" i="38"/>
  <c r="AC167" i="38"/>
  <c r="AA167" i="38"/>
  <c r="Y167" i="38"/>
  <c r="W167" i="38"/>
  <c r="U167" i="38"/>
  <c r="S167" i="38"/>
  <c r="Q167" i="38"/>
  <c r="O167" i="38"/>
  <c r="M167" i="38"/>
  <c r="K167" i="38"/>
  <c r="I167" i="38"/>
  <c r="G167" i="38"/>
  <c r="E167" i="38"/>
  <c r="AQ166" i="38"/>
  <c r="AO166" i="38"/>
  <c r="AM166" i="38"/>
  <c r="AK166" i="38"/>
  <c r="AI166" i="38"/>
  <c r="AG166" i="38"/>
  <c r="AE166" i="38"/>
  <c r="AC166" i="38"/>
  <c r="AA166" i="38"/>
  <c r="Y166" i="38"/>
  <c r="W166" i="38"/>
  <c r="U166" i="38"/>
  <c r="S166" i="38"/>
  <c r="Q166" i="38"/>
  <c r="O166" i="38"/>
  <c r="M166" i="38"/>
  <c r="K166" i="38"/>
  <c r="I166" i="38"/>
  <c r="G166" i="38"/>
  <c r="E166" i="38"/>
  <c r="AQ165" i="38"/>
  <c r="AO165" i="38"/>
  <c r="AM165" i="38"/>
  <c r="AK165" i="38"/>
  <c r="AI165" i="38"/>
  <c r="AG165" i="38"/>
  <c r="AE165" i="38"/>
  <c r="AC165" i="38"/>
  <c r="AA165" i="38"/>
  <c r="Y165" i="38"/>
  <c r="W165" i="38"/>
  <c r="U165" i="38"/>
  <c r="S165" i="38"/>
  <c r="Q165" i="38"/>
  <c r="O165" i="38"/>
  <c r="M165" i="38"/>
  <c r="K165" i="38"/>
  <c r="I165" i="38"/>
  <c r="G165" i="38"/>
  <c r="E165" i="38"/>
  <c r="AQ164" i="38"/>
  <c r="AO164" i="38"/>
  <c r="AM164" i="38"/>
  <c r="AK164" i="38"/>
  <c r="AI164" i="38"/>
  <c r="AG164" i="38"/>
  <c r="AE164" i="38"/>
  <c r="AC164" i="38"/>
  <c r="AA164" i="38"/>
  <c r="Y164" i="38"/>
  <c r="W164" i="38"/>
  <c r="U164" i="38"/>
  <c r="S164" i="38"/>
  <c r="Q164" i="38"/>
  <c r="O164" i="38"/>
  <c r="M164" i="38"/>
  <c r="K164" i="38"/>
  <c r="I164" i="38"/>
  <c r="G164" i="38"/>
  <c r="E164" i="38"/>
  <c r="AQ163" i="38"/>
  <c r="AO163" i="38"/>
  <c r="AM163" i="38"/>
  <c r="AK163" i="38"/>
  <c r="AI163" i="38"/>
  <c r="AG163" i="38"/>
  <c r="AE163" i="38"/>
  <c r="AC163" i="38"/>
  <c r="AA163" i="38"/>
  <c r="Y163" i="38"/>
  <c r="W163" i="38"/>
  <c r="U163" i="38"/>
  <c r="S163" i="38"/>
  <c r="Q163" i="38"/>
  <c r="O163" i="38"/>
  <c r="M163" i="38"/>
  <c r="K163" i="38"/>
  <c r="I163" i="38"/>
  <c r="G163" i="38"/>
  <c r="E163" i="38"/>
  <c r="AQ162" i="38"/>
  <c r="AO162" i="38"/>
  <c r="AM162" i="38"/>
  <c r="AK162" i="38"/>
  <c r="AI162" i="38"/>
  <c r="AG162" i="38"/>
  <c r="AE162" i="38"/>
  <c r="AC162" i="38"/>
  <c r="AA162" i="38"/>
  <c r="Y162" i="38"/>
  <c r="W162" i="38"/>
  <c r="U162" i="38"/>
  <c r="S162" i="38"/>
  <c r="Q162" i="38"/>
  <c r="O162" i="38"/>
  <c r="M162" i="38"/>
  <c r="K162" i="38"/>
  <c r="I162" i="38"/>
  <c r="G162" i="38"/>
  <c r="E162" i="38"/>
  <c r="AQ161" i="38"/>
  <c r="AO161" i="38"/>
  <c r="AM161" i="38"/>
  <c r="AK161" i="38"/>
  <c r="AI161" i="38"/>
  <c r="AG161" i="38"/>
  <c r="AE161" i="38"/>
  <c r="AC161" i="38"/>
  <c r="AA161" i="38"/>
  <c r="Y161" i="38"/>
  <c r="W161" i="38"/>
  <c r="U161" i="38"/>
  <c r="S161" i="38"/>
  <c r="Q161" i="38"/>
  <c r="O161" i="38"/>
  <c r="M161" i="38"/>
  <c r="K161" i="38"/>
  <c r="I161" i="38"/>
  <c r="G161" i="38"/>
  <c r="E161" i="38"/>
  <c r="AQ160" i="38"/>
  <c r="AO160" i="38"/>
  <c r="AM160" i="38"/>
  <c r="AK160" i="38"/>
  <c r="AI160" i="38"/>
  <c r="AG160" i="38"/>
  <c r="AE160" i="38"/>
  <c r="AC160" i="38"/>
  <c r="AA160" i="38"/>
  <c r="Y160" i="38"/>
  <c r="W160" i="38"/>
  <c r="U160" i="38"/>
  <c r="S160" i="38"/>
  <c r="Q160" i="38"/>
  <c r="O160" i="38"/>
  <c r="M160" i="38"/>
  <c r="K160" i="38"/>
  <c r="I160" i="38"/>
  <c r="G160" i="38"/>
  <c r="E160" i="38"/>
  <c r="AQ159" i="38"/>
  <c r="AO159" i="38"/>
  <c r="AM159" i="38"/>
  <c r="AK159" i="38"/>
  <c r="AI159" i="38"/>
  <c r="AG159" i="38"/>
  <c r="AE159" i="38"/>
  <c r="AC159" i="38"/>
  <c r="AA159" i="38"/>
  <c r="Y159" i="38"/>
  <c r="W159" i="38"/>
  <c r="U159" i="38"/>
  <c r="S159" i="38"/>
  <c r="Q159" i="38"/>
  <c r="O159" i="38"/>
  <c r="M159" i="38"/>
  <c r="K159" i="38"/>
  <c r="I159" i="38"/>
  <c r="G159" i="38"/>
  <c r="E159" i="38"/>
  <c r="AQ158" i="38"/>
  <c r="AO158" i="38"/>
  <c r="AM158" i="38"/>
  <c r="AK158" i="38"/>
  <c r="AI158" i="38"/>
  <c r="AG158" i="38"/>
  <c r="AE158" i="38"/>
  <c r="AC158" i="38"/>
  <c r="AA158" i="38"/>
  <c r="Y158" i="38"/>
  <c r="W158" i="38"/>
  <c r="U158" i="38"/>
  <c r="S158" i="38"/>
  <c r="Q158" i="38"/>
  <c r="O158" i="38"/>
  <c r="M158" i="38"/>
  <c r="K158" i="38"/>
  <c r="I158" i="38"/>
  <c r="G158" i="38"/>
  <c r="E158" i="38"/>
  <c r="AQ157" i="38"/>
  <c r="AO157" i="38"/>
  <c r="AM157" i="38"/>
  <c r="AK157" i="38"/>
  <c r="AI157" i="38"/>
  <c r="AG157" i="38"/>
  <c r="AE157" i="38"/>
  <c r="AC157" i="38"/>
  <c r="AA157" i="38"/>
  <c r="Y157" i="38"/>
  <c r="W157" i="38"/>
  <c r="U157" i="38"/>
  <c r="S157" i="38"/>
  <c r="Q157" i="38"/>
  <c r="O157" i="38"/>
  <c r="M157" i="38"/>
  <c r="K157" i="38"/>
  <c r="I157" i="38"/>
  <c r="G157" i="38"/>
  <c r="E157" i="38"/>
  <c r="AQ156" i="38"/>
  <c r="AO156" i="38"/>
  <c r="AM156" i="38"/>
  <c r="AK156" i="38"/>
  <c r="AI156" i="38"/>
  <c r="AG156" i="38"/>
  <c r="AE156" i="38"/>
  <c r="AC156" i="38"/>
  <c r="AA156" i="38"/>
  <c r="Y156" i="38"/>
  <c r="W156" i="38"/>
  <c r="U156" i="38"/>
  <c r="S156" i="38"/>
  <c r="Q156" i="38"/>
  <c r="O156" i="38"/>
  <c r="M156" i="38"/>
  <c r="K156" i="38"/>
  <c r="I156" i="38"/>
  <c r="G156" i="38"/>
  <c r="E156" i="38"/>
  <c r="AQ155" i="38"/>
  <c r="AO155" i="38"/>
  <c r="AM155" i="38"/>
  <c r="AK155" i="38"/>
  <c r="AI155" i="38"/>
  <c r="AG155" i="38"/>
  <c r="AE155" i="38"/>
  <c r="AC155" i="38"/>
  <c r="AA155" i="38"/>
  <c r="Y155" i="38"/>
  <c r="W155" i="38"/>
  <c r="U155" i="38"/>
  <c r="S155" i="38"/>
  <c r="Q155" i="38"/>
  <c r="O155" i="38"/>
  <c r="M155" i="38"/>
  <c r="K155" i="38"/>
  <c r="I155" i="38"/>
  <c r="G155" i="38"/>
  <c r="E155" i="38"/>
  <c r="AQ154" i="38"/>
  <c r="AO154" i="38"/>
  <c r="AM154" i="38"/>
  <c r="AK154" i="38"/>
  <c r="AI154" i="38"/>
  <c r="AG154" i="38"/>
  <c r="AE154" i="38"/>
  <c r="AC154" i="38"/>
  <c r="AA154" i="38"/>
  <c r="Y154" i="38"/>
  <c r="W154" i="38"/>
  <c r="U154" i="38"/>
  <c r="S154" i="38"/>
  <c r="Q154" i="38"/>
  <c r="O154" i="38"/>
  <c r="M154" i="38"/>
  <c r="K154" i="38"/>
  <c r="I154" i="38"/>
  <c r="G154" i="38"/>
  <c r="E154" i="38"/>
  <c r="AQ153" i="38"/>
  <c r="AO153" i="38"/>
  <c r="AM153" i="38"/>
  <c r="AK153" i="38"/>
  <c r="AI153" i="38"/>
  <c r="AG153" i="38"/>
  <c r="AE153" i="38"/>
  <c r="AC153" i="38"/>
  <c r="AA153" i="38"/>
  <c r="Y153" i="38"/>
  <c r="W153" i="38"/>
  <c r="U153" i="38"/>
  <c r="S153" i="38"/>
  <c r="Q153" i="38"/>
  <c r="O153" i="38"/>
  <c r="M153" i="38"/>
  <c r="K153" i="38"/>
  <c r="I153" i="38"/>
  <c r="G153" i="38"/>
  <c r="E153" i="38"/>
  <c r="AQ152" i="38"/>
  <c r="AO152" i="38"/>
  <c r="AM152" i="38"/>
  <c r="AK152" i="38"/>
  <c r="AI152" i="38"/>
  <c r="AG152" i="38"/>
  <c r="AE152" i="38"/>
  <c r="AC152" i="38"/>
  <c r="AA152" i="38"/>
  <c r="Y152" i="38"/>
  <c r="W152" i="38"/>
  <c r="U152" i="38"/>
  <c r="S152" i="38"/>
  <c r="Q152" i="38"/>
  <c r="O152" i="38"/>
  <c r="M152" i="38"/>
  <c r="K152" i="38"/>
  <c r="I152" i="38"/>
  <c r="G152" i="38"/>
  <c r="E152" i="38"/>
  <c r="AQ151" i="38"/>
  <c r="AO151" i="38"/>
  <c r="AM151" i="38"/>
  <c r="AK151" i="38"/>
  <c r="AI151" i="38"/>
  <c r="AG151" i="38"/>
  <c r="AE151" i="38"/>
  <c r="AC151" i="38"/>
  <c r="AA151" i="38"/>
  <c r="Y151" i="38"/>
  <c r="W151" i="38"/>
  <c r="U151" i="38"/>
  <c r="S151" i="38"/>
  <c r="Q151" i="38"/>
  <c r="O151" i="38"/>
  <c r="M151" i="38"/>
  <c r="K151" i="38"/>
  <c r="I151" i="38"/>
  <c r="G151" i="38"/>
  <c r="E151" i="38"/>
  <c r="AQ150" i="38"/>
  <c r="AO150" i="38"/>
  <c r="AM150" i="38"/>
  <c r="AK150" i="38"/>
  <c r="AI150" i="38"/>
  <c r="AG150" i="38"/>
  <c r="AE150" i="38"/>
  <c r="AC150" i="38"/>
  <c r="AA150" i="38"/>
  <c r="Y150" i="38"/>
  <c r="W150" i="38"/>
  <c r="U150" i="38"/>
  <c r="S150" i="38"/>
  <c r="Q150" i="38"/>
  <c r="O150" i="38"/>
  <c r="M150" i="38"/>
  <c r="K150" i="38"/>
  <c r="I150" i="38"/>
  <c r="G150" i="38"/>
  <c r="E150" i="38"/>
  <c r="AQ149" i="38"/>
  <c r="AO149" i="38"/>
  <c r="AM149" i="38"/>
  <c r="AK149" i="38"/>
  <c r="AI149" i="38"/>
  <c r="AG149" i="38"/>
  <c r="AE149" i="38"/>
  <c r="AC149" i="38"/>
  <c r="AA149" i="38"/>
  <c r="Y149" i="38"/>
  <c r="W149" i="38"/>
  <c r="U149" i="38"/>
  <c r="S149" i="38"/>
  <c r="Q149" i="38"/>
  <c r="O149" i="38"/>
  <c r="M149" i="38"/>
  <c r="K149" i="38"/>
  <c r="I149" i="38"/>
  <c r="G149" i="38"/>
  <c r="E149" i="38"/>
  <c r="AQ148" i="38"/>
  <c r="AO148" i="38"/>
  <c r="AM148" i="38"/>
  <c r="AK148" i="38"/>
  <c r="AI148" i="38"/>
  <c r="AG148" i="38"/>
  <c r="AE148" i="38"/>
  <c r="AC148" i="38"/>
  <c r="AA148" i="38"/>
  <c r="Y148" i="38"/>
  <c r="W148" i="38"/>
  <c r="U148" i="38"/>
  <c r="S148" i="38"/>
  <c r="Q148" i="38"/>
  <c r="O148" i="38"/>
  <c r="M148" i="38"/>
  <c r="K148" i="38"/>
  <c r="I148" i="38"/>
  <c r="G148" i="38"/>
  <c r="E148" i="38"/>
  <c r="AQ147" i="38"/>
  <c r="AO147" i="38"/>
  <c r="AM147" i="38"/>
  <c r="AK147" i="38"/>
  <c r="AI147" i="38"/>
  <c r="AG147" i="38"/>
  <c r="AE147" i="38"/>
  <c r="AC147" i="38"/>
  <c r="AA147" i="38"/>
  <c r="Y147" i="38"/>
  <c r="W147" i="38"/>
  <c r="U147" i="38"/>
  <c r="S147" i="38"/>
  <c r="Q147" i="38"/>
  <c r="O147" i="38"/>
  <c r="M147" i="38"/>
  <c r="K147" i="38"/>
  <c r="I147" i="38"/>
  <c r="G147" i="38"/>
  <c r="E147" i="38"/>
  <c r="AQ146" i="38"/>
  <c r="AO146" i="38"/>
  <c r="AM146" i="38"/>
  <c r="AK146" i="38"/>
  <c r="AI146" i="38"/>
  <c r="AG146" i="38"/>
  <c r="AE146" i="38"/>
  <c r="AC146" i="38"/>
  <c r="AA146" i="38"/>
  <c r="Y146" i="38"/>
  <c r="W146" i="38"/>
  <c r="U146" i="38"/>
  <c r="S146" i="38"/>
  <c r="Q146" i="38"/>
  <c r="O146" i="38"/>
  <c r="M146" i="38"/>
  <c r="K146" i="38"/>
  <c r="I146" i="38"/>
  <c r="G146" i="38"/>
  <c r="E146" i="38"/>
  <c r="AQ145" i="38"/>
  <c r="AO145" i="38"/>
  <c r="AM145" i="38"/>
  <c r="AK145" i="38"/>
  <c r="AI145" i="38"/>
  <c r="AG145" i="38"/>
  <c r="AE145" i="38"/>
  <c r="AC145" i="38"/>
  <c r="AA145" i="38"/>
  <c r="Y145" i="38"/>
  <c r="W145" i="38"/>
  <c r="U145" i="38"/>
  <c r="S145" i="38"/>
  <c r="Q145" i="38"/>
  <c r="O145" i="38"/>
  <c r="M145" i="38"/>
  <c r="K145" i="38"/>
  <c r="I145" i="38"/>
  <c r="G145" i="38"/>
  <c r="E145" i="38"/>
  <c r="AQ144" i="38"/>
  <c r="AO144" i="38"/>
  <c r="AM144" i="38"/>
  <c r="AK144" i="38"/>
  <c r="AI144" i="38"/>
  <c r="AG144" i="38"/>
  <c r="AE144" i="38"/>
  <c r="AC144" i="38"/>
  <c r="AA144" i="38"/>
  <c r="Y144" i="38"/>
  <c r="W144" i="38"/>
  <c r="U144" i="38"/>
  <c r="S144" i="38"/>
  <c r="Q144" i="38"/>
  <c r="O144" i="38"/>
  <c r="M144" i="38"/>
  <c r="K144" i="38"/>
  <c r="I144" i="38"/>
  <c r="G144" i="38"/>
  <c r="E144" i="38"/>
  <c r="AQ143" i="38"/>
  <c r="AO143" i="38"/>
  <c r="AM143" i="38"/>
  <c r="AK143" i="38"/>
  <c r="AI143" i="38"/>
  <c r="AG143" i="38"/>
  <c r="AE143" i="38"/>
  <c r="AC143" i="38"/>
  <c r="AA143" i="38"/>
  <c r="Y143" i="38"/>
  <c r="W143" i="38"/>
  <c r="U143" i="38"/>
  <c r="S143" i="38"/>
  <c r="Q143" i="38"/>
  <c r="O143" i="38"/>
  <c r="M143" i="38"/>
  <c r="K143" i="38"/>
  <c r="I143" i="38"/>
  <c r="G143" i="38"/>
  <c r="E143" i="38"/>
  <c r="AQ142" i="38"/>
  <c r="AO142" i="38"/>
  <c r="AM142" i="38"/>
  <c r="AK142" i="38"/>
  <c r="AI142" i="38"/>
  <c r="AG142" i="38"/>
  <c r="AE142" i="38"/>
  <c r="AC142" i="38"/>
  <c r="AA142" i="38"/>
  <c r="Y142" i="38"/>
  <c r="W142" i="38"/>
  <c r="U142" i="38"/>
  <c r="S142" i="38"/>
  <c r="Q142" i="38"/>
  <c r="O142" i="38"/>
  <c r="M142" i="38"/>
  <c r="K142" i="38"/>
  <c r="I142" i="38"/>
  <c r="G142" i="38"/>
  <c r="E142" i="38"/>
  <c r="AQ141" i="38"/>
  <c r="AO141" i="38"/>
  <c r="AM141" i="38"/>
  <c r="AK141" i="38"/>
  <c r="AI141" i="38"/>
  <c r="AG141" i="38"/>
  <c r="AE141" i="38"/>
  <c r="AC141" i="38"/>
  <c r="AA141" i="38"/>
  <c r="Y141" i="38"/>
  <c r="W141" i="38"/>
  <c r="U141" i="38"/>
  <c r="S141" i="38"/>
  <c r="Q141" i="38"/>
  <c r="O141" i="38"/>
  <c r="M141" i="38"/>
  <c r="K141" i="38"/>
  <c r="I141" i="38"/>
  <c r="G141" i="38"/>
  <c r="E141" i="38"/>
  <c r="AQ140" i="38"/>
  <c r="AO140" i="38"/>
  <c r="AM140" i="38"/>
  <c r="AK140" i="38"/>
  <c r="AI140" i="38"/>
  <c r="AG140" i="38"/>
  <c r="AE140" i="38"/>
  <c r="AC140" i="38"/>
  <c r="AA140" i="38"/>
  <c r="Y140" i="38"/>
  <c r="W140" i="38"/>
  <c r="U140" i="38"/>
  <c r="S140" i="38"/>
  <c r="Q140" i="38"/>
  <c r="O140" i="38"/>
  <c r="M140" i="38"/>
  <c r="K140" i="38"/>
  <c r="I140" i="38"/>
  <c r="G140" i="38"/>
  <c r="E140" i="38"/>
  <c r="AQ139" i="38"/>
  <c r="AO139" i="38"/>
  <c r="AM139" i="38"/>
  <c r="AK139" i="38"/>
  <c r="AI139" i="38"/>
  <c r="AG139" i="38"/>
  <c r="AE139" i="38"/>
  <c r="AC139" i="38"/>
  <c r="AA139" i="38"/>
  <c r="Y139" i="38"/>
  <c r="W139" i="38"/>
  <c r="U139" i="38"/>
  <c r="S139" i="38"/>
  <c r="Q139" i="38"/>
  <c r="O139" i="38"/>
  <c r="M139" i="38"/>
  <c r="K139" i="38"/>
  <c r="I139" i="38"/>
  <c r="G139" i="38"/>
  <c r="E139" i="38"/>
  <c r="AQ138" i="38"/>
  <c r="AO138" i="38"/>
  <c r="AM138" i="38"/>
  <c r="AK138" i="38"/>
  <c r="AI138" i="38"/>
  <c r="AG138" i="38"/>
  <c r="AE138" i="38"/>
  <c r="AC138" i="38"/>
  <c r="AA138" i="38"/>
  <c r="Y138" i="38"/>
  <c r="W138" i="38"/>
  <c r="U138" i="38"/>
  <c r="S138" i="38"/>
  <c r="Q138" i="38"/>
  <c r="O138" i="38"/>
  <c r="M138" i="38"/>
  <c r="K138" i="38"/>
  <c r="I138" i="38"/>
  <c r="G138" i="38"/>
  <c r="E138" i="38"/>
  <c r="AQ137" i="38"/>
  <c r="AO137" i="38"/>
  <c r="AM137" i="38"/>
  <c r="AK137" i="38"/>
  <c r="AI137" i="38"/>
  <c r="AG137" i="38"/>
  <c r="AE137" i="38"/>
  <c r="AC137" i="38"/>
  <c r="AA137" i="38"/>
  <c r="Y137" i="38"/>
  <c r="W137" i="38"/>
  <c r="U137" i="38"/>
  <c r="S137" i="38"/>
  <c r="Q137" i="38"/>
  <c r="O137" i="38"/>
  <c r="M137" i="38"/>
  <c r="K137" i="38"/>
  <c r="I137" i="38"/>
  <c r="G137" i="38"/>
  <c r="E137" i="38"/>
  <c r="AQ136" i="38"/>
  <c r="AO136" i="38"/>
  <c r="AM136" i="38"/>
  <c r="AK136" i="38"/>
  <c r="AI136" i="38"/>
  <c r="AG136" i="38"/>
  <c r="AE136" i="38"/>
  <c r="AC136" i="38"/>
  <c r="AA136" i="38"/>
  <c r="Y136" i="38"/>
  <c r="W136" i="38"/>
  <c r="U136" i="38"/>
  <c r="S136" i="38"/>
  <c r="Q136" i="38"/>
  <c r="O136" i="38"/>
  <c r="M136" i="38"/>
  <c r="K136" i="38"/>
  <c r="I136" i="38"/>
  <c r="G136" i="38"/>
  <c r="E136" i="38"/>
  <c r="AQ135" i="38"/>
  <c r="AO135" i="38"/>
  <c r="AM135" i="38"/>
  <c r="AK135" i="38"/>
  <c r="AI135" i="38"/>
  <c r="AG135" i="38"/>
  <c r="AE135" i="38"/>
  <c r="AC135" i="38"/>
  <c r="AA135" i="38"/>
  <c r="Y135" i="38"/>
  <c r="W135" i="38"/>
  <c r="U135" i="38"/>
  <c r="S135" i="38"/>
  <c r="Q135" i="38"/>
  <c r="O135" i="38"/>
  <c r="M135" i="38"/>
  <c r="K135" i="38"/>
  <c r="I135" i="38"/>
  <c r="G135" i="38"/>
  <c r="E135" i="38"/>
  <c r="AQ134" i="38"/>
  <c r="AO134" i="38"/>
  <c r="AM134" i="38"/>
  <c r="AK134" i="38"/>
  <c r="AI134" i="38"/>
  <c r="AG134" i="38"/>
  <c r="AE134" i="38"/>
  <c r="AC134" i="38"/>
  <c r="AA134" i="38"/>
  <c r="Y134" i="38"/>
  <c r="W134" i="38"/>
  <c r="U134" i="38"/>
  <c r="S134" i="38"/>
  <c r="Q134" i="38"/>
  <c r="O134" i="38"/>
  <c r="M134" i="38"/>
  <c r="K134" i="38"/>
  <c r="I134" i="38"/>
  <c r="G134" i="38"/>
  <c r="E134" i="38"/>
  <c r="AQ133" i="38"/>
  <c r="AO133" i="38"/>
  <c r="AM133" i="38"/>
  <c r="AK133" i="38"/>
  <c r="AI133" i="38"/>
  <c r="AG133" i="38"/>
  <c r="AE133" i="38"/>
  <c r="AC133" i="38"/>
  <c r="AA133" i="38"/>
  <c r="Y133" i="38"/>
  <c r="W133" i="38"/>
  <c r="U133" i="38"/>
  <c r="S133" i="38"/>
  <c r="Q133" i="38"/>
  <c r="O133" i="38"/>
  <c r="M133" i="38"/>
  <c r="K133" i="38"/>
  <c r="I133" i="38"/>
  <c r="G133" i="38"/>
  <c r="E133" i="38"/>
  <c r="AQ132" i="38"/>
  <c r="AO132" i="38"/>
  <c r="AM132" i="38"/>
  <c r="AK132" i="38"/>
  <c r="AI132" i="38"/>
  <c r="AG132" i="38"/>
  <c r="AE132" i="38"/>
  <c r="AC132" i="38"/>
  <c r="AA132" i="38"/>
  <c r="Y132" i="38"/>
  <c r="W132" i="38"/>
  <c r="U132" i="38"/>
  <c r="S132" i="38"/>
  <c r="Q132" i="38"/>
  <c r="O132" i="38"/>
  <c r="M132" i="38"/>
  <c r="K132" i="38"/>
  <c r="I132" i="38"/>
  <c r="G132" i="38"/>
  <c r="E132" i="38"/>
  <c r="AQ131" i="38"/>
  <c r="AO131" i="38"/>
  <c r="AM131" i="38"/>
  <c r="AK131" i="38"/>
  <c r="AI131" i="38"/>
  <c r="AG131" i="38"/>
  <c r="AE131" i="38"/>
  <c r="AC131" i="38"/>
  <c r="AA131" i="38"/>
  <c r="Y131" i="38"/>
  <c r="W131" i="38"/>
  <c r="U131" i="38"/>
  <c r="S131" i="38"/>
  <c r="Q131" i="38"/>
  <c r="O131" i="38"/>
  <c r="M131" i="38"/>
  <c r="K131" i="38"/>
  <c r="I131" i="38"/>
  <c r="G131" i="38"/>
  <c r="E131" i="38"/>
  <c r="AQ130" i="38"/>
  <c r="AO130" i="38"/>
  <c r="AM130" i="38"/>
  <c r="AK130" i="38"/>
  <c r="AI130" i="38"/>
  <c r="AG130" i="38"/>
  <c r="AE130" i="38"/>
  <c r="AC130" i="38"/>
  <c r="AA130" i="38"/>
  <c r="Y130" i="38"/>
  <c r="W130" i="38"/>
  <c r="U130" i="38"/>
  <c r="S130" i="38"/>
  <c r="Q130" i="38"/>
  <c r="O130" i="38"/>
  <c r="M130" i="38"/>
  <c r="K130" i="38"/>
  <c r="I130" i="38"/>
  <c r="G130" i="38"/>
  <c r="E130" i="38"/>
  <c r="AQ129" i="38"/>
  <c r="AO129" i="38"/>
  <c r="AM129" i="38"/>
  <c r="AK129" i="38"/>
  <c r="AI129" i="38"/>
  <c r="AG129" i="38"/>
  <c r="AE129" i="38"/>
  <c r="AC129" i="38"/>
  <c r="AA129" i="38"/>
  <c r="Y129" i="38"/>
  <c r="W129" i="38"/>
  <c r="U129" i="38"/>
  <c r="S129" i="38"/>
  <c r="Q129" i="38"/>
  <c r="O129" i="38"/>
  <c r="M129" i="38"/>
  <c r="K129" i="38"/>
  <c r="I129" i="38"/>
  <c r="G129" i="38"/>
  <c r="E129" i="38"/>
  <c r="AQ128" i="38"/>
  <c r="AO128" i="38"/>
  <c r="AM128" i="38"/>
  <c r="AK128" i="38"/>
  <c r="AI128" i="38"/>
  <c r="AG128" i="38"/>
  <c r="AE128" i="38"/>
  <c r="AC128" i="38"/>
  <c r="AA128" i="38"/>
  <c r="Y128" i="38"/>
  <c r="W128" i="38"/>
  <c r="U128" i="38"/>
  <c r="S128" i="38"/>
  <c r="Q128" i="38"/>
  <c r="O128" i="38"/>
  <c r="M128" i="38"/>
  <c r="K128" i="38"/>
  <c r="I128" i="38"/>
  <c r="G128" i="38"/>
  <c r="E128" i="38"/>
  <c r="AQ127" i="38"/>
  <c r="AO127" i="38"/>
  <c r="AM127" i="38"/>
  <c r="AK127" i="38"/>
  <c r="AI127" i="38"/>
  <c r="AG127" i="38"/>
  <c r="AE127" i="38"/>
  <c r="AC127" i="38"/>
  <c r="AA127" i="38"/>
  <c r="Y127" i="38"/>
  <c r="W127" i="38"/>
  <c r="U127" i="38"/>
  <c r="S127" i="38"/>
  <c r="Q127" i="38"/>
  <c r="O127" i="38"/>
  <c r="M127" i="38"/>
  <c r="K127" i="38"/>
  <c r="I127" i="38"/>
  <c r="G127" i="38"/>
  <c r="E127" i="38"/>
  <c r="AQ126" i="38"/>
  <c r="AO126" i="38"/>
  <c r="AM126" i="38"/>
  <c r="AK126" i="38"/>
  <c r="AI126" i="38"/>
  <c r="AG126" i="38"/>
  <c r="AE126" i="38"/>
  <c r="AC126" i="38"/>
  <c r="AA126" i="38"/>
  <c r="Y126" i="38"/>
  <c r="W126" i="38"/>
  <c r="U126" i="38"/>
  <c r="S126" i="38"/>
  <c r="Q126" i="38"/>
  <c r="O126" i="38"/>
  <c r="M126" i="38"/>
  <c r="K126" i="38"/>
  <c r="I126" i="38"/>
  <c r="G126" i="38"/>
  <c r="E126" i="38"/>
  <c r="AQ125" i="38"/>
  <c r="AO125" i="38"/>
  <c r="AM125" i="38"/>
  <c r="AK125" i="38"/>
  <c r="AI125" i="38"/>
  <c r="AG125" i="38"/>
  <c r="AE125" i="38"/>
  <c r="AC125" i="38"/>
  <c r="AA125" i="38"/>
  <c r="Y125" i="38"/>
  <c r="W125" i="38"/>
  <c r="U125" i="38"/>
  <c r="S125" i="38"/>
  <c r="Q125" i="38"/>
  <c r="O125" i="38"/>
  <c r="M125" i="38"/>
  <c r="K125" i="38"/>
  <c r="I125" i="38"/>
  <c r="G125" i="38"/>
  <c r="E125" i="38"/>
  <c r="AQ124" i="38"/>
  <c r="AO124" i="38"/>
  <c r="AM124" i="38"/>
  <c r="AK124" i="38"/>
  <c r="AI124" i="38"/>
  <c r="AG124" i="38"/>
  <c r="AE124" i="38"/>
  <c r="AC124" i="38"/>
  <c r="AA124" i="38"/>
  <c r="Y124" i="38"/>
  <c r="W124" i="38"/>
  <c r="U124" i="38"/>
  <c r="S124" i="38"/>
  <c r="Q124" i="38"/>
  <c r="O124" i="38"/>
  <c r="M124" i="38"/>
  <c r="K124" i="38"/>
  <c r="I124" i="38"/>
  <c r="G124" i="38"/>
  <c r="E124" i="38"/>
  <c r="AQ123" i="38"/>
  <c r="AO123" i="38"/>
  <c r="AM123" i="38"/>
  <c r="AK123" i="38"/>
  <c r="AI123" i="38"/>
  <c r="AG123" i="38"/>
  <c r="AE123" i="38"/>
  <c r="AC123" i="38"/>
  <c r="AA123" i="38"/>
  <c r="Y123" i="38"/>
  <c r="W123" i="38"/>
  <c r="U123" i="38"/>
  <c r="S123" i="38"/>
  <c r="Q123" i="38"/>
  <c r="O123" i="38"/>
  <c r="M123" i="38"/>
  <c r="K123" i="38"/>
  <c r="I123" i="38"/>
  <c r="G123" i="38"/>
  <c r="E123" i="38"/>
  <c r="AQ122" i="38"/>
  <c r="AO122" i="38"/>
  <c r="AM122" i="38"/>
  <c r="AK122" i="38"/>
  <c r="AI122" i="38"/>
  <c r="AG122" i="38"/>
  <c r="AE122" i="38"/>
  <c r="AC122" i="38"/>
  <c r="AA122" i="38"/>
  <c r="Y122" i="38"/>
  <c r="W122" i="38"/>
  <c r="U122" i="38"/>
  <c r="S122" i="38"/>
  <c r="Q122" i="38"/>
  <c r="O122" i="38"/>
  <c r="M122" i="38"/>
  <c r="K122" i="38"/>
  <c r="I122" i="38"/>
  <c r="G122" i="38"/>
  <c r="E122" i="38"/>
  <c r="AQ121" i="38"/>
  <c r="AO121" i="38"/>
  <c r="AM121" i="38"/>
  <c r="AK121" i="38"/>
  <c r="AI121" i="38"/>
  <c r="AG121" i="38"/>
  <c r="AE121" i="38"/>
  <c r="AC121" i="38"/>
  <c r="AA121" i="38"/>
  <c r="Y121" i="38"/>
  <c r="W121" i="38"/>
  <c r="U121" i="38"/>
  <c r="S121" i="38"/>
  <c r="Q121" i="38"/>
  <c r="O121" i="38"/>
  <c r="M121" i="38"/>
  <c r="K121" i="38"/>
  <c r="I121" i="38"/>
  <c r="G121" i="38"/>
  <c r="E121" i="38"/>
  <c r="AQ120" i="38"/>
  <c r="AO120" i="38"/>
  <c r="AM120" i="38"/>
  <c r="AK120" i="38"/>
  <c r="AI120" i="38"/>
  <c r="AG120" i="38"/>
  <c r="AE120" i="38"/>
  <c r="AC120" i="38"/>
  <c r="AA120" i="38"/>
  <c r="Y120" i="38"/>
  <c r="W120" i="38"/>
  <c r="U120" i="38"/>
  <c r="S120" i="38"/>
  <c r="Q120" i="38"/>
  <c r="O120" i="38"/>
  <c r="M120" i="38"/>
  <c r="K120" i="38"/>
  <c r="I120" i="38"/>
  <c r="G120" i="38"/>
  <c r="E120" i="38"/>
  <c r="AQ119" i="38"/>
  <c r="AO119" i="38"/>
  <c r="AM119" i="38"/>
  <c r="AK119" i="38"/>
  <c r="AI119" i="38"/>
  <c r="AG119" i="38"/>
  <c r="AE119" i="38"/>
  <c r="AC119" i="38"/>
  <c r="AA119" i="38"/>
  <c r="Y119" i="38"/>
  <c r="W119" i="38"/>
  <c r="U119" i="38"/>
  <c r="S119" i="38"/>
  <c r="Q119" i="38"/>
  <c r="O119" i="38"/>
  <c r="M119" i="38"/>
  <c r="K119" i="38"/>
  <c r="I119" i="38"/>
  <c r="G119" i="38"/>
  <c r="E119" i="38"/>
  <c r="AQ118" i="38"/>
  <c r="AO118" i="38"/>
  <c r="AM118" i="38"/>
  <c r="AK118" i="38"/>
  <c r="AI118" i="38"/>
  <c r="AG118" i="38"/>
  <c r="AE118" i="38"/>
  <c r="AC118" i="38"/>
  <c r="AA118" i="38"/>
  <c r="Y118" i="38"/>
  <c r="W118" i="38"/>
  <c r="U118" i="38"/>
  <c r="S118" i="38"/>
  <c r="Q118" i="38"/>
  <c r="O118" i="38"/>
  <c r="M118" i="38"/>
  <c r="K118" i="38"/>
  <c r="I118" i="38"/>
  <c r="G118" i="38"/>
  <c r="E118" i="38"/>
  <c r="AQ117" i="38"/>
  <c r="AO117" i="38"/>
  <c r="AM117" i="38"/>
  <c r="AK117" i="38"/>
  <c r="AI117" i="38"/>
  <c r="AG117" i="38"/>
  <c r="AE117" i="38"/>
  <c r="AC117" i="38"/>
  <c r="AA117" i="38"/>
  <c r="Y117" i="38"/>
  <c r="W117" i="38"/>
  <c r="U117" i="38"/>
  <c r="S117" i="38"/>
  <c r="Q117" i="38"/>
  <c r="O117" i="38"/>
  <c r="M117" i="38"/>
  <c r="K117" i="38"/>
  <c r="I117" i="38"/>
  <c r="G117" i="38"/>
  <c r="E117" i="38"/>
  <c r="AQ116" i="38"/>
  <c r="AO116" i="38"/>
  <c r="AM116" i="38"/>
  <c r="AK116" i="38"/>
  <c r="AI116" i="38"/>
  <c r="AG116" i="38"/>
  <c r="AE116" i="38"/>
  <c r="AC116" i="38"/>
  <c r="AA116" i="38"/>
  <c r="Y116" i="38"/>
  <c r="W116" i="38"/>
  <c r="U116" i="38"/>
  <c r="S116" i="38"/>
  <c r="Q116" i="38"/>
  <c r="O116" i="38"/>
  <c r="M116" i="38"/>
  <c r="K116" i="38"/>
  <c r="I116" i="38"/>
  <c r="G116" i="38"/>
  <c r="E116" i="38"/>
  <c r="AQ115" i="38"/>
  <c r="AO115" i="38"/>
  <c r="AM115" i="38"/>
  <c r="AK115" i="38"/>
  <c r="AI115" i="38"/>
  <c r="AG115" i="38"/>
  <c r="AE115" i="38"/>
  <c r="AC115" i="38"/>
  <c r="AA115" i="38"/>
  <c r="Y115" i="38"/>
  <c r="W115" i="38"/>
  <c r="U115" i="38"/>
  <c r="S115" i="38"/>
  <c r="Q115" i="38"/>
  <c r="O115" i="38"/>
  <c r="M115" i="38"/>
  <c r="K115" i="38"/>
  <c r="I115" i="38"/>
  <c r="G115" i="38"/>
  <c r="E115" i="38"/>
  <c r="AQ114" i="38"/>
  <c r="AO114" i="38"/>
  <c r="AM114" i="38"/>
  <c r="AK114" i="38"/>
  <c r="AI114" i="38"/>
  <c r="AG114" i="38"/>
  <c r="AE114" i="38"/>
  <c r="AC114" i="38"/>
  <c r="AA114" i="38"/>
  <c r="Y114" i="38"/>
  <c r="W114" i="38"/>
  <c r="U114" i="38"/>
  <c r="S114" i="38"/>
  <c r="Q114" i="38"/>
  <c r="O114" i="38"/>
  <c r="M114" i="38"/>
  <c r="K114" i="38"/>
  <c r="I114" i="38"/>
  <c r="G114" i="38"/>
  <c r="E114" i="38"/>
  <c r="AQ113" i="38"/>
  <c r="AO113" i="38"/>
  <c r="AM113" i="38"/>
  <c r="AK113" i="38"/>
  <c r="AI113" i="38"/>
  <c r="AG113" i="38"/>
  <c r="AE113" i="38"/>
  <c r="AC113" i="38"/>
  <c r="AA113" i="38"/>
  <c r="Y113" i="38"/>
  <c r="W113" i="38"/>
  <c r="U113" i="38"/>
  <c r="S113" i="38"/>
  <c r="Q113" i="38"/>
  <c r="O113" i="38"/>
  <c r="M113" i="38"/>
  <c r="K113" i="38"/>
  <c r="I113" i="38"/>
  <c r="G113" i="38"/>
  <c r="E113" i="38"/>
  <c r="AQ112" i="38"/>
  <c r="AO112" i="38"/>
  <c r="AM112" i="38"/>
  <c r="AK112" i="38"/>
  <c r="AI112" i="38"/>
  <c r="AG112" i="38"/>
  <c r="AE112" i="38"/>
  <c r="AC112" i="38"/>
  <c r="AA112" i="38"/>
  <c r="Y112" i="38"/>
  <c r="W112" i="38"/>
  <c r="U112" i="38"/>
  <c r="S112" i="38"/>
  <c r="Q112" i="38"/>
  <c r="O112" i="38"/>
  <c r="M112" i="38"/>
  <c r="K112" i="38"/>
  <c r="I112" i="38"/>
  <c r="G112" i="38"/>
  <c r="E112" i="38"/>
  <c r="AQ111" i="38"/>
  <c r="AO111" i="38"/>
  <c r="AM111" i="38"/>
  <c r="AK111" i="38"/>
  <c r="AI111" i="38"/>
  <c r="AG111" i="38"/>
  <c r="AE111" i="38"/>
  <c r="AC111" i="38"/>
  <c r="AA111" i="38"/>
  <c r="Y111" i="38"/>
  <c r="W111" i="38"/>
  <c r="U111" i="38"/>
  <c r="S111" i="38"/>
  <c r="Q111" i="38"/>
  <c r="O111" i="38"/>
  <c r="M111" i="38"/>
  <c r="K111" i="38"/>
  <c r="I111" i="38"/>
  <c r="G111" i="38"/>
  <c r="E111" i="38"/>
  <c r="AQ110" i="38"/>
  <c r="AO110" i="38"/>
  <c r="AM110" i="38"/>
  <c r="AK110" i="38"/>
  <c r="AI110" i="38"/>
  <c r="AG110" i="38"/>
  <c r="AE110" i="38"/>
  <c r="AC110" i="38"/>
  <c r="AA110" i="38"/>
  <c r="Y110" i="38"/>
  <c r="W110" i="38"/>
  <c r="U110" i="38"/>
  <c r="S110" i="38"/>
  <c r="Q110" i="38"/>
  <c r="O110" i="38"/>
  <c r="M110" i="38"/>
  <c r="K110" i="38"/>
  <c r="I110" i="38"/>
  <c r="G110" i="38"/>
  <c r="E110" i="38"/>
  <c r="AQ109" i="38"/>
  <c r="AO109" i="38"/>
  <c r="AM109" i="38"/>
  <c r="AK109" i="38"/>
  <c r="AI109" i="38"/>
  <c r="AG109" i="38"/>
  <c r="AE109" i="38"/>
  <c r="AC109" i="38"/>
  <c r="AA109" i="38"/>
  <c r="Y109" i="38"/>
  <c r="W109" i="38"/>
  <c r="U109" i="38"/>
  <c r="S109" i="38"/>
  <c r="Q109" i="38"/>
  <c r="O109" i="38"/>
  <c r="M109" i="38"/>
  <c r="K109" i="38"/>
  <c r="I109" i="38"/>
  <c r="G109" i="38"/>
  <c r="E109" i="38"/>
  <c r="AQ108" i="38"/>
  <c r="AO108" i="38"/>
  <c r="AM108" i="38"/>
  <c r="AK108" i="38"/>
  <c r="AI108" i="38"/>
  <c r="AG108" i="38"/>
  <c r="AE108" i="38"/>
  <c r="AC108" i="38"/>
  <c r="AA108" i="38"/>
  <c r="Y108" i="38"/>
  <c r="W108" i="38"/>
  <c r="U108" i="38"/>
  <c r="S108" i="38"/>
  <c r="Q108" i="38"/>
  <c r="O108" i="38"/>
  <c r="M108" i="38"/>
  <c r="K108" i="38"/>
  <c r="I108" i="38"/>
  <c r="G108" i="38"/>
  <c r="E108" i="38"/>
  <c r="AQ107" i="38"/>
  <c r="AO107" i="38"/>
  <c r="AM107" i="38"/>
  <c r="AK107" i="38"/>
  <c r="AI107" i="38"/>
  <c r="AG107" i="38"/>
  <c r="AE107" i="38"/>
  <c r="AC107" i="38"/>
  <c r="AA107" i="38"/>
  <c r="Y107" i="38"/>
  <c r="W107" i="38"/>
  <c r="U107" i="38"/>
  <c r="S107" i="38"/>
  <c r="Q107" i="38"/>
  <c r="O107" i="38"/>
  <c r="M107" i="38"/>
  <c r="K107" i="38"/>
  <c r="I107" i="38"/>
  <c r="G107" i="38"/>
  <c r="E107" i="38"/>
  <c r="AQ106" i="38"/>
  <c r="AO106" i="38"/>
  <c r="AM106" i="38"/>
  <c r="AK106" i="38"/>
  <c r="AI106" i="38"/>
  <c r="AG106" i="38"/>
  <c r="AE106" i="38"/>
  <c r="AC106" i="38"/>
  <c r="AA106" i="38"/>
  <c r="Y106" i="38"/>
  <c r="W106" i="38"/>
  <c r="U106" i="38"/>
  <c r="S106" i="38"/>
  <c r="Q106" i="38"/>
  <c r="O106" i="38"/>
  <c r="M106" i="38"/>
  <c r="K106" i="38"/>
  <c r="I106" i="38"/>
  <c r="G106" i="38"/>
  <c r="E106" i="38"/>
  <c r="AQ105" i="38"/>
  <c r="AO105" i="38"/>
  <c r="AM105" i="38"/>
  <c r="AK105" i="38"/>
  <c r="AI105" i="38"/>
  <c r="AG105" i="38"/>
  <c r="AE105" i="38"/>
  <c r="AC105" i="38"/>
  <c r="AA105" i="38"/>
  <c r="Y105" i="38"/>
  <c r="W105" i="38"/>
  <c r="U105" i="38"/>
  <c r="S105" i="38"/>
  <c r="Q105" i="38"/>
  <c r="O105" i="38"/>
  <c r="M105" i="38"/>
  <c r="K105" i="38"/>
  <c r="I105" i="38"/>
  <c r="G105" i="38"/>
  <c r="E105" i="38"/>
  <c r="AQ104" i="38"/>
  <c r="AO104" i="38"/>
  <c r="AM104" i="38"/>
  <c r="AK104" i="38"/>
  <c r="AI104" i="38"/>
  <c r="AG104" i="38"/>
  <c r="AE104" i="38"/>
  <c r="AC104" i="38"/>
  <c r="AA104" i="38"/>
  <c r="Y104" i="38"/>
  <c r="W104" i="38"/>
  <c r="U104" i="38"/>
  <c r="S104" i="38"/>
  <c r="Q104" i="38"/>
  <c r="O104" i="38"/>
  <c r="M104" i="38"/>
  <c r="K104" i="38"/>
  <c r="I104" i="38"/>
  <c r="G104" i="38"/>
  <c r="E104" i="38"/>
  <c r="AQ103" i="38"/>
  <c r="AO103" i="38"/>
  <c r="AM103" i="38"/>
  <c r="AK103" i="38"/>
  <c r="AI103" i="38"/>
  <c r="AG103" i="38"/>
  <c r="AE103" i="38"/>
  <c r="AC103" i="38"/>
  <c r="AA103" i="38"/>
  <c r="Y103" i="38"/>
  <c r="W103" i="38"/>
  <c r="U103" i="38"/>
  <c r="S103" i="38"/>
  <c r="Q103" i="38"/>
  <c r="O103" i="38"/>
  <c r="M103" i="38"/>
  <c r="K103" i="38"/>
  <c r="I103" i="38"/>
  <c r="G103" i="38"/>
  <c r="E103" i="38"/>
  <c r="AQ102" i="38"/>
  <c r="AO102" i="38"/>
  <c r="AM102" i="38"/>
  <c r="AK102" i="38"/>
  <c r="AI102" i="38"/>
  <c r="AG102" i="38"/>
  <c r="AE102" i="38"/>
  <c r="AC102" i="38"/>
  <c r="AA102" i="38"/>
  <c r="Y102" i="38"/>
  <c r="W102" i="38"/>
  <c r="U102" i="38"/>
  <c r="S102" i="38"/>
  <c r="Q102" i="38"/>
  <c r="O102" i="38"/>
  <c r="M102" i="38"/>
  <c r="K102" i="38"/>
  <c r="I102" i="38"/>
  <c r="G102" i="38"/>
  <c r="E102" i="38"/>
  <c r="AQ101" i="38"/>
  <c r="AO101" i="38"/>
  <c r="AM101" i="38"/>
  <c r="AK101" i="38"/>
  <c r="AI101" i="38"/>
  <c r="AG101" i="38"/>
  <c r="AE101" i="38"/>
  <c r="AC101" i="38"/>
  <c r="AA101" i="38"/>
  <c r="Y101" i="38"/>
  <c r="W101" i="38"/>
  <c r="U101" i="38"/>
  <c r="S101" i="38"/>
  <c r="Q101" i="38"/>
  <c r="O101" i="38"/>
  <c r="M101" i="38"/>
  <c r="K101" i="38"/>
  <c r="I101" i="38"/>
  <c r="G101" i="38"/>
  <c r="E101" i="38"/>
  <c r="AQ100" i="38"/>
  <c r="AO100" i="38"/>
  <c r="AM100" i="38"/>
  <c r="AK100" i="38"/>
  <c r="AI100" i="38"/>
  <c r="AG100" i="38"/>
  <c r="AE100" i="38"/>
  <c r="AC100" i="38"/>
  <c r="AA100" i="38"/>
  <c r="Y100" i="38"/>
  <c r="W100" i="38"/>
  <c r="U100" i="38"/>
  <c r="S100" i="38"/>
  <c r="Q100" i="38"/>
  <c r="O100" i="38"/>
  <c r="M100" i="38"/>
  <c r="K100" i="38"/>
  <c r="I100" i="38"/>
  <c r="G100" i="38"/>
  <c r="E100" i="38"/>
  <c r="AQ99" i="38"/>
  <c r="AO99" i="38"/>
  <c r="AM99" i="38"/>
  <c r="AK99" i="38"/>
  <c r="AI99" i="38"/>
  <c r="AG99" i="38"/>
  <c r="AE99" i="38"/>
  <c r="AC99" i="38"/>
  <c r="AA99" i="38"/>
  <c r="Y99" i="38"/>
  <c r="W99" i="38"/>
  <c r="U99" i="38"/>
  <c r="S99" i="38"/>
  <c r="Q99" i="38"/>
  <c r="O99" i="38"/>
  <c r="M99" i="38"/>
  <c r="K99" i="38"/>
  <c r="I99" i="38"/>
  <c r="G99" i="38"/>
  <c r="E99" i="38"/>
  <c r="AQ98" i="38"/>
  <c r="AO98" i="38"/>
  <c r="AM98" i="38"/>
  <c r="AK98" i="38"/>
  <c r="AI98" i="38"/>
  <c r="AG98" i="38"/>
  <c r="AE98" i="38"/>
  <c r="AC98" i="38"/>
  <c r="AA98" i="38"/>
  <c r="Y98" i="38"/>
  <c r="W98" i="38"/>
  <c r="U98" i="38"/>
  <c r="S98" i="38"/>
  <c r="Q98" i="38"/>
  <c r="O98" i="38"/>
  <c r="M98" i="38"/>
  <c r="K98" i="38"/>
  <c r="I98" i="38"/>
  <c r="G98" i="38"/>
  <c r="E98" i="38"/>
  <c r="AQ97" i="38"/>
  <c r="AO97" i="38"/>
  <c r="AM97" i="38"/>
  <c r="AK97" i="38"/>
  <c r="AI97" i="38"/>
  <c r="AG97" i="38"/>
  <c r="AE97" i="38"/>
  <c r="AC97" i="38"/>
  <c r="AA97" i="38"/>
  <c r="Y97" i="38"/>
  <c r="W97" i="38"/>
  <c r="U97" i="38"/>
  <c r="S97" i="38"/>
  <c r="Q97" i="38"/>
  <c r="O97" i="38"/>
  <c r="M97" i="38"/>
  <c r="K97" i="38"/>
  <c r="I97" i="38"/>
  <c r="G97" i="38"/>
  <c r="E97" i="38"/>
  <c r="AQ96" i="38"/>
  <c r="AO96" i="38"/>
  <c r="AM96" i="38"/>
  <c r="AK96" i="38"/>
  <c r="AI96" i="38"/>
  <c r="AG96" i="38"/>
  <c r="AE96" i="38"/>
  <c r="AC96" i="38"/>
  <c r="AA96" i="38"/>
  <c r="Y96" i="38"/>
  <c r="W96" i="38"/>
  <c r="U96" i="38"/>
  <c r="S96" i="38"/>
  <c r="Q96" i="38"/>
  <c r="O96" i="38"/>
  <c r="M96" i="38"/>
  <c r="K96" i="38"/>
  <c r="I96" i="38"/>
  <c r="G96" i="38"/>
  <c r="E96" i="38"/>
  <c r="AQ95" i="38"/>
  <c r="AO95" i="38"/>
  <c r="AM95" i="38"/>
  <c r="AK95" i="38"/>
  <c r="AI95" i="38"/>
  <c r="AG95" i="38"/>
  <c r="AE95" i="38"/>
  <c r="AC95" i="38"/>
  <c r="AA95" i="38"/>
  <c r="Y95" i="38"/>
  <c r="W95" i="38"/>
  <c r="U95" i="38"/>
  <c r="S95" i="38"/>
  <c r="Q95" i="38"/>
  <c r="O95" i="38"/>
  <c r="M95" i="38"/>
  <c r="K95" i="38"/>
  <c r="I95" i="38"/>
  <c r="G95" i="38"/>
  <c r="E95" i="38"/>
  <c r="AQ94" i="38"/>
  <c r="AO94" i="38"/>
  <c r="AM94" i="38"/>
  <c r="AK94" i="38"/>
  <c r="AI94" i="38"/>
  <c r="AG94" i="38"/>
  <c r="AE94" i="38"/>
  <c r="AC94" i="38"/>
  <c r="AA94" i="38"/>
  <c r="Y94" i="38"/>
  <c r="W94" i="38"/>
  <c r="U94" i="38"/>
  <c r="S94" i="38"/>
  <c r="Q94" i="38"/>
  <c r="O94" i="38"/>
  <c r="M94" i="38"/>
  <c r="K94" i="38"/>
  <c r="I94" i="38"/>
  <c r="G94" i="38"/>
  <c r="E94" i="38"/>
  <c r="AQ93" i="38"/>
  <c r="AO93" i="38"/>
  <c r="AM93" i="38"/>
  <c r="AK93" i="38"/>
  <c r="AI93" i="38"/>
  <c r="AG93" i="38"/>
  <c r="AE93" i="38"/>
  <c r="AC93" i="38"/>
  <c r="AA93" i="38"/>
  <c r="Y93" i="38"/>
  <c r="W93" i="38"/>
  <c r="U93" i="38"/>
  <c r="S93" i="38"/>
  <c r="Q93" i="38"/>
  <c r="O93" i="38"/>
  <c r="M93" i="38"/>
  <c r="K93" i="38"/>
  <c r="I93" i="38"/>
  <c r="G93" i="38"/>
  <c r="E93" i="38"/>
  <c r="AQ92" i="38"/>
  <c r="AO92" i="38"/>
  <c r="AM92" i="38"/>
  <c r="AK92" i="38"/>
  <c r="AI92" i="38"/>
  <c r="AG92" i="38"/>
  <c r="AE92" i="38"/>
  <c r="AC92" i="38"/>
  <c r="AA92" i="38"/>
  <c r="Y92" i="38"/>
  <c r="W92" i="38"/>
  <c r="U92" i="38"/>
  <c r="S92" i="38"/>
  <c r="Q92" i="38"/>
  <c r="O92" i="38"/>
  <c r="M92" i="38"/>
  <c r="K92" i="38"/>
  <c r="I92" i="38"/>
  <c r="G92" i="38"/>
  <c r="E92" i="38"/>
  <c r="AQ91" i="38"/>
  <c r="AO91" i="38"/>
  <c r="AM91" i="38"/>
  <c r="AK91" i="38"/>
  <c r="AI91" i="38"/>
  <c r="AG91" i="38"/>
  <c r="AE91" i="38"/>
  <c r="AC91" i="38"/>
  <c r="AA91" i="38"/>
  <c r="Y91" i="38"/>
  <c r="W91" i="38"/>
  <c r="U91" i="38"/>
  <c r="S91" i="38"/>
  <c r="Q91" i="38"/>
  <c r="O91" i="38"/>
  <c r="M91" i="38"/>
  <c r="K91" i="38"/>
  <c r="I91" i="38"/>
  <c r="G91" i="38"/>
  <c r="E91" i="38"/>
  <c r="AQ90" i="38"/>
  <c r="AO90" i="38"/>
  <c r="AM90" i="38"/>
  <c r="AK90" i="38"/>
  <c r="AI90" i="38"/>
  <c r="AG90" i="38"/>
  <c r="AE90" i="38"/>
  <c r="AC90" i="38"/>
  <c r="AA90" i="38"/>
  <c r="Y90" i="38"/>
  <c r="W90" i="38"/>
  <c r="U90" i="38"/>
  <c r="S90" i="38"/>
  <c r="Q90" i="38"/>
  <c r="O90" i="38"/>
  <c r="M90" i="38"/>
  <c r="K90" i="38"/>
  <c r="I90" i="38"/>
  <c r="G90" i="38"/>
  <c r="E90" i="38"/>
  <c r="AQ89" i="38"/>
  <c r="AO89" i="38"/>
  <c r="AM89" i="38"/>
  <c r="AK89" i="38"/>
  <c r="AI89" i="38"/>
  <c r="AG89" i="38"/>
  <c r="AE89" i="38"/>
  <c r="AC89" i="38"/>
  <c r="AA89" i="38"/>
  <c r="Y89" i="38"/>
  <c r="W89" i="38"/>
  <c r="U89" i="38"/>
  <c r="S89" i="38"/>
  <c r="Q89" i="38"/>
  <c r="O89" i="38"/>
  <c r="M89" i="38"/>
  <c r="K89" i="38"/>
  <c r="I89" i="38"/>
  <c r="G89" i="38"/>
  <c r="E89" i="38"/>
  <c r="AQ88" i="38"/>
  <c r="AO88" i="38"/>
  <c r="AM88" i="38"/>
  <c r="AK88" i="38"/>
  <c r="AI88" i="38"/>
  <c r="AG88" i="38"/>
  <c r="AE88" i="38"/>
  <c r="AC88" i="38"/>
  <c r="AA88" i="38"/>
  <c r="Y88" i="38"/>
  <c r="W88" i="38"/>
  <c r="U88" i="38"/>
  <c r="S88" i="38"/>
  <c r="Q88" i="38"/>
  <c r="O88" i="38"/>
  <c r="M88" i="38"/>
  <c r="K88" i="38"/>
  <c r="I88" i="38"/>
  <c r="G88" i="38"/>
  <c r="E88" i="38"/>
  <c r="AQ87" i="38"/>
  <c r="AO87" i="38"/>
  <c r="AM87" i="38"/>
  <c r="AK87" i="38"/>
  <c r="AI87" i="38"/>
  <c r="AG87" i="38"/>
  <c r="AE87" i="38"/>
  <c r="AC87" i="38"/>
  <c r="AA87" i="38"/>
  <c r="Y87" i="38"/>
  <c r="W87" i="38"/>
  <c r="U87" i="38"/>
  <c r="S87" i="38"/>
  <c r="Q87" i="38"/>
  <c r="O87" i="38"/>
  <c r="M87" i="38"/>
  <c r="K87" i="38"/>
  <c r="I87" i="38"/>
  <c r="G87" i="38"/>
  <c r="E87" i="38"/>
  <c r="AQ86" i="38"/>
  <c r="AO86" i="38"/>
  <c r="AM86" i="38"/>
  <c r="AK86" i="38"/>
  <c r="AI86" i="38"/>
  <c r="AG86" i="38"/>
  <c r="AE86" i="38"/>
  <c r="AC86" i="38"/>
  <c r="AA86" i="38"/>
  <c r="Y86" i="38"/>
  <c r="W86" i="38"/>
  <c r="U86" i="38"/>
  <c r="S86" i="38"/>
  <c r="Q86" i="38"/>
  <c r="O86" i="38"/>
  <c r="M86" i="38"/>
  <c r="K86" i="38"/>
  <c r="I86" i="38"/>
  <c r="G86" i="38"/>
  <c r="E86" i="38"/>
  <c r="AQ85" i="38"/>
  <c r="AO85" i="38"/>
  <c r="AM85" i="38"/>
  <c r="AK85" i="38"/>
  <c r="AI85" i="38"/>
  <c r="AG85" i="38"/>
  <c r="AE85" i="38"/>
  <c r="AC85" i="38"/>
  <c r="AA85" i="38"/>
  <c r="Y85" i="38"/>
  <c r="W85" i="38"/>
  <c r="U85" i="38"/>
  <c r="S85" i="38"/>
  <c r="Q85" i="38"/>
  <c r="O85" i="38"/>
  <c r="M85" i="38"/>
  <c r="K85" i="38"/>
  <c r="I85" i="38"/>
  <c r="G85" i="38"/>
  <c r="E85" i="38"/>
  <c r="AQ84" i="38"/>
  <c r="AO84" i="38"/>
  <c r="AM84" i="38"/>
  <c r="AK84" i="38"/>
  <c r="AI84" i="38"/>
  <c r="AG84" i="38"/>
  <c r="AE84" i="38"/>
  <c r="AC84" i="38"/>
  <c r="AA84" i="38"/>
  <c r="Y84" i="38"/>
  <c r="W84" i="38"/>
  <c r="U84" i="38"/>
  <c r="S84" i="38"/>
  <c r="Q84" i="38"/>
  <c r="O84" i="38"/>
  <c r="M84" i="38"/>
  <c r="K84" i="38"/>
  <c r="I84" i="38"/>
  <c r="G84" i="38"/>
  <c r="E84" i="38"/>
  <c r="AQ83" i="38"/>
  <c r="AO83" i="38"/>
  <c r="AM83" i="38"/>
  <c r="AK83" i="38"/>
  <c r="AI83" i="38"/>
  <c r="AG83" i="38"/>
  <c r="AE83" i="38"/>
  <c r="AC83" i="38"/>
  <c r="AA83" i="38"/>
  <c r="Y83" i="38"/>
  <c r="W83" i="38"/>
  <c r="U83" i="38"/>
  <c r="S83" i="38"/>
  <c r="Q83" i="38"/>
  <c r="O83" i="38"/>
  <c r="M83" i="38"/>
  <c r="K83" i="38"/>
  <c r="I83" i="38"/>
  <c r="G83" i="38"/>
  <c r="E83" i="38"/>
  <c r="AQ82" i="38"/>
  <c r="AO82" i="38"/>
  <c r="AM82" i="38"/>
  <c r="AK82" i="38"/>
  <c r="AI82" i="38"/>
  <c r="AG82" i="38"/>
  <c r="AE82" i="38"/>
  <c r="AC82" i="38"/>
  <c r="AA82" i="38"/>
  <c r="Y82" i="38"/>
  <c r="W82" i="38"/>
  <c r="U82" i="38"/>
  <c r="S82" i="38"/>
  <c r="Q82" i="38"/>
  <c r="O82" i="38"/>
  <c r="M82" i="38"/>
  <c r="K82" i="38"/>
  <c r="I82" i="38"/>
  <c r="G82" i="38"/>
  <c r="E82" i="38"/>
  <c r="AQ81" i="38"/>
  <c r="AO81" i="38"/>
  <c r="AM81" i="38"/>
  <c r="AK81" i="38"/>
  <c r="AI81" i="38"/>
  <c r="AG81" i="38"/>
  <c r="AE81" i="38"/>
  <c r="AC81" i="38"/>
  <c r="AA81" i="38"/>
  <c r="Y81" i="38"/>
  <c r="W81" i="38"/>
  <c r="U81" i="38"/>
  <c r="S81" i="38"/>
  <c r="Q81" i="38"/>
  <c r="O81" i="38"/>
  <c r="M81" i="38"/>
  <c r="K81" i="38"/>
  <c r="I81" i="38"/>
  <c r="G81" i="38"/>
  <c r="E81" i="38"/>
  <c r="AQ80" i="38"/>
  <c r="AO80" i="38"/>
  <c r="AM80" i="38"/>
  <c r="AK80" i="38"/>
  <c r="AI80" i="38"/>
  <c r="AG80" i="38"/>
  <c r="AE80" i="38"/>
  <c r="AC80" i="38"/>
  <c r="AA80" i="38"/>
  <c r="Y80" i="38"/>
  <c r="W80" i="38"/>
  <c r="U80" i="38"/>
  <c r="S80" i="38"/>
  <c r="Q80" i="38"/>
  <c r="O80" i="38"/>
  <c r="M80" i="38"/>
  <c r="K80" i="38"/>
  <c r="I80" i="38"/>
  <c r="G80" i="38"/>
  <c r="E80" i="38"/>
  <c r="AQ79" i="38"/>
  <c r="AO79" i="38"/>
  <c r="AM79" i="38"/>
  <c r="AK79" i="38"/>
  <c r="AI79" i="38"/>
  <c r="AG79" i="38"/>
  <c r="AE79" i="38"/>
  <c r="AC79" i="38"/>
  <c r="AA79" i="38"/>
  <c r="Y79" i="38"/>
  <c r="W79" i="38"/>
  <c r="U79" i="38"/>
  <c r="S79" i="38"/>
  <c r="Q79" i="38"/>
  <c r="O79" i="38"/>
  <c r="M79" i="38"/>
  <c r="K79" i="38"/>
  <c r="I79" i="38"/>
  <c r="G79" i="38"/>
  <c r="E79" i="38"/>
  <c r="AQ78" i="38"/>
  <c r="AO78" i="38"/>
  <c r="AM78" i="38"/>
  <c r="AK78" i="38"/>
  <c r="AI78" i="38"/>
  <c r="AG78" i="38"/>
  <c r="AE78" i="38"/>
  <c r="AC78" i="38"/>
  <c r="AA78" i="38"/>
  <c r="Y78" i="38"/>
  <c r="W78" i="38"/>
  <c r="U78" i="38"/>
  <c r="S78" i="38"/>
  <c r="Q78" i="38"/>
  <c r="O78" i="38"/>
  <c r="M78" i="38"/>
  <c r="K78" i="38"/>
  <c r="I78" i="38"/>
  <c r="G78" i="38"/>
  <c r="E78" i="38"/>
  <c r="AQ77" i="38"/>
  <c r="AO77" i="38"/>
  <c r="AM77" i="38"/>
  <c r="AK77" i="38"/>
  <c r="AI77" i="38"/>
  <c r="AG77" i="38"/>
  <c r="AE77" i="38"/>
  <c r="AC77" i="38"/>
  <c r="AA77" i="38"/>
  <c r="Y77" i="38"/>
  <c r="W77" i="38"/>
  <c r="U77" i="38"/>
  <c r="S77" i="38"/>
  <c r="Q77" i="38"/>
  <c r="O77" i="38"/>
  <c r="M77" i="38"/>
  <c r="K77" i="38"/>
  <c r="I77" i="38"/>
  <c r="G77" i="38"/>
  <c r="E77" i="38"/>
  <c r="AQ76" i="38"/>
  <c r="AO76" i="38"/>
  <c r="AM76" i="38"/>
  <c r="AK76" i="38"/>
  <c r="AI76" i="38"/>
  <c r="AG76" i="38"/>
  <c r="AE76" i="38"/>
  <c r="AC76" i="38"/>
  <c r="AA76" i="38"/>
  <c r="Y76" i="38"/>
  <c r="W76" i="38"/>
  <c r="U76" i="38"/>
  <c r="S76" i="38"/>
  <c r="Q76" i="38"/>
  <c r="O76" i="38"/>
  <c r="M76" i="38"/>
  <c r="K76" i="38"/>
  <c r="I76" i="38"/>
  <c r="G76" i="38"/>
  <c r="E76" i="38"/>
  <c r="AQ75" i="38"/>
  <c r="AO75" i="38"/>
  <c r="AM75" i="38"/>
  <c r="AK75" i="38"/>
  <c r="AI75" i="38"/>
  <c r="AG75" i="38"/>
  <c r="AE75" i="38"/>
  <c r="AC75" i="38"/>
  <c r="AA75" i="38"/>
  <c r="Y75" i="38"/>
  <c r="W75" i="38"/>
  <c r="U75" i="38"/>
  <c r="S75" i="38"/>
  <c r="Q75" i="38"/>
  <c r="O75" i="38"/>
  <c r="M75" i="38"/>
  <c r="K75" i="38"/>
  <c r="I75" i="38"/>
  <c r="G75" i="38"/>
  <c r="E75" i="38"/>
  <c r="AQ74" i="38"/>
  <c r="AO74" i="38"/>
  <c r="AM74" i="38"/>
  <c r="AK74" i="38"/>
  <c r="AI74" i="38"/>
  <c r="AG74" i="38"/>
  <c r="AE74" i="38"/>
  <c r="AC74" i="38"/>
  <c r="AA74" i="38"/>
  <c r="Y74" i="38"/>
  <c r="W74" i="38"/>
  <c r="U74" i="38"/>
  <c r="S74" i="38"/>
  <c r="Q74" i="38"/>
  <c r="O74" i="38"/>
  <c r="M74" i="38"/>
  <c r="K74" i="38"/>
  <c r="I74" i="38"/>
  <c r="G74" i="38"/>
  <c r="E74" i="38"/>
  <c r="AQ73" i="38"/>
  <c r="AO73" i="38"/>
  <c r="AM73" i="38"/>
  <c r="AK73" i="38"/>
  <c r="AI73" i="38"/>
  <c r="AG73" i="38"/>
  <c r="AE73" i="38"/>
  <c r="AC73" i="38"/>
  <c r="AA73" i="38"/>
  <c r="Y73" i="38"/>
  <c r="W73" i="38"/>
  <c r="U73" i="38"/>
  <c r="S73" i="38"/>
  <c r="Q73" i="38"/>
  <c r="O73" i="38"/>
  <c r="M73" i="38"/>
  <c r="K73" i="38"/>
  <c r="I73" i="38"/>
  <c r="G73" i="38"/>
  <c r="E73" i="38"/>
  <c r="AQ72" i="38"/>
  <c r="AO72" i="38"/>
  <c r="AM72" i="38"/>
  <c r="AK72" i="38"/>
  <c r="AI72" i="38"/>
  <c r="AG72" i="38"/>
  <c r="AE72" i="38"/>
  <c r="AC72" i="38"/>
  <c r="AA72" i="38"/>
  <c r="Y72" i="38"/>
  <c r="W72" i="38"/>
  <c r="U72" i="38"/>
  <c r="S72" i="38"/>
  <c r="Q72" i="38"/>
  <c r="O72" i="38"/>
  <c r="M72" i="38"/>
  <c r="K72" i="38"/>
  <c r="I72" i="38"/>
  <c r="G72" i="38"/>
  <c r="E72" i="38"/>
  <c r="AQ71" i="38"/>
  <c r="AO71" i="38"/>
  <c r="AM71" i="38"/>
  <c r="AK71" i="38"/>
  <c r="AI71" i="38"/>
  <c r="AG71" i="38"/>
  <c r="AE71" i="38"/>
  <c r="AC71" i="38"/>
  <c r="AA71" i="38"/>
  <c r="Y71" i="38"/>
  <c r="W71" i="38"/>
  <c r="U71" i="38"/>
  <c r="S71" i="38"/>
  <c r="Q71" i="38"/>
  <c r="O71" i="38"/>
  <c r="M71" i="38"/>
  <c r="K71" i="38"/>
  <c r="I71" i="38"/>
  <c r="G71" i="38"/>
  <c r="E71" i="38"/>
  <c r="AQ70" i="38"/>
  <c r="AO70" i="38"/>
  <c r="AM70" i="38"/>
  <c r="AK70" i="38"/>
  <c r="AI70" i="38"/>
  <c r="AG70" i="38"/>
  <c r="AE70" i="38"/>
  <c r="AC70" i="38"/>
  <c r="AA70" i="38"/>
  <c r="Y70" i="38"/>
  <c r="W70" i="38"/>
  <c r="U70" i="38"/>
  <c r="S70" i="38"/>
  <c r="Q70" i="38"/>
  <c r="O70" i="38"/>
  <c r="M70" i="38"/>
  <c r="K70" i="38"/>
  <c r="I70" i="38"/>
  <c r="G70" i="38"/>
  <c r="E70" i="38"/>
  <c r="AQ69" i="38"/>
  <c r="AO69" i="38"/>
  <c r="AM69" i="38"/>
  <c r="AK69" i="38"/>
  <c r="AI69" i="38"/>
  <c r="AG69" i="38"/>
  <c r="AE69" i="38"/>
  <c r="AC69" i="38"/>
  <c r="AA69" i="38"/>
  <c r="Y69" i="38"/>
  <c r="W69" i="38"/>
  <c r="U69" i="38"/>
  <c r="S69" i="38"/>
  <c r="Q69" i="38"/>
  <c r="O69" i="38"/>
  <c r="M69" i="38"/>
  <c r="K69" i="38"/>
  <c r="I69" i="38"/>
  <c r="G69" i="38"/>
  <c r="E69" i="38"/>
  <c r="AQ68" i="38"/>
  <c r="AO68" i="38"/>
  <c r="AM68" i="38"/>
  <c r="AK68" i="38"/>
  <c r="AI68" i="38"/>
  <c r="AG68" i="38"/>
  <c r="AE68" i="38"/>
  <c r="AC68" i="38"/>
  <c r="AA68" i="38"/>
  <c r="Y68" i="38"/>
  <c r="W68" i="38"/>
  <c r="U68" i="38"/>
  <c r="S68" i="38"/>
  <c r="Q68" i="38"/>
  <c r="O68" i="38"/>
  <c r="M68" i="38"/>
  <c r="K68" i="38"/>
  <c r="I68" i="38"/>
  <c r="G68" i="38"/>
  <c r="E68" i="38"/>
  <c r="AQ67" i="38"/>
  <c r="AO67" i="38"/>
  <c r="AM67" i="38"/>
  <c r="AK67" i="38"/>
  <c r="AI67" i="38"/>
  <c r="AG67" i="38"/>
  <c r="AE67" i="38"/>
  <c r="AC67" i="38"/>
  <c r="AA67" i="38"/>
  <c r="Y67" i="38"/>
  <c r="W67" i="38"/>
  <c r="U67" i="38"/>
  <c r="S67" i="38"/>
  <c r="Q67" i="38"/>
  <c r="O67" i="38"/>
  <c r="M67" i="38"/>
  <c r="K67" i="38"/>
  <c r="I67" i="38"/>
  <c r="G67" i="38"/>
  <c r="E67" i="38"/>
  <c r="AQ66" i="38"/>
  <c r="AO66" i="38"/>
  <c r="AM66" i="38"/>
  <c r="AK66" i="38"/>
  <c r="AI66" i="38"/>
  <c r="AG66" i="38"/>
  <c r="AE66" i="38"/>
  <c r="AC66" i="38"/>
  <c r="AA66" i="38"/>
  <c r="Y66" i="38"/>
  <c r="W66" i="38"/>
  <c r="U66" i="38"/>
  <c r="S66" i="38"/>
  <c r="Q66" i="38"/>
  <c r="O66" i="38"/>
  <c r="M66" i="38"/>
  <c r="K66" i="38"/>
  <c r="I66" i="38"/>
  <c r="G66" i="38"/>
  <c r="E66" i="38"/>
  <c r="AQ65" i="38"/>
  <c r="AO65" i="38"/>
  <c r="AM65" i="38"/>
  <c r="AK65" i="38"/>
  <c r="AI65" i="38"/>
  <c r="AG65" i="38"/>
  <c r="AE65" i="38"/>
  <c r="AC65" i="38"/>
  <c r="AA65" i="38"/>
  <c r="Y65" i="38"/>
  <c r="W65" i="38"/>
  <c r="U65" i="38"/>
  <c r="S65" i="38"/>
  <c r="Q65" i="38"/>
  <c r="O65" i="38"/>
  <c r="M65" i="38"/>
  <c r="K65" i="38"/>
  <c r="I65" i="38"/>
  <c r="G65" i="38"/>
  <c r="E65" i="38"/>
  <c r="AQ64" i="38"/>
  <c r="AO64" i="38"/>
  <c r="AM64" i="38"/>
  <c r="AK64" i="38"/>
  <c r="AI64" i="38"/>
  <c r="AG64" i="38"/>
  <c r="AE64" i="38"/>
  <c r="AC64" i="38"/>
  <c r="AA64" i="38"/>
  <c r="Y64" i="38"/>
  <c r="W64" i="38"/>
  <c r="U64" i="38"/>
  <c r="S64" i="38"/>
  <c r="Q64" i="38"/>
  <c r="O64" i="38"/>
  <c r="M64" i="38"/>
  <c r="K64" i="38"/>
  <c r="I64" i="38"/>
  <c r="G64" i="38"/>
  <c r="E64" i="38"/>
  <c r="AQ63" i="38"/>
  <c r="AO63" i="38"/>
  <c r="AM63" i="38"/>
  <c r="AK63" i="38"/>
  <c r="AI63" i="38"/>
  <c r="AG63" i="38"/>
  <c r="AE63" i="38"/>
  <c r="AC63" i="38"/>
  <c r="AA63" i="38"/>
  <c r="Y63" i="38"/>
  <c r="W63" i="38"/>
  <c r="U63" i="38"/>
  <c r="S63" i="38"/>
  <c r="Q63" i="38"/>
  <c r="O63" i="38"/>
  <c r="M63" i="38"/>
  <c r="K63" i="38"/>
  <c r="I63" i="38"/>
  <c r="G63" i="38"/>
  <c r="E63" i="38"/>
  <c r="AQ62" i="38"/>
  <c r="AO62" i="38"/>
  <c r="AM62" i="38"/>
  <c r="AK62" i="38"/>
  <c r="AI62" i="38"/>
  <c r="AG62" i="38"/>
  <c r="AE62" i="38"/>
  <c r="AC62" i="38"/>
  <c r="AA62" i="38"/>
  <c r="Y62" i="38"/>
  <c r="W62" i="38"/>
  <c r="U62" i="38"/>
  <c r="S62" i="38"/>
  <c r="Q62" i="38"/>
  <c r="O62" i="38"/>
  <c r="M62" i="38"/>
  <c r="K62" i="38"/>
  <c r="I62" i="38"/>
  <c r="G62" i="38"/>
  <c r="E62" i="38"/>
  <c r="AQ61" i="38"/>
  <c r="AO61" i="38"/>
  <c r="AM61" i="38"/>
  <c r="AK61" i="38"/>
  <c r="AI61" i="38"/>
  <c r="AG61" i="38"/>
  <c r="AE61" i="38"/>
  <c r="AC61" i="38"/>
  <c r="AA61" i="38"/>
  <c r="Y61" i="38"/>
  <c r="W61" i="38"/>
  <c r="U61" i="38"/>
  <c r="S61" i="38"/>
  <c r="Q61" i="38"/>
  <c r="O61" i="38"/>
  <c r="M61" i="38"/>
  <c r="K61" i="38"/>
  <c r="I61" i="38"/>
  <c r="G61" i="38"/>
  <c r="E61" i="38"/>
  <c r="AQ60" i="38"/>
  <c r="AO60" i="38"/>
  <c r="AM60" i="38"/>
  <c r="AK60" i="38"/>
  <c r="AI60" i="38"/>
  <c r="AG60" i="38"/>
  <c r="AE60" i="38"/>
  <c r="AC60" i="38"/>
  <c r="AA60" i="38"/>
  <c r="Y60" i="38"/>
  <c r="W60" i="38"/>
  <c r="U60" i="38"/>
  <c r="S60" i="38"/>
  <c r="Q60" i="38"/>
  <c r="O60" i="38"/>
  <c r="M60" i="38"/>
  <c r="K60" i="38"/>
  <c r="I60" i="38"/>
  <c r="G60" i="38"/>
  <c r="E60" i="38"/>
  <c r="AQ59" i="38"/>
  <c r="AO59" i="38"/>
  <c r="AM59" i="38"/>
  <c r="AK59" i="38"/>
  <c r="AI59" i="38"/>
  <c r="AG59" i="38"/>
  <c r="AE59" i="38"/>
  <c r="AC59" i="38"/>
  <c r="AA59" i="38"/>
  <c r="Y59" i="38"/>
  <c r="W59" i="38"/>
  <c r="U59" i="38"/>
  <c r="S59" i="38"/>
  <c r="Q59" i="38"/>
  <c r="O59" i="38"/>
  <c r="M59" i="38"/>
  <c r="K59" i="38"/>
  <c r="I59" i="38"/>
  <c r="G59" i="38"/>
  <c r="E59" i="38"/>
  <c r="AQ58" i="38"/>
  <c r="AO58" i="38"/>
  <c r="AM58" i="38"/>
  <c r="AK58" i="38"/>
  <c r="AI58" i="38"/>
  <c r="AG58" i="38"/>
  <c r="AE58" i="38"/>
  <c r="AC58" i="38"/>
  <c r="AA58" i="38"/>
  <c r="Y58" i="38"/>
  <c r="W58" i="38"/>
  <c r="U58" i="38"/>
  <c r="S58" i="38"/>
  <c r="Q58" i="38"/>
  <c r="O58" i="38"/>
  <c r="M58" i="38"/>
  <c r="K58" i="38"/>
  <c r="I58" i="38"/>
  <c r="G58" i="38"/>
  <c r="E58" i="38"/>
  <c r="AQ57" i="38"/>
  <c r="AO57" i="38"/>
  <c r="AM57" i="38"/>
  <c r="AK57" i="38"/>
  <c r="AI57" i="38"/>
  <c r="AG57" i="38"/>
  <c r="AE57" i="38"/>
  <c r="AC57" i="38"/>
  <c r="AA57" i="38"/>
  <c r="Y57" i="38"/>
  <c r="W57" i="38"/>
  <c r="U57" i="38"/>
  <c r="S57" i="38"/>
  <c r="Q57" i="38"/>
  <c r="O57" i="38"/>
  <c r="M57" i="38"/>
  <c r="K57" i="38"/>
  <c r="I57" i="38"/>
  <c r="G57" i="38"/>
  <c r="E57" i="38"/>
  <c r="AQ56" i="38"/>
  <c r="AO56" i="38"/>
  <c r="AM56" i="38"/>
  <c r="AK56" i="38"/>
  <c r="AI56" i="38"/>
  <c r="AG56" i="38"/>
  <c r="AE56" i="38"/>
  <c r="AC56" i="38"/>
  <c r="AA56" i="38"/>
  <c r="Y56" i="38"/>
  <c r="W56" i="38"/>
  <c r="U56" i="38"/>
  <c r="S56" i="38"/>
  <c r="Q56" i="38"/>
  <c r="O56" i="38"/>
  <c r="M56" i="38"/>
  <c r="K56" i="38"/>
  <c r="I56" i="38"/>
  <c r="G56" i="38"/>
  <c r="E56" i="38"/>
  <c r="AQ55" i="38"/>
  <c r="AO55" i="38"/>
  <c r="AM55" i="38"/>
  <c r="AK55" i="38"/>
  <c r="AI55" i="38"/>
  <c r="AG55" i="38"/>
  <c r="AE55" i="38"/>
  <c r="AC55" i="38"/>
  <c r="AA55" i="38"/>
  <c r="Y55" i="38"/>
  <c r="W55" i="38"/>
  <c r="U55" i="38"/>
  <c r="S55" i="38"/>
  <c r="Q55" i="38"/>
  <c r="O55" i="38"/>
  <c r="M55" i="38"/>
  <c r="K55" i="38"/>
  <c r="I55" i="38"/>
  <c r="G55" i="38"/>
  <c r="E55" i="38"/>
  <c r="AQ54" i="38"/>
  <c r="AO54" i="38"/>
  <c r="AM54" i="38"/>
  <c r="AK54" i="38"/>
  <c r="AI54" i="38"/>
  <c r="AG54" i="38"/>
  <c r="AE54" i="38"/>
  <c r="AC54" i="38"/>
  <c r="AA54" i="38"/>
  <c r="Y54" i="38"/>
  <c r="W54" i="38"/>
  <c r="U54" i="38"/>
  <c r="S54" i="38"/>
  <c r="Q54" i="38"/>
  <c r="O54" i="38"/>
  <c r="M54" i="38"/>
  <c r="K54" i="38"/>
  <c r="I54" i="38"/>
  <c r="G54" i="38"/>
  <c r="E54" i="38"/>
  <c r="AQ53" i="38"/>
  <c r="AO53" i="38"/>
  <c r="AM53" i="38"/>
  <c r="AK53" i="38"/>
  <c r="AI53" i="38"/>
  <c r="AG53" i="38"/>
  <c r="AE53" i="38"/>
  <c r="AC53" i="38"/>
  <c r="AA53" i="38"/>
  <c r="Y53" i="38"/>
  <c r="W53" i="38"/>
  <c r="U53" i="38"/>
  <c r="S53" i="38"/>
  <c r="Q53" i="38"/>
  <c r="O53" i="38"/>
  <c r="M53" i="38"/>
  <c r="K53" i="38"/>
  <c r="I53" i="38"/>
  <c r="G53" i="38"/>
  <c r="E53" i="38"/>
  <c r="AQ52" i="38"/>
  <c r="AO52" i="38"/>
  <c r="AM52" i="38"/>
  <c r="AK52" i="38"/>
  <c r="AI52" i="38"/>
  <c r="AG52" i="38"/>
  <c r="AE52" i="38"/>
  <c r="AC52" i="38"/>
  <c r="AA52" i="38"/>
  <c r="Y52" i="38"/>
  <c r="W52" i="38"/>
  <c r="U52" i="38"/>
  <c r="S52" i="38"/>
  <c r="Q52" i="38"/>
  <c r="O52" i="38"/>
  <c r="M52" i="38"/>
  <c r="K52" i="38"/>
  <c r="I52" i="38"/>
  <c r="G52" i="38"/>
  <c r="E52" i="38"/>
  <c r="AQ51" i="38"/>
  <c r="AO51" i="38"/>
  <c r="AM51" i="38"/>
  <c r="AK51" i="38"/>
  <c r="AI51" i="38"/>
  <c r="AG51" i="38"/>
  <c r="AE51" i="38"/>
  <c r="AC51" i="38"/>
  <c r="AA51" i="38"/>
  <c r="Y51" i="38"/>
  <c r="W51" i="38"/>
  <c r="U51" i="38"/>
  <c r="S51" i="38"/>
  <c r="Q51" i="38"/>
  <c r="O51" i="38"/>
  <c r="M51" i="38"/>
  <c r="K51" i="38"/>
  <c r="I51" i="38"/>
  <c r="G51" i="38"/>
  <c r="E51" i="38"/>
  <c r="AQ50" i="38"/>
  <c r="AO50" i="38"/>
  <c r="AM50" i="38"/>
  <c r="AK50" i="38"/>
  <c r="AI50" i="38"/>
  <c r="AG50" i="38"/>
  <c r="AE50" i="38"/>
  <c r="AC50" i="38"/>
  <c r="AA50" i="38"/>
  <c r="Y50" i="38"/>
  <c r="W50" i="38"/>
  <c r="U50" i="38"/>
  <c r="S50" i="38"/>
  <c r="Q50" i="38"/>
  <c r="O50" i="38"/>
  <c r="M50" i="38"/>
  <c r="K50" i="38"/>
  <c r="I50" i="38"/>
  <c r="G50" i="38"/>
  <c r="E50" i="38"/>
  <c r="AQ49" i="38"/>
  <c r="AO49" i="38"/>
  <c r="AM49" i="38"/>
  <c r="AK49" i="38"/>
  <c r="AI49" i="38"/>
  <c r="AG49" i="38"/>
  <c r="AE49" i="38"/>
  <c r="AC49" i="38"/>
  <c r="AA49" i="38"/>
  <c r="Y49" i="38"/>
  <c r="W49" i="38"/>
  <c r="U49" i="38"/>
  <c r="S49" i="38"/>
  <c r="Q49" i="38"/>
  <c r="O49" i="38"/>
  <c r="M49" i="38"/>
  <c r="K49" i="38"/>
  <c r="I49" i="38"/>
  <c r="G49" i="38"/>
  <c r="E49" i="38"/>
  <c r="AQ48" i="38"/>
  <c r="AO48" i="38"/>
  <c r="AM48" i="38"/>
  <c r="AK48" i="38"/>
  <c r="AI48" i="38"/>
  <c r="AG48" i="38"/>
  <c r="AE48" i="38"/>
  <c r="AC48" i="38"/>
  <c r="AA48" i="38"/>
  <c r="Y48" i="38"/>
  <c r="W48" i="38"/>
  <c r="U48" i="38"/>
  <c r="S48" i="38"/>
  <c r="Q48" i="38"/>
  <c r="O48" i="38"/>
  <c r="M48" i="38"/>
  <c r="K48" i="38"/>
  <c r="I48" i="38"/>
  <c r="G48" i="38"/>
  <c r="E48" i="38"/>
  <c r="AQ47" i="38"/>
  <c r="AO47" i="38"/>
  <c r="AM47" i="38"/>
  <c r="AK47" i="38"/>
  <c r="AI47" i="38"/>
  <c r="AG47" i="38"/>
  <c r="AE47" i="38"/>
  <c r="AC47" i="38"/>
  <c r="AA47" i="38"/>
  <c r="Y47" i="38"/>
  <c r="W47" i="38"/>
  <c r="U47" i="38"/>
  <c r="S47" i="38"/>
  <c r="Q47" i="38"/>
  <c r="O47" i="38"/>
  <c r="M47" i="38"/>
  <c r="K47" i="38"/>
  <c r="I47" i="38"/>
  <c r="G47" i="38"/>
  <c r="E47" i="38"/>
  <c r="AQ46" i="38"/>
  <c r="AO46" i="38"/>
  <c r="AM46" i="38"/>
  <c r="AK46" i="38"/>
  <c r="AI46" i="38"/>
  <c r="AG46" i="38"/>
  <c r="AE46" i="38"/>
  <c r="AC46" i="38"/>
  <c r="AA46" i="38"/>
  <c r="Y46" i="38"/>
  <c r="W46" i="38"/>
  <c r="U46" i="38"/>
  <c r="S46" i="38"/>
  <c r="Q46" i="38"/>
  <c r="O46" i="38"/>
  <c r="M46" i="38"/>
  <c r="K46" i="38"/>
  <c r="I46" i="38"/>
  <c r="G46" i="38"/>
  <c r="E46" i="38"/>
  <c r="AQ45" i="38"/>
  <c r="AO45" i="38"/>
  <c r="AM45" i="38"/>
  <c r="AK45" i="38"/>
  <c r="AI45" i="38"/>
  <c r="AG45" i="38"/>
  <c r="AE45" i="38"/>
  <c r="AC45" i="38"/>
  <c r="AA45" i="38"/>
  <c r="Y45" i="38"/>
  <c r="W45" i="38"/>
  <c r="U45" i="38"/>
  <c r="S45" i="38"/>
  <c r="Q45" i="38"/>
  <c r="O45" i="38"/>
  <c r="M45" i="38"/>
  <c r="K45" i="38"/>
  <c r="I45" i="38"/>
  <c r="G45" i="38"/>
  <c r="E45" i="38"/>
  <c r="AQ44" i="38"/>
  <c r="AO44" i="38"/>
  <c r="AM44" i="38"/>
  <c r="AK44" i="38"/>
  <c r="AI44" i="38"/>
  <c r="AG44" i="38"/>
  <c r="AE44" i="38"/>
  <c r="AC44" i="38"/>
  <c r="AA44" i="38"/>
  <c r="Y44" i="38"/>
  <c r="W44" i="38"/>
  <c r="U44" i="38"/>
  <c r="S44" i="38"/>
  <c r="Q44" i="38"/>
  <c r="O44" i="38"/>
  <c r="M44" i="38"/>
  <c r="K44" i="38"/>
  <c r="I44" i="38"/>
  <c r="G44" i="38"/>
  <c r="E44" i="38"/>
  <c r="AQ43" i="38"/>
  <c r="AO43" i="38"/>
  <c r="AM43" i="38"/>
  <c r="AK43" i="38"/>
  <c r="AI43" i="38"/>
  <c r="AG43" i="38"/>
  <c r="AE43" i="38"/>
  <c r="AC43" i="38"/>
  <c r="AA43" i="38"/>
  <c r="Y43" i="38"/>
  <c r="W43" i="38"/>
  <c r="U43" i="38"/>
  <c r="S43" i="38"/>
  <c r="Q43" i="38"/>
  <c r="O43" i="38"/>
  <c r="M43" i="38"/>
  <c r="K43" i="38"/>
  <c r="I43" i="38"/>
  <c r="G43" i="38"/>
  <c r="E43" i="38"/>
  <c r="AQ42" i="38"/>
  <c r="AO42" i="38"/>
  <c r="AM42" i="38"/>
  <c r="AK42" i="38"/>
  <c r="AI42" i="38"/>
  <c r="AG42" i="38"/>
  <c r="AE42" i="38"/>
  <c r="AC42" i="38"/>
  <c r="AA42" i="38"/>
  <c r="Y42" i="38"/>
  <c r="W42" i="38"/>
  <c r="U42" i="38"/>
  <c r="S42" i="38"/>
  <c r="Q42" i="38"/>
  <c r="O42" i="38"/>
  <c r="M42" i="38"/>
  <c r="K42" i="38"/>
  <c r="I42" i="38"/>
  <c r="G42" i="38"/>
  <c r="E42" i="38"/>
  <c r="AQ41" i="38"/>
  <c r="AO41" i="38"/>
  <c r="AM41" i="38"/>
  <c r="AK41" i="38"/>
  <c r="AI41" i="38"/>
  <c r="AG41" i="38"/>
  <c r="AE41" i="38"/>
  <c r="AC41" i="38"/>
  <c r="AA41" i="38"/>
  <c r="Y41" i="38"/>
  <c r="W41" i="38"/>
  <c r="U41" i="38"/>
  <c r="S41" i="38"/>
  <c r="Q41" i="38"/>
  <c r="O41" i="38"/>
  <c r="M41" i="38"/>
  <c r="K41" i="38"/>
  <c r="I41" i="38"/>
  <c r="G41" i="38"/>
  <c r="E41" i="38"/>
  <c r="AQ40" i="38"/>
  <c r="AO40" i="38"/>
  <c r="AM40" i="38"/>
  <c r="AK40" i="38"/>
  <c r="AI40" i="38"/>
  <c r="AG40" i="38"/>
  <c r="AE40" i="38"/>
  <c r="AC40" i="38"/>
  <c r="AA40" i="38"/>
  <c r="Y40" i="38"/>
  <c r="W40" i="38"/>
  <c r="U40" i="38"/>
  <c r="S40" i="38"/>
  <c r="Q40" i="38"/>
  <c r="O40" i="38"/>
  <c r="M40" i="38"/>
  <c r="K40" i="38"/>
  <c r="I40" i="38"/>
  <c r="G40" i="38"/>
  <c r="E40" i="38"/>
  <c r="AQ39" i="38"/>
  <c r="AO39" i="38"/>
  <c r="AM39" i="38"/>
  <c r="AK39" i="38"/>
  <c r="AI39" i="38"/>
  <c r="AG39" i="38"/>
  <c r="AE39" i="38"/>
  <c r="AC39" i="38"/>
  <c r="AA39" i="38"/>
  <c r="Y39" i="38"/>
  <c r="W39" i="38"/>
  <c r="U39" i="38"/>
  <c r="S39" i="38"/>
  <c r="Q39" i="38"/>
  <c r="O39" i="38"/>
  <c r="M39" i="38"/>
  <c r="K39" i="38"/>
  <c r="I39" i="38"/>
  <c r="G39" i="38"/>
  <c r="E39" i="38"/>
  <c r="AQ38" i="38"/>
  <c r="AO38" i="38"/>
  <c r="AM38" i="38"/>
  <c r="AK38" i="38"/>
  <c r="AI38" i="38"/>
  <c r="AG38" i="38"/>
  <c r="AE38" i="38"/>
  <c r="AC38" i="38"/>
  <c r="AA38" i="38"/>
  <c r="Y38" i="38"/>
  <c r="W38" i="38"/>
  <c r="U38" i="38"/>
  <c r="S38" i="38"/>
  <c r="Q38" i="38"/>
  <c r="O38" i="38"/>
  <c r="M38" i="38"/>
  <c r="K38" i="38"/>
  <c r="I38" i="38"/>
  <c r="G38" i="38"/>
  <c r="E38" i="38"/>
  <c r="AQ37" i="38"/>
  <c r="AO37" i="38"/>
  <c r="AM37" i="38"/>
  <c r="AK37" i="38"/>
  <c r="AI37" i="38"/>
  <c r="AG37" i="38"/>
  <c r="AE37" i="38"/>
  <c r="AC37" i="38"/>
  <c r="AA37" i="38"/>
  <c r="Y37" i="38"/>
  <c r="W37" i="38"/>
  <c r="U37" i="38"/>
  <c r="S37" i="38"/>
  <c r="Q37" i="38"/>
  <c r="O37" i="38"/>
  <c r="M37" i="38"/>
  <c r="K37" i="38"/>
  <c r="I37" i="38"/>
  <c r="G37" i="38"/>
  <c r="E37" i="38"/>
  <c r="AQ34" i="38"/>
  <c r="AO34" i="38"/>
  <c r="AM34" i="38"/>
  <c r="AK34" i="38"/>
  <c r="AI34" i="38"/>
  <c r="AG34" i="38"/>
  <c r="AE34" i="38"/>
  <c r="AC34" i="38"/>
  <c r="AA34" i="38"/>
  <c r="Y34" i="38"/>
  <c r="W34" i="38"/>
  <c r="U34" i="38"/>
  <c r="S34" i="38"/>
  <c r="Q34" i="38"/>
  <c r="O34" i="38"/>
  <c r="M34" i="38"/>
  <c r="K34" i="38"/>
  <c r="I34" i="38"/>
  <c r="G34" i="38"/>
  <c r="AQ33" i="38"/>
  <c r="AO33" i="38"/>
  <c r="AM33" i="38"/>
  <c r="AK33" i="38"/>
  <c r="AI33" i="38"/>
  <c r="AG33" i="38"/>
  <c r="AE33" i="38"/>
  <c r="AC33" i="38"/>
  <c r="AA33" i="38"/>
  <c r="Y33" i="38"/>
  <c r="W33" i="38"/>
  <c r="U33" i="38"/>
  <c r="S33" i="38"/>
  <c r="Q33" i="38"/>
  <c r="O33" i="38"/>
  <c r="M33" i="38"/>
  <c r="K33" i="38"/>
  <c r="I33" i="38"/>
  <c r="G33" i="38"/>
  <c r="AQ32" i="38"/>
  <c r="AO32" i="38"/>
  <c r="AM32" i="38"/>
  <c r="AK32" i="38"/>
  <c r="AI32" i="38"/>
  <c r="AG32" i="38"/>
  <c r="AE32" i="38"/>
  <c r="AC32" i="38"/>
  <c r="AA32" i="38"/>
  <c r="Y32" i="38"/>
  <c r="W32" i="38"/>
  <c r="U32" i="38"/>
  <c r="S32" i="38"/>
  <c r="Q32" i="38"/>
  <c r="O32" i="38"/>
  <c r="M32" i="38"/>
  <c r="K32" i="38"/>
  <c r="I32" i="38"/>
  <c r="G32" i="38"/>
  <c r="E32" i="38"/>
  <c r="AQ31" i="38"/>
  <c r="AO31" i="38"/>
  <c r="AM31" i="38"/>
  <c r="AK31" i="38"/>
  <c r="AI31" i="38"/>
  <c r="AG31" i="38"/>
  <c r="AE31" i="38"/>
  <c r="AC31" i="38"/>
  <c r="AA31" i="38"/>
  <c r="Y31" i="38"/>
  <c r="W31" i="38"/>
  <c r="U31" i="38"/>
  <c r="S31" i="38"/>
  <c r="Q31" i="38"/>
  <c r="AQ30" i="38"/>
  <c r="AO30" i="38"/>
  <c r="AM30" i="38"/>
  <c r="AK30" i="38"/>
  <c r="AI30" i="38"/>
  <c r="AG30" i="38"/>
  <c r="AE30" i="38"/>
  <c r="AC30" i="38"/>
  <c r="AA30" i="38"/>
  <c r="Y30" i="38"/>
  <c r="W30" i="38"/>
  <c r="U30" i="38"/>
  <c r="S30" i="38"/>
  <c r="Q30" i="38"/>
  <c r="O30" i="38"/>
  <c r="AQ29" i="38"/>
  <c r="AO29" i="38"/>
  <c r="AM29" i="38"/>
  <c r="AK29" i="38"/>
  <c r="AI29" i="38"/>
  <c r="AG29" i="38"/>
  <c r="AE29" i="38"/>
  <c r="AC29" i="38"/>
  <c r="Y29" i="38"/>
  <c r="W29" i="38"/>
  <c r="U29" i="38"/>
  <c r="S29" i="38"/>
  <c r="Q29" i="38"/>
  <c r="O29" i="38"/>
  <c r="AQ27" i="38"/>
  <c r="AO27" i="38"/>
  <c r="AM27" i="38"/>
  <c r="AK27" i="38"/>
  <c r="AI27" i="38"/>
  <c r="AG27" i="38"/>
  <c r="AE27" i="38"/>
  <c r="AC27" i="38"/>
  <c r="Y27" i="38"/>
  <c r="W27" i="38"/>
  <c r="U27" i="38"/>
  <c r="S27" i="38"/>
  <c r="Q27" i="38"/>
  <c r="AQ25" i="38"/>
  <c r="AO25" i="38"/>
  <c r="AM25" i="38"/>
  <c r="AK25" i="38"/>
  <c r="AI25" i="38"/>
  <c r="AG25" i="38"/>
  <c r="AE25" i="38"/>
  <c r="AC25" i="38"/>
  <c r="AA25" i="38"/>
  <c r="Y25" i="38"/>
  <c r="W25" i="38"/>
  <c r="U25" i="38"/>
  <c r="S25" i="38"/>
  <c r="Q25" i="38"/>
  <c r="O25" i="38"/>
  <c r="M25" i="38"/>
  <c r="K25" i="38"/>
  <c r="I25" i="38"/>
  <c r="G25" i="38"/>
  <c r="E25" i="38"/>
  <c r="AQ24" i="38"/>
  <c r="AO24" i="38"/>
  <c r="AM24" i="38"/>
  <c r="AK24" i="38"/>
  <c r="AI24" i="38"/>
  <c r="AG24" i="38"/>
  <c r="AE24" i="38"/>
  <c r="AC24" i="38"/>
  <c r="AA24" i="38"/>
  <c r="Y24" i="38"/>
  <c r="W24" i="38"/>
  <c r="U24" i="38"/>
  <c r="S24" i="38"/>
  <c r="Q24" i="38"/>
  <c r="O24" i="38"/>
  <c r="M24" i="38"/>
  <c r="K24" i="38"/>
  <c r="I24" i="38"/>
  <c r="G24" i="38"/>
  <c r="AQ23" i="38"/>
  <c r="AO23" i="38"/>
  <c r="AM23" i="38"/>
  <c r="AK23" i="38"/>
  <c r="AI23" i="38"/>
  <c r="AG23" i="38"/>
  <c r="AE23" i="38"/>
  <c r="AC23" i="38"/>
  <c r="AA23" i="38"/>
  <c r="Y23" i="38"/>
  <c r="W23" i="38"/>
  <c r="U23" i="38"/>
  <c r="S23" i="38"/>
  <c r="Q23" i="38"/>
  <c r="O23" i="38"/>
  <c r="M23" i="38"/>
  <c r="K23" i="38"/>
  <c r="I23" i="38"/>
  <c r="G23" i="38"/>
  <c r="AQ22" i="38"/>
  <c r="AO22" i="38"/>
  <c r="AM22" i="38"/>
  <c r="AK22" i="38"/>
  <c r="AI22" i="38"/>
  <c r="AG22" i="38"/>
  <c r="AE22" i="38"/>
  <c r="AC22" i="38"/>
  <c r="AA22" i="38"/>
  <c r="Y22" i="38"/>
  <c r="W22" i="38"/>
  <c r="U22" i="38"/>
  <c r="S22" i="38"/>
  <c r="Q22" i="38"/>
  <c r="O22" i="38"/>
  <c r="M22" i="38"/>
  <c r="K22" i="38"/>
  <c r="I22" i="38"/>
  <c r="G22" i="38"/>
  <c r="E22" i="38"/>
  <c r="AQ21" i="38"/>
  <c r="AO21" i="38"/>
  <c r="AM21" i="38"/>
  <c r="AK21" i="38"/>
  <c r="AI21" i="38"/>
  <c r="AG21" i="38"/>
  <c r="AE21" i="38"/>
  <c r="AC21" i="38"/>
  <c r="AA21" i="38"/>
  <c r="Y21" i="38"/>
  <c r="W21" i="38"/>
  <c r="U21" i="38"/>
  <c r="S21" i="38"/>
  <c r="Q21" i="38"/>
  <c r="O21" i="38"/>
  <c r="M21" i="38"/>
  <c r="K21" i="38"/>
  <c r="I21" i="38"/>
  <c r="G21" i="38"/>
  <c r="E21" i="38"/>
  <c r="AQ20" i="38"/>
  <c r="AO20" i="38"/>
  <c r="AM20" i="38"/>
  <c r="AK20" i="38"/>
  <c r="AI20" i="38"/>
  <c r="AG20" i="38"/>
  <c r="AE20" i="38"/>
  <c r="AC20" i="38"/>
  <c r="AA20" i="38"/>
  <c r="Y20" i="38"/>
  <c r="W20" i="38"/>
  <c r="U20" i="38"/>
  <c r="S20" i="38"/>
  <c r="Q20" i="38"/>
  <c r="O20" i="38"/>
  <c r="M20" i="38"/>
  <c r="K20" i="38"/>
  <c r="I20" i="38"/>
  <c r="G20" i="38"/>
  <c r="E20" i="38"/>
  <c r="AQ19" i="38"/>
  <c r="AO19" i="38"/>
  <c r="AM19" i="38"/>
  <c r="AK19" i="38"/>
  <c r="AI19" i="38"/>
  <c r="AG19" i="38"/>
  <c r="AE19" i="38"/>
  <c r="AC19" i="38"/>
  <c r="AA19" i="38"/>
  <c r="Y19" i="38"/>
  <c r="W19" i="38"/>
  <c r="U19" i="38"/>
  <c r="S19" i="38"/>
  <c r="Q19" i="38"/>
  <c r="O19" i="38"/>
  <c r="M19" i="38"/>
  <c r="K19" i="38"/>
  <c r="I19" i="38"/>
  <c r="G19" i="38"/>
  <c r="E19" i="38"/>
  <c r="AQ18" i="38"/>
  <c r="AO18" i="38"/>
  <c r="AM18" i="38"/>
  <c r="AK18" i="38"/>
  <c r="AI18" i="38"/>
  <c r="AG18" i="38"/>
  <c r="AE18" i="38"/>
  <c r="AC18" i="38"/>
  <c r="AA18" i="38"/>
  <c r="Y18" i="38"/>
  <c r="W18" i="38"/>
  <c r="U18" i="38"/>
  <c r="S18" i="38"/>
  <c r="Q18" i="38"/>
  <c r="O18" i="38"/>
  <c r="M18" i="38"/>
  <c r="K18" i="38"/>
  <c r="I18" i="38"/>
  <c r="G18" i="38"/>
  <c r="E18" i="38"/>
  <c r="AQ17" i="38"/>
  <c r="AO17" i="38"/>
  <c r="AM17" i="38"/>
  <c r="AK17" i="38"/>
  <c r="AI17" i="38"/>
  <c r="AG17" i="38"/>
  <c r="AE17" i="38"/>
  <c r="AC17" i="38"/>
  <c r="AA17" i="38"/>
  <c r="Y17" i="38"/>
  <c r="W17" i="38"/>
  <c r="U17" i="38"/>
  <c r="S17" i="38"/>
  <c r="Q17" i="38"/>
  <c r="O17" i="38"/>
  <c r="M17" i="38"/>
  <c r="K17" i="38"/>
  <c r="I17" i="38"/>
  <c r="G17" i="38"/>
  <c r="E17" i="38"/>
  <c r="AQ16" i="38"/>
  <c r="AO16" i="38"/>
  <c r="AM16" i="38"/>
  <c r="AK16" i="38"/>
  <c r="AI16" i="38"/>
  <c r="AG16" i="38"/>
  <c r="AE16" i="38"/>
  <c r="AC16" i="38"/>
  <c r="AA16" i="38"/>
  <c r="Y16" i="38"/>
  <c r="W16" i="38"/>
  <c r="U16" i="38"/>
  <c r="S16" i="38"/>
  <c r="Q16" i="38"/>
  <c r="O16" i="38"/>
  <c r="M16" i="38"/>
  <c r="K16" i="38"/>
  <c r="I16" i="38"/>
  <c r="G16" i="38"/>
  <c r="E16" i="38"/>
  <c r="AQ15" i="38"/>
  <c r="AO15" i="38"/>
  <c r="AM15" i="38"/>
  <c r="AK15" i="38"/>
  <c r="AI15" i="38"/>
  <c r="AG15" i="38"/>
  <c r="AE15" i="38"/>
  <c r="AC15" i="38"/>
  <c r="AA15" i="38"/>
  <c r="Y15" i="38"/>
  <c r="W15" i="38"/>
  <c r="U15" i="38"/>
  <c r="S15" i="38"/>
  <c r="Q15" i="38"/>
  <c r="O15" i="38"/>
  <c r="M15" i="38"/>
  <c r="K15" i="38"/>
  <c r="I15" i="38"/>
  <c r="G15" i="38"/>
  <c r="E15" i="38"/>
  <c r="AQ14" i="38"/>
  <c r="AO14" i="38"/>
  <c r="AM14" i="38"/>
  <c r="AK14" i="38"/>
  <c r="AI14" i="38"/>
  <c r="AG14" i="38"/>
  <c r="AE14" i="38"/>
  <c r="AC14" i="38"/>
  <c r="AA14" i="38"/>
  <c r="Y14" i="38"/>
  <c r="W14" i="38"/>
  <c r="U14" i="38"/>
  <c r="S14" i="38"/>
  <c r="Q14" i="38"/>
  <c r="O14" i="38"/>
  <c r="M14" i="38"/>
  <c r="K14" i="38"/>
  <c r="I14" i="38"/>
  <c r="G14" i="38"/>
  <c r="E14" i="38"/>
  <c r="AQ13" i="38"/>
  <c r="AO13" i="38"/>
  <c r="AM13" i="38"/>
  <c r="AK13" i="38"/>
  <c r="AI13" i="38"/>
  <c r="AG13" i="38"/>
  <c r="AE13" i="38"/>
  <c r="AC13" i="38"/>
  <c r="AA13" i="38"/>
  <c r="Y13" i="38"/>
  <c r="W13" i="38"/>
  <c r="U13" i="38"/>
  <c r="S13" i="38"/>
  <c r="Q13" i="38"/>
  <c r="O13" i="38"/>
  <c r="M13" i="38"/>
  <c r="K13" i="38"/>
  <c r="I13" i="38"/>
  <c r="G13" i="38"/>
  <c r="E13" i="38"/>
  <c r="AQ12" i="38"/>
  <c r="AO12" i="38"/>
  <c r="AM12" i="38"/>
  <c r="AK12" i="38"/>
  <c r="AI12" i="38"/>
  <c r="AG12" i="38"/>
  <c r="AE12" i="38"/>
  <c r="AC12" i="38"/>
  <c r="AA12" i="38"/>
  <c r="Y12" i="38"/>
  <c r="W12" i="38"/>
  <c r="U12" i="38"/>
  <c r="S12" i="38"/>
  <c r="Q12" i="38"/>
  <c r="O12" i="38"/>
  <c r="M12" i="38"/>
  <c r="K12" i="38"/>
  <c r="I12" i="38"/>
  <c r="G12" i="38"/>
  <c r="E12" i="38"/>
  <c r="AQ10" i="38"/>
  <c r="AO10" i="38"/>
  <c r="AM10" i="38"/>
  <c r="AK10" i="38"/>
  <c r="AI10" i="38"/>
  <c r="AG10" i="38"/>
  <c r="AE10" i="38"/>
  <c r="AC10" i="38"/>
  <c r="AA10" i="38"/>
  <c r="Y10" i="38"/>
  <c r="W10" i="38"/>
  <c r="U10" i="38"/>
  <c r="S10" i="38"/>
  <c r="Q10" i="38"/>
  <c r="O10" i="38"/>
  <c r="M10" i="38"/>
  <c r="K10" i="38"/>
  <c r="I10" i="38"/>
  <c r="G10" i="38"/>
  <c r="E10" i="38"/>
  <c r="AA3" i="38" l="1"/>
  <c r="AA1" i="38"/>
  <c r="AA2" i="38"/>
  <c r="AA5" i="38" s="1"/>
  <c r="E23" i="38" l="1"/>
  <c r="E24" i="38"/>
  <c r="AE26" i="38"/>
  <c r="M26" i="38"/>
  <c r="AM26" i="38"/>
  <c r="AC26" i="38"/>
  <c r="K26" i="38"/>
  <c r="AQ26" i="38"/>
  <c r="Y26" i="38"/>
  <c r="I26" i="38"/>
  <c r="E26" i="38"/>
  <c r="AK26" i="38"/>
  <c r="AK1" i="38" s="1"/>
  <c r="AK3" i="38" s="1"/>
  <c r="AO26" i="38"/>
  <c r="W26" i="38"/>
  <c r="G26" i="38"/>
  <c r="U26" i="38"/>
  <c r="B28" i="38"/>
  <c r="AI26" i="38"/>
  <c r="Q26" i="38"/>
  <c r="AG26" i="38"/>
  <c r="O26" i="38"/>
  <c r="O1" i="38" s="1"/>
  <c r="O2" i="38" s="1"/>
  <c r="S26" i="38"/>
  <c r="AA4" i="38"/>
  <c r="AA6" i="38"/>
  <c r="E1" i="38" l="1"/>
  <c r="E2" i="38" s="1"/>
  <c r="AK2" i="38"/>
  <c r="AK5" i="38" s="1"/>
  <c r="O3" i="38"/>
  <c r="O6" i="38" s="1"/>
  <c r="Q28" i="38"/>
  <c r="Q1" i="38" s="1"/>
  <c r="Q2" i="38" s="1"/>
  <c r="U28" i="38"/>
  <c r="U1" i="38" s="1"/>
  <c r="U2" i="38" s="1"/>
  <c r="AE28" i="38"/>
  <c r="AI28" i="38"/>
  <c r="AC28" i="38"/>
  <c r="S28" i="38"/>
  <c r="M28" i="38"/>
  <c r="M1" i="38" s="1"/>
  <c r="G28" i="38"/>
  <c r="G1" i="38" s="1"/>
  <c r="G2" i="38" s="1"/>
  <c r="AQ28" i="38"/>
  <c r="AO28" i="38"/>
  <c r="Y28" i="38"/>
  <c r="I28" i="38"/>
  <c r="I4" i="38" s="1"/>
  <c r="AM28" i="38"/>
  <c r="AM6" i="38" s="1"/>
  <c r="K28" i="38"/>
  <c r="AG28" i="38"/>
  <c r="AG1" i="38" s="1"/>
  <c r="W28" i="38"/>
  <c r="E3" i="38" l="1"/>
  <c r="E4" i="38" s="1"/>
  <c r="AK6" i="38"/>
  <c r="AK4" i="38"/>
  <c r="M4" i="38"/>
  <c r="AM5" i="38"/>
  <c r="AM1" i="38"/>
  <c r="M2" i="38"/>
  <c r="I5" i="38"/>
  <c r="W1" i="38"/>
  <c r="W2" i="38" s="1"/>
  <c r="M5" i="38"/>
  <c r="AM4" i="38"/>
  <c r="AQ1" i="38"/>
  <c r="AQ2" i="38" s="1"/>
  <c r="Q3" i="38"/>
  <c r="AG4" i="38"/>
  <c r="AG5" i="38"/>
  <c r="O5" i="38"/>
  <c r="AG6" i="38"/>
  <c r="O4" i="38"/>
  <c r="G3" i="38"/>
  <c r="G6" i="38" s="1"/>
  <c r="K1" i="38"/>
  <c r="K3" i="38" s="1"/>
  <c r="S1" i="38"/>
  <c r="S3" i="38" s="1"/>
  <c r="AG3" i="38"/>
  <c r="AM2" i="38"/>
  <c r="AC1" i="38"/>
  <c r="AC3" i="38" s="1"/>
  <c r="M3" i="38"/>
  <c r="AM3" i="38"/>
  <c r="I1" i="38"/>
  <c r="I3" i="38"/>
  <c r="I6" i="38"/>
  <c r="I2" i="38"/>
  <c r="AI2" i="38"/>
  <c r="AI6" i="38"/>
  <c r="AI5" i="38"/>
  <c r="AI4" i="38"/>
  <c r="AI3" i="38"/>
  <c r="AI1" i="38"/>
  <c r="M6" i="38"/>
  <c r="Y1" i="38"/>
  <c r="Y2" i="38" s="1"/>
  <c r="AE1" i="38"/>
  <c r="AE3" i="38" s="1"/>
  <c r="AG2" i="38"/>
  <c r="U3" i="38"/>
  <c r="AO1" i="38"/>
  <c r="AO3" i="38" s="1"/>
  <c r="E5" i="38" l="1"/>
  <c r="E6" i="38"/>
  <c r="AC2" i="38"/>
  <c r="AC6" i="38" s="1"/>
  <c r="S2" i="38"/>
  <c r="S6" i="38" s="1"/>
  <c r="AE2" i="38"/>
  <c r="AE5" i="38" s="1"/>
  <c r="Y3" i="38"/>
  <c r="Y6" i="38" s="1"/>
  <c r="AQ3" i="38"/>
  <c r="AQ6" i="38" s="1"/>
  <c r="K2" i="38"/>
  <c r="K4" i="38" s="1"/>
  <c r="AO2" i="38"/>
  <c r="AO6" i="38" s="1"/>
  <c r="G4" i="38"/>
  <c r="G5" i="38"/>
  <c r="W3" i="38"/>
  <c r="W6" i="38" s="1"/>
  <c r="U5" i="38"/>
  <c r="U4" i="38"/>
  <c r="Q5" i="38"/>
  <c r="Q6" i="38"/>
  <c r="Q4" i="38"/>
  <c r="U6" i="38"/>
  <c r="AE4" i="38" l="1"/>
  <c r="AE6" i="38"/>
  <c r="AC5" i="38"/>
  <c r="AC4" i="38"/>
  <c r="S5" i="38"/>
  <c r="S4" i="38"/>
  <c r="AQ4" i="38"/>
  <c r="Y4" i="38"/>
  <c r="Y5" i="38"/>
  <c r="AQ5" i="38"/>
  <c r="AO4" i="38"/>
  <c r="K6" i="38"/>
  <c r="AO5" i="38"/>
  <c r="K5" i="38"/>
  <c r="W4" i="38"/>
  <c r="W5" i="38"/>
  <c r="F54" i="37" l="1"/>
  <c r="F57" i="37"/>
  <c r="F56" i="37"/>
  <c r="F53" i="37"/>
  <c r="F51" i="37"/>
  <c r="F50" i="37"/>
  <c r="F48" i="37"/>
  <c r="F47" i="37"/>
  <c r="F45" i="37"/>
  <c r="F44" i="37"/>
  <c r="J30" i="37" l="1"/>
  <c r="G37" i="37"/>
  <c r="H36" i="21"/>
  <c r="G36" i="37"/>
  <c r="H35" i="21"/>
  <c r="G39" i="37"/>
  <c r="G40" i="37"/>
  <c r="H39" i="21"/>
  <c r="J24" i="21"/>
  <c r="J29" i="37"/>
  <c r="E22" i="37"/>
  <c r="E21" i="37"/>
  <c r="E20" i="37"/>
  <c r="E19" i="37"/>
  <c r="E18" i="37"/>
  <c r="E17" i="37"/>
  <c r="E16" i="37"/>
  <c r="E15" i="37"/>
  <c r="E14" i="37"/>
  <c r="E13" i="37"/>
  <c r="E12" i="37"/>
  <c r="E10" i="37"/>
  <c r="E1" i="37" l="1"/>
  <c r="E3" i="37" s="1"/>
  <c r="E2" i="37" l="1"/>
  <c r="E5" i="37" l="1"/>
  <c r="E4" i="37"/>
  <c r="E6" i="37"/>
  <c r="AM9" i="31"/>
  <c r="AM8" i="31"/>
  <c r="AM7" i="31"/>
  <c r="AM6" i="31"/>
  <c r="AM5" i="31"/>
  <c r="AL27" i="31"/>
  <c r="O25" i="31" s="1"/>
  <c r="H25" i="31" s="1"/>
  <c r="H62" i="31" s="1"/>
  <c r="H99" i="31" s="1"/>
  <c r="H135" i="31" s="1"/>
  <c r="AL28" i="31"/>
  <c r="AL22" i="31"/>
  <c r="U25" i="31" l="1"/>
  <c r="AA25" i="31"/>
  <c r="AG25" i="31"/>
  <c r="D17" i="36"/>
  <c r="D14" i="36"/>
  <c r="D18" i="36"/>
  <c r="E10" i="36"/>
  <c r="E9" i="36"/>
  <c r="H7" i="36"/>
  <c r="E7" i="36"/>
  <c r="F4" i="36"/>
  <c r="C4" i="35"/>
  <c r="B5" i="35"/>
  <c r="B6" i="35" s="1"/>
  <c r="B7" i="35" s="1"/>
  <c r="J56" i="32"/>
  <c r="D56" i="32"/>
  <c r="K52" i="32"/>
  <c r="Q52" i="32" s="1"/>
  <c r="E52" i="32"/>
  <c r="F52" i="32" s="1"/>
  <c r="K51" i="32"/>
  <c r="E47" i="32"/>
  <c r="K47" i="32" s="1"/>
  <c r="Q47" i="32" s="1"/>
  <c r="W47" i="32" s="1"/>
  <c r="W44" i="32"/>
  <c r="W46" i="32" s="1"/>
  <c r="V44" i="32"/>
  <c r="Q44" i="32"/>
  <c r="K44" i="32"/>
  <c r="D44" i="32"/>
  <c r="F44" i="32" s="1"/>
  <c r="Q43" i="32"/>
  <c r="K43" i="32"/>
  <c r="P44" i="32"/>
  <c r="Q42" i="32"/>
  <c r="K42" i="32"/>
  <c r="E42" i="32"/>
  <c r="E46" i="32" s="1"/>
  <c r="X39" i="32"/>
  <c r="R39" i="32"/>
  <c r="L39" i="32"/>
  <c r="F39" i="32"/>
  <c r="AB32" i="32"/>
  <c r="AB31" i="32"/>
  <c r="AB30" i="32"/>
  <c r="AB29" i="32"/>
  <c r="AB59" i="32"/>
  <c r="AB58" i="32"/>
  <c r="D24" i="32"/>
  <c r="J24" i="32" s="1"/>
  <c r="E19" i="32"/>
  <c r="D23" i="32"/>
  <c r="J23" i="32" s="1"/>
  <c r="P23" i="32" s="1"/>
  <c r="V23" i="32" s="1"/>
  <c r="E51" i="32"/>
  <c r="F51" i="32" s="1"/>
  <c r="AB53" i="32"/>
  <c r="K19" i="32"/>
  <c r="W18" i="32"/>
  <c r="Q18" i="32"/>
  <c r="K18" i="32"/>
  <c r="E18" i="32"/>
  <c r="AE16" i="32"/>
  <c r="AD16" i="32"/>
  <c r="AC16" i="32"/>
  <c r="AB16" i="32"/>
  <c r="AE15" i="32"/>
  <c r="AD15" i="32"/>
  <c r="AC15" i="32"/>
  <c r="AB15" i="32"/>
  <c r="K14" i="32"/>
  <c r="Q14" i="32" s="1"/>
  <c r="W14" i="32" s="1"/>
  <c r="W10" i="32"/>
  <c r="U10" i="32"/>
  <c r="Q10" i="32"/>
  <c r="O10" i="32"/>
  <c r="K10" i="32"/>
  <c r="I10" i="32"/>
  <c r="E10" i="32"/>
  <c r="C10" i="32"/>
  <c r="U9" i="32"/>
  <c r="W9" i="32" s="1"/>
  <c r="O9" i="32"/>
  <c r="Q9" i="32" s="1"/>
  <c r="I9" i="32"/>
  <c r="K9" i="32" s="1"/>
  <c r="C9" i="32"/>
  <c r="E9" i="32" s="1"/>
  <c r="W8" i="32"/>
  <c r="Q8" i="32"/>
  <c r="K8" i="32"/>
  <c r="E8" i="32"/>
  <c r="V11" i="32"/>
  <c r="X5" i="32"/>
  <c r="R5" i="32"/>
  <c r="L5" i="32"/>
  <c r="F5" i="32"/>
  <c r="U122" i="31"/>
  <c r="W122" i="31" s="1"/>
  <c r="AE121" i="31"/>
  <c r="AA121" i="31"/>
  <c r="AC121" i="31" s="1"/>
  <c r="Y121" i="31"/>
  <c r="S121" i="31"/>
  <c r="M121" i="31"/>
  <c r="F121" i="31" s="1"/>
  <c r="AE120" i="31"/>
  <c r="Y120" i="31"/>
  <c r="S120" i="31"/>
  <c r="M120" i="31"/>
  <c r="F120" i="31" s="1"/>
  <c r="AH119" i="31"/>
  <c r="AH124" i="31" s="1"/>
  <c r="AB119" i="31"/>
  <c r="AB124" i="31" s="1"/>
  <c r="AA119" i="31"/>
  <c r="V119" i="31"/>
  <c r="V124" i="31" s="1"/>
  <c r="P119" i="31"/>
  <c r="AI116" i="31"/>
  <c r="AC116" i="31"/>
  <c r="W116" i="31"/>
  <c r="Q116" i="31"/>
  <c r="U86" i="31"/>
  <c r="W86" i="31" s="1"/>
  <c r="AE85" i="31"/>
  <c r="AA85" i="31"/>
  <c r="AC85" i="31" s="1"/>
  <c r="Y85" i="31"/>
  <c r="S85" i="31"/>
  <c r="M85" i="31"/>
  <c r="F85" i="31" s="1"/>
  <c r="AE84" i="31"/>
  <c r="Y84" i="31"/>
  <c r="S84" i="31"/>
  <c r="M84" i="31"/>
  <c r="F84" i="31" s="1"/>
  <c r="AH83" i="31"/>
  <c r="AH88" i="31" s="1"/>
  <c r="AB83" i="31"/>
  <c r="AB88" i="31" s="1"/>
  <c r="AA83" i="31"/>
  <c r="V83" i="31"/>
  <c r="V88" i="31" s="1"/>
  <c r="P83" i="31"/>
  <c r="AI79" i="31"/>
  <c r="AC79" i="31"/>
  <c r="W79" i="31"/>
  <c r="Q79" i="31"/>
  <c r="U49" i="31"/>
  <c r="W49" i="31" s="1"/>
  <c r="AE48" i="31"/>
  <c r="AA48" i="31"/>
  <c r="AC48" i="31" s="1"/>
  <c r="Y48" i="31"/>
  <c r="S48" i="31"/>
  <c r="M48" i="31"/>
  <c r="F48" i="31" s="1"/>
  <c r="AG47" i="31"/>
  <c r="AI47" i="31" s="1"/>
  <c r="AE47" i="31"/>
  <c r="Y47" i="31"/>
  <c r="S47" i="31"/>
  <c r="M47" i="31"/>
  <c r="F47" i="31" s="1"/>
  <c r="AH46" i="31"/>
  <c r="AH51" i="31" s="1"/>
  <c r="AB46" i="31"/>
  <c r="AB51" i="31" s="1"/>
  <c r="AA46" i="31"/>
  <c r="V46" i="31"/>
  <c r="V51" i="31" s="1"/>
  <c r="P46" i="31"/>
  <c r="AI42" i="31"/>
  <c r="AC42" i="31"/>
  <c r="W42" i="31"/>
  <c r="Q42" i="31"/>
  <c r="O136" i="31"/>
  <c r="AL26" i="31"/>
  <c r="AL25" i="31"/>
  <c r="O62" i="31"/>
  <c r="AL24" i="31"/>
  <c r="V57" i="31" s="1"/>
  <c r="AL23" i="31"/>
  <c r="P21" i="31"/>
  <c r="I21" i="31" s="1"/>
  <c r="J21" i="31" s="1"/>
  <c r="P20" i="31"/>
  <c r="I20" i="31" s="1"/>
  <c r="J20" i="31" s="1"/>
  <c r="AN15" i="31"/>
  <c r="U12" i="31"/>
  <c r="W12" i="31" s="1"/>
  <c r="AE11" i="31"/>
  <c r="AA11" i="31"/>
  <c r="AC11" i="31" s="1"/>
  <c r="Y11" i="31"/>
  <c r="S11" i="31"/>
  <c r="M11" i="31"/>
  <c r="F11" i="31" s="1"/>
  <c r="AE10" i="31"/>
  <c r="Y10" i="31"/>
  <c r="S10" i="31"/>
  <c r="M10" i="31"/>
  <c r="F10" i="31" s="1"/>
  <c r="AS9" i="31"/>
  <c r="AH9" i="31"/>
  <c r="AH14" i="31" s="1"/>
  <c r="AB9" i="31"/>
  <c r="AB14" i="31" s="1"/>
  <c r="V9" i="31"/>
  <c r="V14" i="31" s="1"/>
  <c r="U9" i="31"/>
  <c r="P9" i="31"/>
  <c r="AS8" i="31"/>
  <c r="AG122" i="31"/>
  <c r="AI122" i="31" s="1"/>
  <c r="AS7" i="31"/>
  <c r="U11" i="31"/>
  <c r="W11" i="31" s="1"/>
  <c r="AS6" i="31"/>
  <c r="U119" i="31"/>
  <c r="AI5" i="31"/>
  <c r="AC5" i="31"/>
  <c r="W5" i="31"/>
  <c r="Q5" i="31"/>
  <c r="CT24" i="30"/>
  <c r="CT26" i="30" s="1"/>
  <c r="CT20" i="30"/>
  <c r="C52" i="29"/>
  <c r="C51" i="29"/>
  <c r="C50" i="29"/>
  <c r="C49" i="29"/>
  <c r="C48" i="29"/>
  <c r="C47" i="29"/>
  <c r="C46" i="29"/>
  <c r="C36" i="29"/>
  <c r="H34" i="29"/>
  <c r="H33" i="29"/>
  <c r="H32" i="29"/>
  <c r="H31" i="29"/>
  <c r="H30" i="29"/>
  <c r="H29" i="29"/>
  <c r="H28" i="29"/>
  <c r="H27" i="29"/>
  <c r="H26" i="29"/>
  <c r="H25" i="29"/>
  <c r="H24" i="29"/>
  <c r="H23" i="29"/>
  <c r="H22" i="29"/>
  <c r="H21" i="29"/>
  <c r="H20" i="29"/>
  <c r="H19" i="29"/>
  <c r="H18" i="29"/>
  <c r="H17" i="29"/>
  <c r="H16" i="29"/>
  <c r="H15" i="29"/>
  <c r="H14" i="29"/>
  <c r="H13" i="29"/>
  <c r="H12" i="29"/>
  <c r="H11" i="29"/>
  <c r="H10" i="29"/>
  <c r="H9" i="29"/>
  <c r="H8" i="29"/>
  <c r="H7" i="29"/>
  <c r="H6" i="29"/>
  <c r="H5" i="29"/>
  <c r="F14" i="36" l="1"/>
  <c r="F15" i="36" s="1"/>
  <c r="K46" i="32"/>
  <c r="X44" i="32"/>
  <c r="L51" i="32"/>
  <c r="F53" i="32"/>
  <c r="P124" i="31"/>
  <c r="I119" i="31"/>
  <c r="I124" i="31" s="1"/>
  <c r="P51" i="31"/>
  <c r="I46" i="31"/>
  <c r="V130" i="31"/>
  <c r="W130" i="31" s="1"/>
  <c r="W132" i="31" s="1"/>
  <c r="I94" i="31"/>
  <c r="J94" i="31" s="1"/>
  <c r="I130" i="31"/>
  <c r="J130" i="31" s="1"/>
  <c r="J132" i="31" s="1"/>
  <c r="V131" i="31"/>
  <c r="W131" i="31" s="1"/>
  <c r="I58" i="31"/>
  <c r="J58" i="31" s="1"/>
  <c r="I95" i="31"/>
  <c r="J95" i="31" s="1"/>
  <c r="I131" i="31"/>
  <c r="J131" i="31" s="1"/>
  <c r="P14" i="31"/>
  <c r="I9" i="31"/>
  <c r="I14" i="31" s="1"/>
  <c r="W9" i="31"/>
  <c r="J22" i="31"/>
  <c r="P88" i="31"/>
  <c r="I83" i="31"/>
  <c r="I88" i="31" s="1"/>
  <c r="AS10" i="31"/>
  <c r="AS11" i="31" s="1"/>
  <c r="AC46" i="31"/>
  <c r="V21" i="31"/>
  <c r="W21" i="31" s="1"/>
  <c r="AH21" i="31"/>
  <c r="AI21" i="31" s="1"/>
  <c r="AH130" i="31"/>
  <c r="AI130" i="31" s="1"/>
  <c r="W119" i="31"/>
  <c r="W57" i="31"/>
  <c r="AH94" i="31"/>
  <c r="AI94" i="31" s="1"/>
  <c r="AC119" i="31"/>
  <c r="Q20" i="31"/>
  <c r="U62" i="31"/>
  <c r="O99" i="31"/>
  <c r="O135" i="31" s="1"/>
  <c r="AH95" i="31"/>
  <c r="AI95" i="31" s="1"/>
  <c r="AH131" i="31"/>
  <c r="AI131" i="31" s="1"/>
  <c r="Q21" i="31"/>
  <c r="AH57" i="31"/>
  <c r="AI57" i="31" s="1"/>
  <c r="AC83" i="31"/>
  <c r="AH58" i="31"/>
  <c r="AI58" i="31" s="1"/>
  <c r="AB21" i="31"/>
  <c r="AC21" i="31" s="1"/>
  <c r="F19" i="32"/>
  <c r="L18" i="32"/>
  <c r="X18" i="32"/>
  <c r="F18" i="32"/>
  <c r="F20" i="32" s="1"/>
  <c r="L19" i="32"/>
  <c r="AB33" i="32"/>
  <c r="AB34" i="32" s="1"/>
  <c r="W11" i="32" s="1"/>
  <c r="W13" i="32" s="1"/>
  <c r="Q46" i="32"/>
  <c r="R44" i="32"/>
  <c r="R18" i="32"/>
  <c r="B8" i="35"/>
  <c r="P24" i="32"/>
  <c r="W52" i="32"/>
  <c r="X52" i="32" s="1"/>
  <c r="R52" i="32"/>
  <c r="V57" i="32"/>
  <c r="P57" i="32"/>
  <c r="D57" i="32"/>
  <c r="J57" i="32"/>
  <c r="J11" i="32"/>
  <c r="Q19" i="32"/>
  <c r="R19" i="32" s="1"/>
  <c r="J44" i="32"/>
  <c r="L44" i="32" s="1"/>
  <c r="L52" i="32"/>
  <c r="L53" i="32" s="1"/>
  <c r="Q51" i="32"/>
  <c r="R51" i="32" s="1"/>
  <c r="R53" i="32" s="1"/>
  <c r="P11" i="32"/>
  <c r="W19" i="32"/>
  <c r="X19" i="32" s="1"/>
  <c r="X20" i="32" s="1"/>
  <c r="W51" i="32"/>
  <c r="X51" i="32" s="1"/>
  <c r="D11" i="32"/>
  <c r="U136" i="31"/>
  <c r="AA120" i="31"/>
  <c r="AC120" i="31" s="1"/>
  <c r="AA84" i="31"/>
  <c r="AC84" i="31" s="1"/>
  <c r="AA47" i="31"/>
  <c r="AC47" i="31" s="1"/>
  <c r="O10" i="31"/>
  <c r="AG120" i="31"/>
  <c r="AI120" i="31" s="1"/>
  <c r="AA10" i="31"/>
  <c r="AC10" i="31" s="1"/>
  <c r="U120" i="31"/>
  <c r="W120" i="31" s="1"/>
  <c r="U84" i="31"/>
  <c r="W84" i="31" s="1"/>
  <c r="U47" i="31"/>
  <c r="W47" i="31" s="1"/>
  <c r="O120" i="31"/>
  <c r="O84" i="31"/>
  <c r="O47" i="31"/>
  <c r="AG10" i="31"/>
  <c r="AI10" i="31" s="1"/>
  <c r="AG84" i="31"/>
  <c r="AI84" i="31" s="1"/>
  <c r="U10" i="31"/>
  <c r="W10" i="31" s="1"/>
  <c r="V20" i="31"/>
  <c r="W20" i="31" s="1"/>
  <c r="AH20" i="31"/>
  <c r="AI20" i="31" s="1"/>
  <c r="AB20" i="31"/>
  <c r="AC20" i="31" s="1"/>
  <c r="V52" i="31"/>
  <c r="AB52" i="31" s="1"/>
  <c r="AH52" i="31" s="1"/>
  <c r="P89" i="31"/>
  <c r="O9" i="31"/>
  <c r="O12" i="31"/>
  <c r="U48" i="31"/>
  <c r="W48" i="31" s="1"/>
  <c r="O49" i="31"/>
  <c r="AB57" i="31"/>
  <c r="AC57" i="31" s="1"/>
  <c r="AB58" i="31"/>
  <c r="AC58" i="31" s="1"/>
  <c r="U85" i="31"/>
  <c r="W85" i="31" s="1"/>
  <c r="O86" i="31"/>
  <c r="AB94" i="31"/>
  <c r="AC94" i="31" s="1"/>
  <c r="AB95" i="31"/>
  <c r="AC95" i="31" s="1"/>
  <c r="U121" i="31"/>
  <c r="W121" i="31" s="1"/>
  <c r="O122" i="31"/>
  <c r="AB130" i="31"/>
  <c r="AC130" i="31" s="1"/>
  <c r="AB131" i="31"/>
  <c r="AC131" i="31" s="1"/>
  <c r="AG9" i="31"/>
  <c r="AI9" i="31" s="1"/>
  <c r="O26" i="31"/>
  <c r="H26" i="31" s="1"/>
  <c r="H63" i="31" s="1"/>
  <c r="O11" i="31"/>
  <c r="AA12" i="31"/>
  <c r="AC12" i="31" s="1"/>
  <c r="O46" i="31"/>
  <c r="AA49" i="31"/>
  <c r="AC49" i="31" s="1"/>
  <c r="P57" i="31"/>
  <c r="P58" i="31"/>
  <c r="Q58" i="31" s="1"/>
  <c r="O83" i="31"/>
  <c r="AA86" i="31"/>
  <c r="AC86" i="31" s="1"/>
  <c r="P94" i="31"/>
  <c r="Q94" i="31" s="1"/>
  <c r="P95" i="31"/>
  <c r="Q95" i="31" s="1"/>
  <c r="O100" i="31"/>
  <c r="H100" i="31" s="1"/>
  <c r="O119" i="31"/>
  <c r="AA122" i="31"/>
  <c r="AC122" i="31" s="1"/>
  <c r="P130" i="31"/>
  <c r="Q130" i="31" s="1"/>
  <c r="P131" i="31"/>
  <c r="Q131" i="31" s="1"/>
  <c r="AG11" i="31"/>
  <c r="AI11" i="31" s="1"/>
  <c r="AG46" i="31"/>
  <c r="AI46" i="31" s="1"/>
  <c r="O48" i="31"/>
  <c r="AG83" i="31"/>
  <c r="AI83" i="31" s="1"/>
  <c r="O85" i="31"/>
  <c r="AG119" i="31"/>
  <c r="AI119" i="31" s="1"/>
  <c r="O121" i="31"/>
  <c r="AA9" i="31"/>
  <c r="AC9" i="31" s="1"/>
  <c r="AG12" i="31"/>
  <c r="AI12" i="31" s="1"/>
  <c r="AG48" i="31"/>
  <c r="AI48" i="31" s="1"/>
  <c r="AG49" i="31"/>
  <c r="AI49" i="31" s="1"/>
  <c r="V58" i="31"/>
  <c r="W58" i="31" s="1"/>
  <c r="W59" i="31" s="1"/>
  <c r="AG85" i="31"/>
  <c r="AI85" i="31" s="1"/>
  <c r="AG86" i="31"/>
  <c r="AI86" i="31" s="1"/>
  <c r="V94" i="31"/>
  <c r="W94" i="31" s="1"/>
  <c r="V95" i="31"/>
  <c r="W95" i="31" s="1"/>
  <c r="AG121" i="31"/>
  <c r="AI121" i="31" s="1"/>
  <c r="U46" i="31"/>
  <c r="W46" i="31" s="1"/>
  <c r="U83" i="31"/>
  <c r="W83" i="31" s="1"/>
  <c r="K11" i="32" l="1"/>
  <c r="K13" i="32" s="1"/>
  <c r="L20" i="32"/>
  <c r="W14" i="31"/>
  <c r="J96" i="31"/>
  <c r="Q46" i="31"/>
  <c r="H46" i="31"/>
  <c r="Q48" i="31"/>
  <c r="H48" i="31"/>
  <c r="J48" i="31" s="1"/>
  <c r="Q12" i="31"/>
  <c r="H12" i="31"/>
  <c r="J12" i="31" s="1"/>
  <c r="Q85" i="31"/>
  <c r="H85" i="31"/>
  <c r="J85" i="31" s="1"/>
  <c r="Q122" i="31"/>
  <c r="H122" i="31"/>
  <c r="J122" i="31" s="1"/>
  <c r="Q49" i="31"/>
  <c r="H49" i="31"/>
  <c r="J49" i="31" s="1"/>
  <c r="Q9" i="31"/>
  <c r="Q14" i="31" s="1"/>
  <c r="H9" i="31"/>
  <c r="J9" i="31" s="1"/>
  <c r="Q86" i="31"/>
  <c r="H86" i="31"/>
  <c r="J86" i="31" s="1"/>
  <c r="Q47" i="31"/>
  <c r="H47" i="31"/>
  <c r="J47" i="31" s="1"/>
  <c r="Q10" i="31"/>
  <c r="H10" i="31"/>
  <c r="J10" i="31" s="1"/>
  <c r="Q83" i="31"/>
  <c r="Q88" i="31" s="1"/>
  <c r="H83" i="31"/>
  <c r="J83" i="31" s="1"/>
  <c r="Q84" i="31"/>
  <c r="H84" i="31"/>
  <c r="J84" i="31" s="1"/>
  <c r="Q119" i="31"/>
  <c r="H119" i="31"/>
  <c r="J119" i="31" s="1"/>
  <c r="Q11" i="31"/>
  <c r="H11" i="31"/>
  <c r="J11" i="31" s="1"/>
  <c r="Q121" i="31"/>
  <c r="Q124" i="31" s="1"/>
  <c r="H121" i="31"/>
  <c r="J121" i="31" s="1"/>
  <c r="Q120" i="31"/>
  <c r="H120" i="31"/>
  <c r="J120" i="31" s="1"/>
  <c r="J46" i="31"/>
  <c r="I51" i="31"/>
  <c r="Q57" i="31"/>
  <c r="I57" i="31"/>
  <c r="J57" i="31" s="1"/>
  <c r="J59" i="31" s="1"/>
  <c r="W22" i="31"/>
  <c r="AI96" i="31"/>
  <c r="Q22" i="31"/>
  <c r="AC51" i="31"/>
  <c r="AC52" i="31" s="1"/>
  <c r="AC53" i="31" s="1"/>
  <c r="AA62" i="31"/>
  <c r="U99" i="31"/>
  <c r="U135" i="31" s="1"/>
  <c r="AC22" i="31"/>
  <c r="AC88" i="31"/>
  <c r="Q59" i="31"/>
  <c r="AI22" i="31"/>
  <c r="AI59" i="31"/>
  <c r="W88" i="31"/>
  <c r="AI132" i="31"/>
  <c r="F11" i="32"/>
  <c r="Q11" i="32"/>
  <c r="Q13" i="32" s="1"/>
  <c r="E11" i="32"/>
  <c r="E13" i="32" s="1"/>
  <c r="X11" i="32"/>
  <c r="X53" i="32"/>
  <c r="R20" i="32"/>
  <c r="B9" i="35"/>
  <c r="F91" i="24"/>
  <c r="H40" i="37"/>
  <c r="H39" i="37"/>
  <c r="AG21" i="39" s="1"/>
  <c r="H38" i="37"/>
  <c r="H37" i="37"/>
  <c r="AG19" i="39" s="1"/>
  <c r="L20" i="39" s="1"/>
  <c r="L27" i="39" s="1"/>
  <c r="L29" i="39" s="1"/>
  <c r="AC124" i="31"/>
  <c r="W124" i="31"/>
  <c r="W51" i="31"/>
  <c r="W52" i="31" s="1"/>
  <c r="W53" i="31" s="1"/>
  <c r="W61" i="31" s="1"/>
  <c r="V24" i="32"/>
  <c r="W15" i="31"/>
  <c r="W16" i="31" s="1"/>
  <c r="AI14" i="31"/>
  <c r="AI51" i="31"/>
  <c r="O63" i="31"/>
  <c r="U26" i="31"/>
  <c r="P125" i="31"/>
  <c r="V89" i="31"/>
  <c r="AB89" i="31" s="1"/>
  <c r="AH89" i="31" s="1"/>
  <c r="W96" i="31"/>
  <c r="Q132" i="31"/>
  <c r="AC96" i="31"/>
  <c r="AC14" i="31"/>
  <c r="AI124" i="31"/>
  <c r="AC132" i="31"/>
  <c r="AC59" i="31"/>
  <c r="Q96" i="31"/>
  <c r="AA136" i="31"/>
  <c r="AI88" i="31"/>
  <c r="U100" i="31"/>
  <c r="Q51" i="31"/>
  <c r="R11" i="32" l="1"/>
  <c r="L11" i="32"/>
  <c r="AD20" i="39"/>
  <c r="AD27" i="39" s="1"/>
  <c r="AD29" i="39" s="1"/>
  <c r="AD30" i="39" s="1"/>
  <c r="AD31" i="39" s="1"/>
  <c r="AD32" i="39" s="1"/>
  <c r="J88" i="31"/>
  <c r="J89" i="31" s="1"/>
  <c r="J90" i="31" s="1"/>
  <c r="J98" i="31" s="1"/>
  <c r="J14" i="31"/>
  <c r="J124" i="31"/>
  <c r="J125" i="31" s="1"/>
  <c r="J126" i="31" s="1"/>
  <c r="J134" i="31" s="1"/>
  <c r="J51" i="31"/>
  <c r="J52" i="31" s="1"/>
  <c r="J53" i="31" s="1"/>
  <c r="J61" i="31" s="1"/>
  <c r="J62" i="31" s="1"/>
  <c r="J63" i="31" s="1"/>
  <c r="J64" i="31" s="1"/>
  <c r="W24" i="31"/>
  <c r="W89" i="31"/>
  <c r="W90" i="31" s="1"/>
  <c r="W98" i="31" s="1"/>
  <c r="W99" i="31" s="1"/>
  <c r="W100" i="31" s="1"/>
  <c r="W101" i="31" s="1"/>
  <c r="AG62" i="31"/>
  <c r="AG99" i="31" s="1"/>
  <c r="AG135" i="31" s="1"/>
  <c r="AA99" i="31"/>
  <c r="AA135" i="31" s="1"/>
  <c r="L30" i="39"/>
  <c r="L31" i="39" s="1"/>
  <c r="F90" i="24"/>
  <c r="Q125" i="31"/>
  <c r="Q126" i="31" s="1"/>
  <c r="Q134" i="31" s="1"/>
  <c r="AI52" i="31"/>
  <c r="AI53" i="31" s="1"/>
  <c r="AI61" i="31" s="1"/>
  <c r="AC89" i="31"/>
  <c r="AC90" i="31" s="1"/>
  <c r="AC98" i="31" s="1"/>
  <c r="AI15" i="31"/>
  <c r="AI16" i="31" s="1"/>
  <c r="AI24" i="31" s="1"/>
  <c r="Q52" i="31"/>
  <c r="Q53" i="31" s="1"/>
  <c r="Q61" i="31" s="1"/>
  <c r="V125" i="31"/>
  <c r="W125" i="31" s="1"/>
  <c r="W126" i="31" s="1"/>
  <c r="W134" i="31" s="1"/>
  <c r="AB125" i="31"/>
  <c r="W62" i="31"/>
  <c r="AC61" i="31"/>
  <c r="Q89" i="31"/>
  <c r="Q90" i="31" s="1"/>
  <c r="Q98" i="31" s="1"/>
  <c r="Q15" i="31"/>
  <c r="Q16" i="31" s="1"/>
  <c r="Q24" i="31" s="1"/>
  <c r="AI89" i="31"/>
  <c r="AI90" i="31" s="1"/>
  <c r="AI98" i="31" s="1"/>
  <c r="W25" i="31"/>
  <c r="W26" i="31" s="1"/>
  <c r="AG136" i="31"/>
  <c r="AA26" i="31"/>
  <c r="AA100" i="31"/>
  <c r="AC15" i="31"/>
  <c r="AC16" i="31" s="1"/>
  <c r="AC24" i="31" s="1"/>
  <c r="U63" i="31"/>
  <c r="J15" i="31" l="1"/>
  <c r="J16" i="31" s="1"/>
  <c r="J24" i="31" s="1"/>
  <c r="J99" i="31"/>
  <c r="J100" i="31" s="1"/>
  <c r="J101" i="31" s="1"/>
  <c r="J74" i="31"/>
  <c r="E25" i="24" s="1"/>
  <c r="J70" i="31"/>
  <c r="E21" i="24" s="1"/>
  <c r="J69" i="31"/>
  <c r="E20" i="24" s="1"/>
  <c r="J68" i="31"/>
  <c r="E19" i="24" s="1"/>
  <c r="J66" i="31"/>
  <c r="E17" i="24" s="1"/>
  <c r="J67" i="31"/>
  <c r="E18" i="24" s="1"/>
  <c r="J71" i="31"/>
  <c r="E22" i="24" s="1"/>
  <c r="J73" i="31"/>
  <c r="E24" i="24" s="1"/>
  <c r="J65" i="31"/>
  <c r="J72" i="31"/>
  <c r="E23" i="24" s="1"/>
  <c r="J135" i="31"/>
  <c r="J136" i="31" s="1"/>
  <c r="F82" i="24"/>
  <c r="L32" i="39"/>
  <c r="W27" i="31"/>
  <c r="W32" i="31" s="1"/>
  <c r="G8" i="24" s="1"/>
  <c r="Q25" i="31"/>
  <c r="Q26" i="31" s="1"/>
  <c r="Q27" i="31" s="1"/>
  <c r="AI25" i="31"/>
  <c r="Q62" i="31"/>
  <c r="Q63" i="31" s="1"/>
  <c r="Q64" i="31" s="1"/>
  <c r="W111" i="31"/>
  <c r="G37" i="24" s="1"/>
  <c r="W109" i="31"/>
  <c r="G35" i="24" s="1"/>
  <c r="W107" i="31"/>
  <c r="G33" i="24" s="1"/>
  <c r="W105" i="31"/>
  <c r="G31" i="24" s="1"/>
  <c r="W103" i="31"/>
  <c r="G29" i="24" s="1"/>
  <c r="W110" i="31"/>
  <c r="G36" i="24" s="1"/>
  <c r="W108" i="31"/>
  <c r="G34" i="24" s="1"/>
  <c r="W106" i="31"/>
  <c r="G32" i="24" s="1"/>
  <c r="W104" i="31"/>
  <c r="G30" i="24" s="1"/>
  <c r="W102" i="31"/>
  <c r="AC25" i="31"/>
  <c r="AC26" i="31" s="1"/>
  <c r="AC27" i="31" s="1"/>
  <c r="AC62" i="31"/>
  <c r="AC99" i="31"/>
  <c r="AC100" i="31" s="1"/>
  <c r="AG26" i="31"/>
  <c r="W63" i="31"/>
  <c r="W64" i="31" s="1"/>
  <c r="AA63" i="31"/>
  <c r="W135" i="31"/>
  <c r="W136" i="31" s="1"/>
  <c r="W137" i="31" s="1"/>
  <c r="Q135" i="31"/>
  <c r="Q136" i="31" s="1"/>
  <c r="Q137" i="31" s="1"/>
  <c r="AI62" i="31"/>
  <c r="AH125" i="31"/>
  <c r="AI125" i="31" s="1"/>
  <c r="AI126" i="31" s="1"/>
  <c r="AI134" i="31" s="1"/>
  <c r="AC125" i="31"/>
  <c r="AC126" i="31" s="1"/>
  <c r="AC134" i="31" s="1"/>
  <c r="AI99" i="31"/>
  <c r="Q99" i="31"/>
  <c r="Q100" i="31" s="1"/>
  <c r="Q101" i="31" s="1"/>
  <c r="AG100" i="31"/>
  <c r="J25" i="31" l="1"/>
  <c r="J26" i="31" s="1"/>
  <c r="J137" i="31"/>
  <c r="J105" i="31"/>
  <c r="E31" i="24" s="1"/>
  <c r="J106" i="31"/>
  <c r="E32" i="24" s="1"/>
  <c r="J107" i="31"/>
  <c r="E33" i="24" s="1"/>
  <c r="J104" i="31"/>
  <c r="E30" i="24" s="1"/>
  <c r="J108" i="31"/>
  <c r="E34" i="24" s="1"/>
  <c r="J111" i="31"/>
  <c r="E37" i="24" s="1"/>
  <c r="J102" i="31"/>
  <c r="J109" i="31"/>
  <c r="E35" i="24" s="1"/>
  <c r="J103" i="31"/>
  <c r="E29" i="24" s="1"/>
  <c r="J110" i="31"/>
  <c r="E36" i="24" s="1"/>
  <c r="F84" i="24"/>
  <c r="AI100" i="31"/>
  <c r="AI101" i="31" s="1"/>
  <c r="W36" i="31"/>
  <c r="G12" i="24" s="1"/>
  <c r="W29" i="31"/>
  <c r="G5" i="24" s="1"/>
  <c r="W28" i="31"/>
  <c r="W34" i="31"/>
  <c r="G10" i="24" s="1"/>
  <c r="W31" i="31"/>
  <c r="G7" i="24" s="1"/>
  <c r="W33" i="31"/>
  <c r="G9" i="24" s="1"/>
  <c r="W35" i="31"/>
  <c r="G11" i="24" s="1"/>
  <c r="W30" i="31"/>
  <c r="G6" i="24" s="1"/>
  <c r="W37" i="31"/>
  <c r="G13" i="24" s="1"/>
  <c r="AC101" i="31"/>
  <c r="AC107" i="31" s="1"/>
  <c r="H33" i="24" s="1"/>
  <c r="Q74" i="31"/>
  <c r="F25" i="24" s="1"/>
  <c r="Q72" i="31"/>
  <c r="F23" i="24" s="1"/>
  <c r="Q70" i="31"/>
  <c r="F21" i="24" s="1"/>
  <c r="Q68" i="31"/>
  <c r="F19" i="24" s="1"/>
  <c r="Q66" i="31"/>
  <c r="F17" i="24" s="1"/>
  <c r="Q73" i="31"/>
  <c r="F24" i="24" s="1"/>
  <c r="Q71" i="31"/>
  <c r="F22" i="24" s="1"/>
  <c r="Q69" i="31"/>
  <c r="F20" i="24" s="1"/>
  <c r="Q67" i="31"/>
  <c r="F18" i="24" s="1"/>
  <c r="Q65" i="31"/>
  <c r="Q147" i="31"/>
  <c r="F49" i="24" s="1"/>
  <c r="Q145" i="31"/>
  <c r="F47" i="24" s="1"/>
  <c r="Q143" i="31"/>
  <c r="F45" i="24" s="1"/>
  <c r="Q141" i="31"/>
  <c r="F43" i="24" s="1"/>
  <c r="Q139" i="31"/>
  <c r="F41" i="24" s="1"/>
  <c r="Q146" i="31"/>
  <c r="F48" i="24" s="1"/>
  <c r="Q144" i="31"/>
  <c r="F46" i="24" s="1"/>
  <c r="Q142" i="31"/>
  <c r="F44" i="24" s="1"/>
  <c r="Q140" i="31"/>
  <c r="F42" i="24" s="1"/>
  <c r="Q138" i="31"/>
  <c r="AC37" i="31"/>
  <c r="H13" i="24" s="1"/>
  <c r="AC35" i="31"/>
  <c r="H11" i="24" s="1"/>
  <c r="AC33" i="31"/>
  <c r="H9" i="24" s="1"/>
  <c r="AC31" i="31"/>
  <c r="H7" i="24" s="1"/>
  <c r="AC29" i="31"/>
  <c r="H5" i="24" s="1"/>
  <c r="AC28" i="31"/>
  <c r="AC32" i="31"/>
  <c r="H8" i="24" s="1"/>
  <c r="AC34" i="31"/>
  <c r="H10" i="24" s="1"/>
  <c r="AC36" i="31"/>
  <c r="H12" i="24" s="1"/>
  <c r="AC30" i="31"/>
  <c r="H6" i="24" s="1"/>
  <c r="Q111" i="31"/>
  <c r="F37" i="24" s="1"/>
  <c r="Q109" i="31"/>
  <c r="F35" i="24" s="1"/>
  <c r="Q107" i="31"/>
  <c r="F33" i="24" s="1"/>
  <c r="Q105" i="31"/>
  <c r="F31" i="24" s="1"/>
  <c r="Q103" i="31"/>
  <c r="F29" i="24" s="1"/>
  <c r="Q110" i="31"/>
  <c r="F36" i="24" s="1"/>
  <c r="Q108" i="31"/>
  <c r="F34" i="24" s="1"/>
  <c r="Q106" i="31"/>
  <c r="F32" i="24" s="1"/>
  <c r="Q104" i="31"/>
  <c r="F30" i="24" s="1"/>
  <c r="Q102" i="31"/>
  <c r="W147" i="31"/>
  <c r="G49" i="24" s="1"/>
  <c r="W145" i="31"/>
  <c r="G47" i="24" s="1"/>
  <c r="W143" i="31"/>
  <c r="G45" i="24" s="1"/>
  <c r="W141" i="31"/>
  <c r="G43" i="24" s="1"/>
  <c r="W139" i="31"/>
  <c r="G41" i="24" s="1"/>
  <c r="W146" i="31"/>
  <c r="G48" i="24" s="1"/>
  <c r="W144" i="31"/>
  <c r="G46" i="24" s="1"/>
  <c r="W142" i="31"/>
  <c r="G44" i="24" s="1"/>
  <c r="W140" i="31"/>
  <c r="G42" i="24" s="1"/>
  <c r="W138" i="31"/>
  <c r="AI26" i="31"/>
  <c r="AI27" i="31" s="1"/>
  <c r="AI135" i="31"/>
  <c r="AI136" i="31" s="1"/>
  <c r="AI137" i="31" s="1"/>
  <c r="W74" i="31"/>
  <c r="G25" i="24" s="1"/>
  <c r="W72" i="31"/>
  <c r="G23" i="24" s="1"/>
  <c r="W70" i="31"/>
  <c r="G21" i="24" s="1"/>
  <c r="W68" i="31"/>
  <c r="G19" i="24" s="1"/>
  <c r="W66" i="31"/>
  <c r="G17" i="24" s="1"/>
  <c r="W73" i="31"/>
  <c r="G24" i="24" s="1"/>
  <c r="W71" i="31"/>
  <c r="G22" i="24" s="1"/>
  <c r="W69" i="31"/>
  <c r="G20" i="24" s="1"/>
  <c r="W67" i="31"/>
  <c r="G18" i="24" s="1"/>
  <c r="W65" i="31"/>
  <c r="Q28" i="31"/>
  <c r="Q37" i="31"/>
  <c r="F13" i="24" s="1"/>
  <c r="Q35" i="31"/>
  <c r="F11" i="24" s="1"/>
  <c r="Q33" i="31"/>
  <c r="F9" i="24" s="1"/>
  <c r="Q31" i="31"/>
  <c r="F7" i="24" s="1"/>
  <c r="Q29" i="31"/>
  <c r="F5" i="24" s="1"/>
  <c r="Q36" i="31"/>
  <c r="F12" i="24" s="1"/>
  <c r="Q34" i="31"/>
  <c r="F10" i="24" s="1"/>
  <c r="Q32" i="31"/>
  <c r="F8" i="24" s="1"/>
  <c r="Q30" i="31"/>
  <c r="F6" i="24" s="1"/>
  <c r="AC135" i="31"/>
  <c r="AC136" i="31"/>
  <c r="AG63" i="31"/>
  <c r="AI63" i="31" s="1"/>
  <c r="AI64" i="31" s="1"/>
  <c r="AC63" i="31"/>
  <c r="AC64" i="31" s="1"/>
  <c r="J27" i="31" l="1"/>
  <c r="J37" i="31" s="1"/>
  <c r="E13" i="24" s="1"/>
  <c r="J147" i="31"/>
  <c r="E49" i="24" s="1"/>
  <c r="J144" i="31"/>
  <c r="E46" i="24" s="1"/>
  <c r="J143" i="31"/>
  <c r="E45" i="24" s="1"/>
  <c r="J145" i="31"/>
  <c r="E47" i="24" s="1"/>
  <c r="J142" i="31"/>
  <c r="E44" i="24" s="1"/>
  <c r="J138" i="31"/>
  <c r="J146" i="31"/>
  <c r="E48" i="24" s="1"/>
  <c r="J140" i="31"/>
  <c r="E42" i="24" s="1"/>
  <c r="J139" i="31"/>
  <c r="E41" i="24" s="1"/>
  <c r="J141" i="31"/>
  <c r="E43" i="24" s="1"/>
  <c r="AC137" i="31"/>
  <c r="AC143" i="31" s="1"/>
  <c r="H45" i="24" s="1"/>
  <c r="AI105" i="31"/>
  <c r="I31" i="24" s="1"/>
  <c r="AI103" i="31"/>
  <c r="I29" i="24" s="1"/>
  <c r="AI107" i="31"/>
  <c r="I33" i="24" s="1"/>
  <c r="AI110" i="31"/>
  <c r="I36" i="24" s="1"/>
  <c r="AI108" i="31"/>
  <c r="I34" i="24" s="1"/>
  <c r="AI104" i="31"/>
  <c r="I30" i="24" s="1"/>
  <c r="AI106" i="31"/>
  <c r="I32" i="24" s="1"/>
  <c r="AI111" i="31"/>
  <c r="I37" i="24" s="1"/>
  <c r="AI102" i="31"/>
  <c r="AI109" i="31"/>
  <c r="I35" i="24" s="1"/>
  <c r="AC104" i="31"/>
  <c r="H30" i="24" s="1"/>
  <c r="AC110" i="31"/>
  <c r="H36" i="24" s="1"/>
  <c r="AC105" i="31"/>
  <c r="H31" i="24" s="1"/>
  <c r="AC109" i="31"/>
  <c r="H35" i="24" s="1"/>
  <c r="AC111" i="31"/>
  <c r="H37" i="24" s="1"/>
  <c r="AC108" i="31"/>
  <c r="H34" i="24" s="1"/>
  <c r="AC106" i="31"/>
  <c r="H32" i="24" s="1"/>
  <c r="AC102" i="31"/>
  <c r="AC103" i="31"/>
  <c r="H29" i="24" s="1"/>
  <c r="AI74" i="31"/>
  <c r="I25" i="24" s="1"/>
  <c r="AI72" i="31"/>
  <c r="I23" i="24" s="1"/>
  <c r="AI70" i="31"/>
  <c r="I21" i="24" s="1"/>
  <c r="AI68" i="31"/>
  <c r="I19" i="24" s="1"/>
  <c r="AI66" i="31"/>
  <c r="I17" i="24" s="1"/>
  <c r="AI67" i="31"/>
  <c r="I18" i="24" s="1"/>
  <c r="AI71" i="31"/>
  <c r="I22" i="24" s="1"/>
  <c r="AI69" i="31"/>
  <c r="I20" i="24" s="1"/>
  <c r="AI73" i="31"/>
  <c r="I24" i="24" s="1"/>
  <c r="AI65" i="31"/>
  <c r="AI147" i="31"/>
  <c r="I49" i="24" s="1"/>
  <c r="AI145" i="31"/>
  <c r="I47" i="24" s="1"/>
  <c r="AI143" i="31"/>
  <c r="I45" i="24" s="1"/>
  <c r="AI141" i="31"/>
  <c r="I43" i="24" s="1"/>
  <c r="AI139" i="31"/>
  <c r="I41" i="24" s="1"/>
  <c r="AI144" i="31"/>
  <c r="I46" i="24" s="1"/>
  <c r="AI142" i="31"/>
  <c r="I44" i="24" s="1"/>
  <c r="AI146" i="31"/>
  <c r="I48" i="24" s="1"/>
  <c r="AI138" i="31"/>
  <c r="AI140" i="31"/>
  <c r="I42" i="24" s="1"/>
  <c r="AC71" i="31"/>
  <c r="H22" i="24" s="1"/>
  <c r="AC74" i="31"/>
  <c r="H25" i="24" s="1"/>
  <c r="AC72" i="31"/>
  <c r="H23" i="24" s="1"/>
  <c r="AC70" i="31"/>
  <c r="H21" i="24" s="1"/>
  <c r="AC68" i="31"/>
  <c r="H19" i="24" s="1"/>
  <c r="AC66" i="31"/>
  <c r="H17" i="24" s="1"/>
  <c r="AC67" i="31"/>
  <c r="H18" i="24" s="1"/>
  <c r="AC65" i="31"/>
  <c r="AC73" i="31"/>
  <c r="H24" i="24" s="1"/>
  <c r="AC69" i="31"/>
  <c r="H20" i="24" s="1"/>
  <c r="AC145" i="31"/>
  <c r="H47" i="24" s="1"/>
  <c r="AI37" i="31"/>
  <c r="I13" i="24" s="1"/>
  <c r="AI35" i="31"/>
  <c r="I11" i="24" s="1"/>
  <c r="AI33" i="31"/>
  <c r="I9" i="24" s="1"/>
  <c r="AI31" i="31"/>
  <c r="I7" i="24" s="1"/>
  <c r="AI29" i="31"/>
  <c r="I5" i="24" s="1"/>
  <c r="AI34" i="31"/>
  <c r="I10" i="24" s="1"/>
  <c r="AI32" i="31"/>
  <c r="I8" i="24" s="1"/>
  <c r="AI30" i="31"/>
  <c r="I6" i="24" s="1"/>
  <c r="AI36" i="31"/>
  <c r="I12" i="24" s="1"/>
  <c r="AI28" i="31"/>
  <c r="J35" i="31" l="1"/>
  <c r="E11" i="24" s="1"/>
  <c r="J30" i="31"/>
  <c r="E6" i="24" s="1"/>
  <c r="J33" i="31"/>
  <c r="E9" i="24" s="1"/>
  <c r="J29" i="31"/>
  <c r="E5" i="24" s="1"/>
  <c r="J31" i="31"/>
  <c r="E7" i="24" s="1"/>
  <c r="J34" i="31"/>
  <c r="E10" i="24" s="1"/>
  <c r="J32" i="31"/>
  <c r="E8" i="24" s="1"/>
  <c r="J28" i="31"/>
  <c r="J36" i="31"/>
  <c r="E12" i="24" s="1"/>
  <c r="AC144" i="31"/>
  <c r="H46" i="24" s="1"/>
  <c r="AC142" i="31"/>
  <c r="H44" i="24" s="1"/>
  <c r="AC147" i="31"/>
  <c r="H49" i="24" s="1"/>
  <c r="AC146" i="31"/>
  <c r="H48" i="24" s="1"/>
  <c r="AC138" i="31"/>
  <c r="AC140" i="31"/>
  <c r="H42" i="24" s="1"/>
  <c r="AC141" i="31"/>
  <c r="H43" i="24" s="1"/>
  <c r="AC139" i="31"/>
  <c r="H41" i="24" s="1"/>
  <c r="J42" i="28"/>
  <c r="M42" i="28" s="1"/>
  <c r="J41" i="28"/>
  <c r="J39" i="28"/>
  <c r="M39" i="28" s="1"/>
  <c r="Q74" i="28"/>
  <c r="Q75" i="28" s="1"/>
  <c r="R73" i="28"/>
  <c r="I73" i="28"/>
  <c r="M73" i="28" s="1"/>
  <c r="S43" i="28"/>
  <c r="O43" i="28"/>
  <c r="M41" i="28"/>
  <c r="T34" i="28"/>
  <c r="N34" i="28"/>
  <c r="J34" i="28"/>
  <c r="S34" i="28" s="1"/>
  <c r="O33" i="28"/>
  <c r="N33" i="28"/>
  <c r="J33" i="28"/>
  <c r="S33" i="28" s="1"/>
  <c r="O32" i="28"/>
  <c r="N32" i="28"/>
  <c r="J32" i="28"/>
  <c r="S32" i="28" s="1"/>
  <c r="T31" i="28"/>
  <c r="O31" i="28"/>
  <c r="N31" i="28"/>
  <c r="M31" i="28"/>
  <c r="J31" i="28"/>
  <c r="S31" i="28" s="1"/>
  <c r="O30" i="28"/>
  <c r="N30" i="28"/>
  <c r="J30" i="28"/>
  <c r="S30" i="28" s="1"/>
  <c r="N29" i="28"/>
  <c r="J29" i="28"/>
  <c r="S29" i="28" s="1"/>
  <c r="O28" i="28"/>
  <c r="N28" i="28"/>
  <c r="J28" i="28"/>
  <c r="S28" i="28" s="1"/>
  <c r="T27" i="28"/>
  <c r="T35" i="28" s="1"/>
  <c r="N27" i="28"/>
  <c r="P27" i="28" s="1"/>
  <c r="J27" i="28"/>
  <c r="S27" i="28" s="1"/>
  <c r="O26" i="28"/>
  <c r="N26" i="28"/>
  <c r="J26" i="28"/>
  <c r="S26" i="28" s="1"/>
  <c r="O25" i="28"/>
  <c r="N25" i="28"/>
  <c r="J25" i="28"/>
  <c r="S25" i="28" s="1"/>
  <c r="O24" i="28"/>
  <c r="N24" i="28"/>
  <c r="J24" i="28"/>
  <c r="S24" i="28" s="1"/>
  <c r="O23" i="28"/>
  <c r="N23" i="28"/>
  <c r="J23" i="28"/>
  <c r="S23" i="28" s="1"/>
  <c r="O22" i="28"/>
  <c r="N22" i="28"/>
  <c r="J22" i="28"/>
  <c r="S22" i="28" s="1"/>
  <c r="S21" i="28"/>
  <c r="N21" i="28"/>
  <c r="P21" i="28" s="1"/>
  <c r="M21" i="28"/>
  <c r="J21" i="28"/>
  <c r="N20" i="28"/>
  <c r="P20" i="28" s="1"/>
  <c r="Q20" i="28" s="1"/>
  <c r="R20" i="28" s="1"/>
  <c r="J20" i="28"/>
  <c r="M20" i="28" s="1"/>
  <c r="O19" i="28"/>
  <c r="N19" i="28"/>
  <c r="J19" i="28"/>
  <c r="M19" i="28" s="1"/>
  <c r="O18" i="28"/>
  <c r="N18" i="28"/>
  <c r="J18" i="28"/>
  <c r="M18" i="28" s="1"/>
  <c r="O17" i="28"/>
  <c r="N17" i="28"/>
  <c r="L17" i="28"/>
  <c r="M17" i="28" s="1"/>
  <c r="J17" i="28"/>
  <c r="N15" i="28"/>
  <c r="P15" i="28" s="1"/>
  <c r="Q15" i="28" s="1"/>
  <c r="R15" i="28" s="1"/>
  <c r="J15" i="28"/>
  <c r="M15" i="28" s="1"/>
  <c r="N14" i="28"/>
  <c r="P14" i="28" s="1"/>
  <c r="J14" i="28"/>
  <c r="M14" i="28" s="1"/>
  <c r="N13" i="28"/>
  <c r="J13" i="28"/>
  <c r="M13" i="28" s="1"/>
  <c r="N12" i="28"/>
  <c r="P12" i="28" s="1"/>
  <c r="M12" i="28"/>
  <c r="J12" i="28"/>
  <c r="N11" i="28"/>
  <c r="P11" i="28" s="1"/>
  <c r="J11" i="28"/>
  <c r="M11" i="28" s="1"/>
  <c r="N10" i="28"/>
  <c r="P10" i="28" s="1"/>
  <c r="Q10" i="28" s="1"/>
  <c r="R10" i="28" s="1"/>
  <c r="J10" i="28"/>
  <c r="M10" i="28" s="1"/>
  <c r="N9" i="28"/>
  <c r="P9" i="28" s="1"/>
  <c r="Q9" i="28" s="1"/>
  <c r="R9" i="28" s="1"/>
  <c r="J9" i="28"/>
  <c r="M9" i="28" s="1"/>
  <c r="N8" i="28"/>
  <c r="P8" i="28" s="1"/>
  <c r="M8" i="28"/>
  <c r="J8" i="28"/>
  <c r="N7" i="28"/>
  <c r="P7" i="28" s="1"/>
  <c r="Q7" i="28" s="1"/>
  <c r="R7" i="28" s="1"/>
  <c r="J7" i="28"/>
  <c r="M7" i="28" s="1"/>
  <c r="T6" i="28"/>
  <c r="N6" i="28"/>
  <c r="P6" i="28" s="1"/>
  <c r="M6" i="28"/>
  <c r="J6" i="28"/>
  <c r="N5" i="28"/>
  <c r="P5" i="28" s="1"/>
  <c r="J5" i="28"/>
  <c r="M5" i="28" s="1"/>
  <c r="O4" i="28"/>
  <c r="N4" i="28"/>
  <c r="J4" i="28"/>
  <c r="M4" i="28" s="1"/>
  <c r="P18" i="28" l="1"/>
  <c r="P26" i="28"/>
  <c r="P17" i="28"/>
  <c r="P22" i="28"/>
  <c r="P31" i="28"/>
  <c r="Q31" i="28" s="1"/>
  <c r="R31" i="28" s="1"/>
  <c r="P23" i="28"/>
  <c r="P24" i="28"/>
  <c r="Q8" i="28"/>
  <c r="R8" i="28" s="1"/>
  <c r="Q21" i="28"/>
  <c r="R21" i="28" s="1"/>
  <c r="P29" i="28"/>
  <c r="Q29" i="28" s="1"/>
  <c r="R29" i="28" s="1"/>
  <c r="P34" i="28"/>
  <c r="Q6" i="28"/>
  <c r="R6" i="28" s="1"/>
  <c r="Q12" i="28"/>
  <c r="R12" i="28" s="1"/>
  <c r="P19" i="28"/>
  <c r="Q19" i="28" s="1"/>
  <c r="R19" i="28" s="1"/>
  <c r="M30" i="28"/>
  <c r="P32" i="28"/>
  <c r="P25" i="28"/>
  <c r="P30" i="28"/>
  <c r="Q30" i="28" s="1"/>
  <c r="R30" i="28" s="1"/>
  <c r="P4" i="28"/>
  <c r="Q4" i="28" s="1"/>
  <c r="P13" i="28"/>
  <c r="Q13" i="28" s="1"/>
  <c r="R13" i="28" s="1"/>
  <c r="P28" i="28"/>
  <c r="Q28" i="28" s="1"/>
  <c r="R28" i="28" s="1"/>
  <c r="P33" i="28"/>
  <c r="M43" i="28"/>
  <c r="Q5" i="28"/>
  <c r="R5" i="28" s="1"/>
  <c r="Q11" i="28"/>
  <c r="R11" i="28" s="1"/>
  <c r="Q14" i="28"/>
  <c r="R14" i="28" s="1"/>
  <c r="Q18" i="28"/>
  <c r="R18" i="28" s="1"/>
  <c r="Q26" i="28"/>
  <c r="R26" i="28" s="1"/>
  <c r="Q17" i="28"/>
  <c r="R17" i="28" s="1"/>
  <c r="Q27" i="28"/>
  <c r="R27" i="28" s="1"/>
  <c r="R75" i="28"/>
  <c r="S20" i="28"/>
  <c r="S17" i="28"/>
  <c r="S18" i="28"/>
  <c r="S19" i="28"/>
  <c r="M22" i="28"/>
  <c r="Q22" i="28" s="1"/>
  <c r="R22" i="28" s="1"/>
  <c r="M23" i="28"/>
  <c r="M24" i="28"/>
  <c r="M25" i="28"/>
  <c r="M26" i="28"/>
  <c r="M27" i="28"/>
  <c r="M28" i="28"/>
  <c r="M29" i="28"/>
  <c r="M32" i="28"/>
  <c r="M33" i="28"/>
  <c r="M34" i="28"/>
  <c r="T73" i="28"/>
  <c r="T75" i="28" s="1"/>
  <c r="R74" i="28"/>
  <c r="T74" i="28" s="1"/>
  <c r="J73" i="28"/>
  <c r="Q23" i="28" l="1"/>
  <c r="R23" i="28" s="1"/>
  <c r="Q24" i="28"/>
  <c r="R24" i="28" s="1"/>
  <c r="Q25" i="28"/>
  <c r="R25" i="28" s="1"/>
  <c r="Q32" i="28"/>
  <c r="R32" i="28" s="1"/>
  <c r="Q34" i="28"/>
  <c r="R34" i="28" s="1"/>
  <c r="P35" i="28"/>
  <c r="Q33" i="28"/>
  <c r="R33" i="28" s="1"/>
  <c r="R4" i="28"/>
  <c r="M35" i="28"/>
  <c r="M47" i="28" s="1"/>
  <c r="S35" i="28"/>
  <c r="Q35" i="28" l="1"/>
  <c r="Q68" i="28"/>
  <c r="Q69" i="28"/>
  <c r="R35" i="28"/>
  <c r="O44" i="10" l="1"/>
  <c r="O43" i="10"/>
  <c r="U44" i="10"/>
  <c r="U43" i="10"/>
  <c r="AA44" i="10"/>
  <c r="G30" i="18" l="1"/>
  <c r="M30" i="18" s="1"/>
  <c r="S30" i="18" s="1"/>
  <c r="Y30" i="18" s="1"/>
  <c r="AE30" i="18" s="1"/>
  <c r="AF15" i="18"/>
  <c r="Z15" i="18"/>
  <c r="T15" i="18"/>
  <c r="E14" i="14"/>
  <c r="J26" i="21" l="1"/>
  <c r="M39" i="21"/>
  <c r="M38" i="21"/>
  <c r="M37" i="21"/>
  <c r="M36" i="21"/>
  <c r="M35" i="21"/>
  <c r="U42" i="10" l="1"/>
  <c r="O42" i="10"/>
  <c r="I42" i="10"/>
  <c r="AF57" i="10"/>
  <c r="AF56" i="10"/>
  <c r="AF55" i="10"/>
  <c r="AF54" i="10"/>
  <c r="AF42" i="10"/>
  <c r="T44" i="10" s="1"/>
  <c r="Z44" i="10" l="1"/>
  <c r="H44" i="10"/>
  <c r="N44" i="10"/>
  <c r="I52" i="10" l="1"/>
  <c r="O52" i="10" s="1"/>
  <c r="I47" i="10"/>
  <c r="O47" i="10" s="1"/>
  <c r="U47" i="10" s="1"/>
  <c r="AA47" i="10" s="1"/>
  <c r="AA46" i="10"/>
  <c r="H23" i="10"/>
  <c r="N23" i="10" s="1"/>
  <c r="T23" i="10" s="1"/>
  <c r="Z23" i="10" s="1"/>
  <c r="I14" i="10"/>
  <c r="O14" i="10" s="1"/>
  <c r="U14" i="10" s="1"/>
  <c r="AA14" i="10" s="1"/>
  <c r="I21" i="11"/>
  <c r="I20" i="11"/>
  <c r="U52" i="10" l="1"/>
  <c r="H25" i="11"/>
  <c r="H62" i="11" s="1"/>
  <c r="AA15" i="11"/>
  <c r="U15" i="11"/>
  <c r="O15" i="11"/>
  <c r="I15" i="11"/>
  <c r="I52" i="11" s="1"/>
  <c r="O52" i="11" s="1"/>
  <c r="U52" i="11" s="1"/>
  <c r="AA52" i="11" s="1"/>
  <c r="AE22" i="11"/>
  <c r="AA52" i="10" l="1"/>
  <c r="I89" i="11"/>
  <c r="N62" i="11"/>
  <c r="O89" i="11" l="1"/>
  <c r="U89" i="11" s="1"/>
  <c r="AA89" i="11" s="1"/>
  <c r="I125" i="11"/>
  <c r="T62" i="11"/>
  <c r="U125" i="11" l="1"/>
  <c r="AA125" i="11" s="1"/>
  <c r="O125" i="11"/>
  <c r="Z62" i="11"/>
  <c r="J11" i="14" l="1"/>
  <c r="E17" i="14" s="1"/>
  <c r="J9" i="14"/>
  <c r="F10" i="14" s="1"/>
  <c r="B3" i="16"/>
  <c r="AJ23" i="18"/>
  <c r="H16" i="18" s="1"/>
  <c r="N16" i="18" s="1"/>
  <c r="T16" i="18" l="1"/>
  <c r="Z16" i="18" s="1"/>
  <c r="B31" i="12"/>
  <c r="B30" i="12"/>
  <c r="B65" i="12" s="1"/>
  <c r="AF16" i="18" l="1"/>
  <c r="B53" i="12"/>
  <c r="AF24" i="10"/>
  <c r="AF58" i="10" s="1"/>
  <c r="AF21" i="10"/>
  <c r="AF53" i="10" s="1"/>
  <c r="B2" i="16"/>
  <c r="C64" i="12"/>
  <c r="AE26" i="11"/>
  <c r="AE25" i="11"/>
  <c r="AE24" i="11"/>
  <c r="AE23" i="11"/>
  <c r="AF23" i="10"/>
  <c r="AF22" i="10"/>
  <c r="AK1" i="27"/>
  <c r="AK3" i="27" s="1"/>
  <c r="I51" i="10" l="1"/>
  <c r="AA51" i="10"/>
  <c r="U51" i="10"/>
  <c r="O51" i="10"/>
  <c r="AK2" i="27"/>
  <c r="AK6" i="27" l="1"/>
  <c r="AK5" i="27"/>
  <c r="AK4" i="27"/>
  <c r="AK19" i="27" l="1"/>
  <c r="AP28" i="27"/>
  <c r="AP27" i="27"/>
  <c r="AP23" i="27"/>
  <c r="Z31" i="27"/>
  <c r="Z30" i="27"/>
  <c r="Z26" i="27"/>
  <c r="Z25" i="27"/>
  <c r="AP22" i="27"/>
  <c r="Z22" i="27"/>
  <c r="Z24" i="27"/>
  <c r="Z23" i="27"/>
  <c r="AA22" i="27"/>
  <c r="N30" i="27"/>
  <c r="M34" i="27"/>
  <c r="K34" i="27"/>
  <c r="I34" i="27"/>
  <c r="G34" i="27"/>
  <c r="M33" i="27"/>
  <c r="K33" i="27"/>
  <c r="I33" i="27"/>
  <c r="G33" i="27"/>
  <c r="M32" i="27"/>
  <c r="K32" i="27"/>
  <c r="I32" i="27"/>
  <c r="G32" i="27"/>
  <c r="N31" i="27"/>
  <c r="N34" i="27" s="1"/>
  <c r="M31" i="27"/>
  <c r="K31" i="27"/>
  <c r="I31" i="27"/>
  <c r="G31" i="27"/>
  <c r="M30" i="27"/>
  <c r="K30" i="27"/>
  <c r="I30" i="27"/>
  <c r="G30" i="27"/>
  <c r="M29" i="27"/>
  <c r="K29" i="27"/>
  <c r="I29" i="27"/>
  <c r="G29" i="27"/>
  <c r="E29" i="27"/>
  <c r="N23" i="27"/>
  <c r="N22" i="27"/>
  <c r="B25" i="27"/>
  <c r="B26" i="27"/>
  <c r="C37" i="27"/>
  <c r="AQ301" i="27"/>
  <c r="AO301" i="27"/>
  <c r="AM301" i="27"/>
  <c r="AK301" i="27"/>
  <c r="AI301" i="27"/>
  <c r="AG301" i="27"/>
  <c r="AE301" i="27"/>
  <c r="AC301" i="27"/>
  <c r="AA301" i="27"/>
  <c r="Y301" i="27"/>
  <c r="W301" i="27"/>
  <c r="U301" i="27"/>
  <c r="S301" i="27"/>
  <c r="Q301" i="27"/>
  <c r="O301" i="27"/>
  <c r="M301" i="27"/>
  <c r="K301" i="27"/>
  <c r="I301" i="27"/>
  <c r="G301" i="27"/>
  <c r="E301" i="27"/>
  <c r="AQ300" i="27"/>
  <c r="AO300" i="27"/>
  <c r="AM300" i="27"/>
  <c r="AK300" i="27"/>
  <c r="AI300" i="27"/>
  <c r="AG300" i="27"/>
  <c r="AE300" i="27"/>
  <c r="AC300" i="27"/>
  <c r="AA300" i="27"/>
  <c r="Y300" i="27"/>
  <c r="W300" i="27"/>
  <c r="U300" i="27"/>
  <c r="S300" i="27"/>
  <c r="Q300" i="27"/>
  <c r="O300" i="27"/>
  <c r="M300" i="27"/>
  <c r="K300" i="27"/>
  <c r="I300" i="27"/>
  <c r="G300" i="27"/>
  <c r="E300" i="27"/>
  <c r="AQ299" i="27"/>
  <c r="AO299" i="27"/>
  <c r="AM299" i="27"/>
  <c r="AK299" i="27"/>
  <c r="AI299" i="27"/>
  <c r="AG299" i="27"/>
  <c r="AE299" i="27"/>
  <c r="AC299" i="27"/>
  <c r="AA299" i="27"/>
  <c r="Y299" i="27"/>
  <c r="W299" i="27"/>
  <c r="U299" i="27"/>
  <c r="S299" i="27"/>
  <c r="Q299" i="27"/>
  <c r="O299" i="27"/>
  <c r="M299" i="27"/>
  <c r="K299" i="27"/>
  <c r="I299" i="27"/>
  <c r="G299" i="27"/>
  <c r="E299" i="27"/>
  <c r="AQ298" i="27"/>
  <c r="AO298" i="27"/>
  <c r="AM298" i="27"/>
  <c r="AK298" i="27"/>
  <c r="AI298" i="27"/>
  <c r="AG298" i="27"/>
  <c r="AE298" i="27"/>
  <c r="AC298" i="27"/>
  <c r="AA298" i="27"/>
  <c r="Y298" i="27"/>
  <c r="W298" i="27"/>
  <c r="U298" i="27"/>
  <c r="S298" i="27"/>
  <c r="Q298" i="27"/>
  <c r="O298" i="27"/>
  <c r="M298" i="27"/>
  <c r="K298" i="27"/>
  <c r="I298" i="27"/>
  <c r="G298" i="27"/>
  <c r="E298" i="27"/>
  <c r="AQ297" i="27"/>
  <c r="AO297" i="27"/>
  <c r="AM297" i="27"/>
  <c r="AK297" i="27"/>
  <c r="AI297" i="27"/>
  <c r="AG297" i="27"/>
  <c r="AE297" i="27"/>
  <c r="AC297" i="27"/>
  <c r="AA297" i="27"/>
  <c r="Y297" i="27"/>
  <c r="W297" i="27"/>
  <c r="U297" i="27"/>
  <c r="S297" i="27"/>
  <c r="Q297" i="27"/>
  <c r="O297" i="27"/>
  <c r="M297" i="27"/>
  <c r="K297" i="27"/>
  <c r="I297" i="27"/>
  <c r="G297" i="27"/>
  <c r="E297" i="27"/>
  <c r="AQ296" i="27"/>
  <c r="AO296" i="27"/>
  <c r="AM296" i="27"/>
  <c r="AK296" i="27"/>
  <c r="AI296" i="27"/>
  <c r="AG296" i="27"/>
  <c r="AE296" i="27"/>
  <c r="AC296" i="27"/>
  <c r="AA296" i="27"/>
  <c r="Y296" i="27"/>
  <c r="W296" i="27"/>
  <c r="U296" i="27"/>
  <c r="S296" i="27"/>
  <c r="Q296" i="27"/>
  <c r="O296" i="27"/>
  <c r="M296" i="27"/>
  <c r="K296" i="27"/>
  <c r="I296" i="27"/>
  <c r="G296" i="27"/>
  <c r="E296" i="27"/>
  <c r="AQ295" i="27"/>
  <c r="AO295" i="27"/>
  <c r="AM295" i="27"/>
  <c r="AK295" i="27"/>
  <c r="AI295" i="27"/>
  <c r="AG295" i="27"/>
  <c r="AE295" i="27"/>
  <c r="AC295" i="27"/>
  <c r="AA295" i="27"/>
  <c r="Y295" i="27"/>
  <c r="W295" i="27"/>
  <c r="U295" i="27"/>
  <c r="S295" i="27"/>
  <c r="Q295" i="27"/>
  <c r="O295" i="27"/>
  <c r="M295" i="27"/>
  <c r="K295" i="27"/>
  <c r="I295" i="27"/>
  <c r="G295" i="27"/>
  <c r="E295" i="27"/>
  <c r="AQ294" i="27"/>
  <c r="AO294" i="27"/>
  <c r="AM294" i="27"/>
  <c r="AK294" i="27"/>
  <c r="AI294" i="27"/>
  <c r="AG294" i="27"/>
  <c r="AE294" i="27"/>
  <c r="AC294" i="27"/>
  <c r="AA294" i="27"/>
  <c r="Y294" i="27"/>
  <c r="W294" i="27"/>
  <c r="U294" i="27"/>
  <c r="S294" i="27"/>
  <c r="Q294" i="27"/>
  <c r="O294" i="27"/>
  <c r="M294" i="27"/>
  <c r="K294" i="27"/>
  <c r="I294" i="27"/>
  <c r="G294" i="27"/>
  <c r="E294" i="27"/>
  <c r="AQ293" i="27"/>
  <c r="AO293" i="27"/>
  <c r="AM293" i="27"/>
  <c r="AK293" i="27"/>
  <c r="AI293" i="27"/>
  <c r="AG293" i="27"/>
  <c r="AE293" i="27"/>
  <c r="AC293" i="27"/>
  <c r="AA293" i="27"/>
  <c r="Y293" i="27"/>
  <c r="W293" i="27"/>
  <c r="U293" i="27"/>
  <c r="S293" i="27"/>
  <c r="Q293" i="27"/>
  <c r="O293" i="27"/>
  <c r="M293" i="27"/>
  <c r="K293" i="27"/>
  <c r="I293" i="27"/>
  <c r="G293" i="27"/>
  <c r="E293" i="27"/>
  <c r="AQ292" i="27"/>
  <c r="AO292" i="27"/>
  <c r="AM292" i="27"/>
  <c r="AK292" i="27"/>
  <c r="AI292" i="27"/>
  <c r="AG292" i="27"/>
  <c r="AE292" i="27"/>
  <c r="AC292" i="27"/>
  <c r="AA292" i="27"/>
  <c r="Y292" i="27"/>
  <c r="W292" i="27"/>
  <c r="U292" i="27"/>
  <c r="S292" i="27"/>
  <c r="Q292" i="27"/>
  <c r="O292" i="27"/>
  <c r="M292" i="27"/>
  <c r="K292" i="27"/>
  <c r="I292" i="27"/>
  <c r="G292" i="27"/>
  <c r="E292" i="27"/>
  <c r="AQ291" i="27"/>
  <c r="AO291" i="27"/>
  <c r="AM291" i="27"/>
  <c r="AK291" i="27"/>
  <c r="AI291" i="27"/>
  <c r="AG291" i="27"/>
  <c r="AE291" i="27"/>
  <c r="AC291" i="27"/>
  <c r="AA291" i="27"/>
  <c r="Y291" i="27"/>
  <c r="W291" i="27"/>
  <c r="U291" i="27"/>
  <c r="S291" i="27"/>
  <c r="Q291" i="27"/>
  <c r="O291" i="27"/>
  <c r="M291" i="27"/>
  <c r="K291" i="27"/>
  <c r="I291" i="27"/>
  <c r="G291" i="27"/>
  <c r="E291" i="27"/>
  <c r="AQ290" i="27"/>
  <c r="AO290" i="27"/>
  <c r="AM290" i="27"/>
  <c r="AK290" i="27"/>
  <c r="AI290" i="27"/>
  <c r="AG290" i="27"/>
  <c r="AE290" i="27"/>
  <c r="AC290" i="27"/>
  <c r="AA290" i="27"/>
  <c r="Y290" i="27"/>
  <c r="W290" i="27"/>
  <c r="U290" i="27"/>
  <c r="S290" i="27"/>
  <c r="Q290" i="27"/>
  <c r="O290" i="27"/>
  <c r="M290" i="27"/>
  <c r="K290" i="27"/>
  <c r="I290" i="27"/>
  <c r="G290" i="27"/>
  <c r="E290" i="27"/>
  <c r="AQ289" i="27"/>
  <c r="AO289" i="27"/>
  <c r="AM289" i="27"/>
  <c r="AK289" i="27"/>
  <c r="AI289" i="27"/>
  <c r="AG289" i="27"/>
  <c r="AE289" i="27"/>
  <c r="AC289" i="27"/>
  <c r="AA289" i="27"/>
  <c r="Y289" i="27"/>
  <c r="W289" i="27"/>
  <c r="U289" i="27"/>
  <c r="S289" i="27"/>
  <c r="Q289" i="27"/>
  <c r="O289" i="27"/>
  <c r="M289" i="27"/>
  <c r="K289" i="27"/>
  <c r="I289" i="27"/>
  <c r="G289" i="27"/>
  <c r="E289" i="27"/>
  <c r="AQ288" i="27"/>
  <c r="AO288" i="27"/>
  <c r="AM288" i="27"/>
  <c r="AK288" i="27"/>
  <c r="AI288" i="27"/>
  <c r="AG288" i="27"/>
  <c r="AE288" i="27"/>
  <c r="AC288" i="27"/>
  <c r="AA288" i="27"/>
  <c r="Y288" i="27"/>
  <c r="W288" i="27"/>
  <c r="U288" i="27"/>
  <c r="S288" i="27"/>
  <c r="Q288" i="27"/>
  <c r="O288" i="27"/>
  <c r="M288" i="27"/>
  <c r="K288" i="27"/>
  <c r="I288" i="27"/>
  <c r="G288" i="27"/>
  <c r="E288" i="27"/>
  <c r="AQ287" i="27"/>
  <c r="AO287" i="27"/>
  <c r="AM287" i="27"/>
  <c r="AK287" i="27"/>
  <c r="AI287" i="27"/>
  <c r="AG287" i="27"/>
  <c r="AE287" i="27"/>
  <c r="AC287" i="27"/>
  <c r="AA287" i="27"/>
  <c r="Y287" i="27"/>
  <c r="W287" i="27"/>
  <c r="U287" i="27"/>
  <c r="S287" i="27"/>
  <c r="Q287" i="27"/>
  <c r="O287" i="27"/>
  <c r="M287" i="27"/>
  <c r="K287" i="27"/>
  <c r="I287" i="27"/>
  <c r="G287" i="27"/>
  <c r="E287" i="27"/>
  <c r="AQ286" i="27"/>
  <c r="AO286" i="27"/>
  <c r="AM286" i="27"/>
  <c r="AK286" i="27"/>
  <c r="AI286" i="27"/>
  <c r="AG286" i="27"/>
  <c r="AE286" i="27"/>
  <c r="AC286" i="27"/>
  <c r="AA286" i="27"/>
  <c r="Y286" i="27"/>
  <c r="W286" i="27"/>
  <c r="U286" i="27"/>
  <c r="S286" i="27"/>
  <c r="Q286" i="27"/>
  <c r="O286" i="27"/>
  <c r="M286" i="27"/>
  <c r="K286" i="27"/>
  <c r="I286" i="27"/>
  <c r="G286" i="27"/>
  <c r="E286" i="27"/>
  <c r="AQ285" i="27"/>
  <c r="AO285" i="27"/>
  <c r="AM285" i="27"/>
  <c r="AK285" i="27"/>
  <c r="AI285" i="27"/>
  <c r="AG285" i="27"/>
  <c r="AE285" i="27"/>
  <c r="AC285" i="27"/>
  <c r="AA285" i="27"/>
  <c r="Y285" i="27"/>
  <c r="W285" i="27"/>
  <c r="U285" i="27"/>
  <c r="S285" i="27"/>
  <c r="Q285" i="27"/>
  <c r="O285" i="27"/>
  <c r="M285" i="27"/>
  <c r="K285" i="27"/>
  <c r="I285" i="27"/>
  <c r="G285" i="27"/>
  <c r="E285" i="27"/>
  <c r="AQ284" i="27"/>
  <c r="AO284" i="27"/>
  <c r="AM284" i="27"/>
  <c r="AK284" i="27"/>
  <c r="AI284" i="27"/>
  <c r="AG284" i="27"/>
  <c r="AE284" i="27"/>
  <c r="AC284" i="27"/>
  <c r="AA284" i="27"/>
  <c r="Y284" i="27"/>
  <c r="W284" i="27"/>
  <c r="U284" i="27"/>
  <c r="S284" i="27"/>
  <c r="Q284" i="27"/>
  <c r="O284" i="27"/>
  <c r="M284" i="27"/>
  <c r="K284" i="27"/>
  <c r="I284" i="27"/>
  <c r="G284" i="27"/>
  <c r="E284" i="27"/>
  <c r="AQ283" i="27"/>
  <c r="AO283" i="27"/>
  <c r="AM283" i="27"/>
  <c r="AK283" i="27"/>
  <c r="AI283" i="27"/>
  <c r="AG283" i="27"/>
  <c r="AE283" i="27"/>
  <c r="AC283" i="27"/>
  <c r="AA283" i="27"/>
  <c r="Y283" i="27"/>
  <c r="W283" i="27"/>
  <c r="U283" i="27"/>
  <c r="S283" i="27"/>
  <c r="Q283" i="27"/>
  <c r="O283" i="27"/>
  <c r="M283" i="27"/>
  <c r="K283" i="27"/>
  <c r="I283" i="27"/>
  <c r="G283" i="27"/>
  <c r="E283" i="27"/>
  <c r="AQ282" i="27"/>
  <c r="AO282" i="27"/>
  <c r="AM282" i="27"/>
  <c r="AK282" i="27"/>
  <c r="AI282" i="27"/>
  <c r="AG282" i="27"/>
  <c r="AE282" i="27"/>
  <c r="AC282" i="27"/>
  <c r="AA282" i="27"/>
  <c r="Y282" i="27"/>
  <c r="W282" i="27"/>
  <c r="U282" i="27"/>
  <c r="S282" i="27"/>
  <c r="Q282" i="27"/>
  <c r="O282" i="27"/>
  <c r="M282" i="27"/>
  <c r="K282" i="27"/>
  <c r="I282" i="27"/>
  <c r="G282" i="27"/>
  <c r="E282" i="27"/>
  <c r="AQ281" i="27"/>
  <c r="AO281" i="27"/>
  <c r="AM281" i="27"/>
  <c r="AK281" i="27"/>
  <c r="AI281" i="27"/>
  <c r="AG281" i="27"/>
  <c r="AE281" i="27"/>
  <c r="AC281" i="27"/>
  <c r="AA281" i="27"/>
  <c r="Y281" i="27"/>
  <c r="W281" i="27"/>
  <c r="U281" i="27"/>
  <c r="S281" i="27"/>
  <c r="Q281" i="27"/>
  <c r="O281" i="27"/>
  <c r="M281" i="27"/>
  <c r="K281" i="27"/>
  <c r="I281" i="27"/>
  <c r="G281" i="27"/>
  <c r="E281" i="27"/>
  <c r="AQ280" i="27"/>
  <c r="AO280" i="27"/>
  <c r="AM280" i="27"/>
  <c r="AK280" i="27"/>
  <c r="AI280" i="27"/>
  <c r="AG280" i="27"/>
  <c r="AE280" i="27"/>
  <c r="AC280" i="27"/>
  <c r="AA280" i="27"/>
  <c r="Y280" i="27"/>
  <c r="W280" i="27"/>
  <c r="U280" i="27"/>
  <c r="S280" i="27"/>
  <c r="Q280" i="27"/>
  <c r="O280" i="27"/>
  <c r="M280" i="27"/>
  <c r="K280" i="27"/>
  <c r="I280" i="27"/>
  <c r="G280" i="27"/>
  <c r="E280" i="27"/>
  <c r="AQ279" i="27"/>
  <c r="AO279" i="27"/>
  <c r="AM279" i="27"/>
  <c r="AK279" i="27"/>
  <c r="AI279" i="27"/>
  <c r="AG279" i="27"/>
  <c r="AE279" i="27"/>
  <c r="AC279" i="27"/>
  <c r="AA279" i="27"/>
  <c r="Y279" i="27"/>
  <c r="W279" i="27"/>
  <c r="U279" i="27"/>
  <c r="S279" i="27"/>
  <c r="Q279" i="27"/>
  <c r="O279" i="27"/>
  <c r="M279" i="27"/>
  <c r="K279" i="27"/>
  <c r="I279" i="27"/>
  <c r="G279" i="27"/>
  <c r="E279" i="27"/>
  <c r="AQ278" i="27"/>
  <c r="AO278" i="27"/>
  <c r="AM278" i="27"/>
  <c r="AK278" i="27"/>
  <c r="AI278" i="27"/>
  <c r="AG278" i="27"/>
  <c r="AE278" i="27"/>
  <c r="AC278" i="27"/>
  <c r="AA278" i="27"/>
  <c r="Y278" i="27"/>
  <c r="W278" i="27"/>
  <c r="U278" i="27"/>
  <c r="S278" i="27"/>
  <c r="Q278" i="27"/>
  <c r="O278" i="27"/>
  <c r="M278" i="27"/>
  <c r="K278" i="27"/>
  <c r="I278" i="27"/>
  <c r="G278" i="27"/>
  <c r="E278" i="27"/>
  <c r="AQ277" i="27"/>
  <c r="AO277" i="27"/>
  <c r="AM277" i="27"/>
  <c r="AK277" i="27"/>
  <c r="AI277" i="27"/>
  <c r="AG277" i="27"/>
  <c r="AE277" i="27"/>
  <c r="AC277" i="27"/>
  <c r="AA277" i="27"/>
  <c r="Y277" i="27"/>
  <c r="W277" i="27"/>
  <c r="U277" i="27"/>
  <c r="S277" i="27"/>
  <c r="Q277" i="27"/>
  <c r="O277" i="27"/>
  <c r="M277" i="27"/>
  <c r="K277" i="27"/>
  <c r="I277" i="27"/>
  <c r="G277" i="27"/>
  <c r="E277" i="27"/>
  <c r="AQ276" i="27"/>
  <c r="AO276" i="27"/>
  <c r="AM276" i="27"/>
  <c r="AK276" i="27"/>
  <c r="AI276" i="27"/>
  <c r="AG276" i="27"/>
  <c r="AE276" i="27"/>
  <c r="AC276" i="27"/>
  <c r="AA276" i="27"/>
  <c r="Y276" i="27"/>
  <c r="W276" i="27"/>
  <c r="U276" i="27"/>
  <c r="S276" i="27"/>
  <c r="Q276" i="27"/>
  <c r="O276" i="27"/>
  <c r="M276" i="27"/>
  <c r="K276" i="27"/>
  <c r="I276" i="27"/>
  <c r="G276" i="27"/>
  <c r="E276" i="27"/>
  <c r="AQ275" i="27"/>
  <c r="AO275" i="27"/>
  <c r="AM275" i="27"/>
  <c r="AK275" i="27"/>
  <c r="AI275" i="27"/>
  <c r="AG275" i="27"/>
  <c r="AE275" i="27"/>
  <c r="AC275" i="27"/>
  <c r="AA275" i="27"/>
  <c r="Y275" i="27"/>
  <c r="W275" i="27"/>
  <c r="U275" i="27"/>
  <c r="S275" i="27"/>
  <c r="Q275" i="27"/>
  <c r="O275" i="27"/>
  <c r="M275" i="27"/>
  <c r="K275" i="27"/>
  <c r="I275" i="27"/>
  <c r="G275" i="27"/>
  <c r="E275" i="27"/>
  <c r="AQ274" i="27"/>
  <c r="AO274" i="27"/>
  <c r="AM274" i="27"/>
  <c r="AK274" i="27"/>
  <c r="AI274" i="27"/>
  <c r="AG274" i="27"/>
  <c r="AE274" i="27"/>
  <c r="AC274" i="27"/>
  <c r="AA274" i="27"/>
  <c r="Y274" i="27"/>
  <c r="W274" i="27"/>
  <c r="U274" i="27"/>
  <c r="S274" i="27"/>
  <c r="Q274" i="27"/>
  <c r="O274" i="27"/>
  <c r="M274" i="27"/>
  <c r="K274" i="27"/>
  <c r="I274" i="27"/>
  <c r="G274" i="27"/>
  <c r="E274" i="27"/>
  <c r="AQ273" i="27"/>
  <c r="AO273" i="27"/>
  <c r="AM273" i="27"/>
  <c r="AK273" i="27"/>
  <c r="AI273" i="27"/>
  <c r="AG273" i="27"/>
  <c r="AE273" i="27"/>
  <c r="AC273" i="27"/>
  <c r="AA273" i="27"/>
  <c r="Y273" i="27"/>
  <c r="W273" i="27"/>
  <c r="U273" i="27"/>
  <c r="S273" i="27"/>
  <c r="Q273" i="27"/>
  <c r="O273" i="27"/>
  <c r="M273" i="27"/>
  <c r="K273" i="27"/>
  <c r="I273" i="27"/>
  <c r="G273" i="27"/>
  <c r="E273" i="27"/>
  <c r="AQ272" i="27"/>
  <c r="AO272" i="27"/>
  <c r="AM272" i="27"/>
  <c r="AK272" i="27"/>
  <c r="AI272" i="27"/>
  <c r="AG272" i="27"/>
  <c r="AE272" i="27"/>
  <c r="AC272" i="27"/>
  <c r="AA272" i="27"/>
  <c r="Y272" i="27"/>
  <c r="W272" i="27"/>
  <c r="U272" i="27"/>
  <c r="S272" i="27"/>
  <c r="Q272" i="27"/>
  <c r="O272" i="27"/>
  <c r="M272" i="27"/>
  <c r="K272" i="27"/>
  <c r="I272" i="27"/>
  <c r="G272" i="27"/>
  <c r="E272" i="27"/>
  <c r="AQ271" i="27"/>
  <c r="AO271" i="27"/>
  <c r="AM271" i="27"/>
  <c r="AK271" i="27"/>
  <c r="AI271" i="27"/>
  <c r="AG271" i="27"/>
  <c r="AE271" i="27"/>
  <c r="AC271" i="27"/>
  <c r="AA271" i="27"/>
  <c r="Y271" i="27"/>
  <c r="W271" i="27"/>
  <c r="U271" i="27"/>
  <c r="S271" i="27"/>
  <c r="Q271" i="27"/>
  <c r="O271" i="27"/>
  <c r="M271" i="27"/>
  <c r="K271" i="27"/>
  <c r="I271" i="27"/>
  <c r="G271" i="27"/>
  <c r="E271" i="27"/>
  <c r="AQ270" i="27"/>
  <c r="AO270" i="27"/>
  <c r="AM270" i="27"/>
  <c r="AK270" i="27"/>
  <c r="AI270" i="27"/>
  <c r="AG270" i="27"/>
  <c r="AE270" i="27"/>
  <c r="AC270" i="27"/>
  <c r="AA270" i="27"/>
  <c r="Y270" i="27"/>
  <c r="W270" i="27"/>
  <c r="U270" i="27"/>
  <c r="S270" i="27"/>
  <c r="Q270" i="27"/>
  <c r="O270" i="27"/>
  <c r="M270" i="27"/>
  <c r="K270" i="27"/>
  <c r="I270" i="27"/>
  <c r="G270" i="27"/>
  <c r="E270" i="27"/>
  <c r="AQ269" i="27"/>
  <c r="AO269" i="27"/>
  <c r="AM269" i="27"/>
  <c r="AK269" i="27"/>
  <c r="AI269" i="27"/>
  <c r="AG269" i="27"/>
  <c r="AE269" i="27"/>
  <c r="AC269" i="27"/>
  <c r="AA269" i="27"/>
  <c r="Y269" i="27"/>
  <c r="W269" i="27"/>
  <c r="U269" i="27"/>
  <c r="S269" i="27"/>
  <c r="Q269" i="27"/>
  <c r="O269" i="27"/>
  <c r="M269" i="27"/>
  <c r="K269" i="27"/>
  <c r="I269" i="27"/>
  <c r="G269" i="27"/>
  <c r="E269" i="27"/>
  <c r="AQ268" i="27"/>
  <c r="AO268" i="27"/>
  <c r="AM268" i="27"/>
  <c r="AK268" i="27"/>
  <c r="AI268" i="27"/>
  <c r="AG268" i="27"/>
  <c r="AE268" i="27"/>
  <c r="AC268" i="27"/>
  <c r="AA268" i="27"/>
  <c r="Y268" i="27"/>
  <c r="W268" i="27"/>
  <c r="U268" i="27"/>
  <c r="S268" i="27"/>
  <c r="Q268" i="27"/>
  <c r="O268" i="27"/>
  <c r="M268" i="27"/>
  <c r="K268" i="27"/>
  <c r="I268" i="27"/>
  <c r="G268" i="27"/>
  <c r="E268" i="27"/>
  <c r="AQ267" i="27"/>
  <c r="AO267" i="27"/>
  <c r="AM267" i="27"/>
  <c r="AK267" i="27"/>
  <c r="AI267" i="27"/>
  <c r="AG267" i="27"/>
  <c r="AE267" i="27"/>
  <c r="AC267" i="27"/>
  <c r="AA267" i="27"/>
  <c r="Y267" i="27"/>
  <c r="W267" i="27"/>
  <c r="U267" i="27"/>
  <c r="S267" i="27"/>
  <c r="Q267" i="27"/>
  <c r="O267" i="27"/>
  <c r="M267" i="27"/>
  <c r="K267" i="27"/>
  <c r="I267" i="27"/>
  <c r="G267" i="27"/>
  <c r="E267" i="27"/>
  <c r="AQ266" i="27"/>
  <c r="AO266" i="27"/>
  <c r="AM266" i="27"/>
  <c r="AK266" i="27"/>
  <c r="AI266" i="27"/>
  <c r="AG266" i="27"/>
  <c r="AE266" i="27"/>
  <c r="AC266" i="27"/>
  <c r="AA266" i="27"/>
  <c r="Y266" i="27"/>
  <c r="W266" i="27"/>
  <c r="U266" i="27"/>
  <c r="S266" i="27"/>
  <c r="Q266" i="27"/>
  <c r="O266" i="27"/>
  <c r="M266" i="27"/>
  <c r="K266" i="27"/>
  <c r="I266" i="27"/>
  <c r="G266" i="27"/>
  <c r="E266" i="27"/>
  <c r="AQ265" i="27"/>
  <c r="AO265" i="27"/>
  <c r="AM265" i="27"/>
  <c r="AK265" i="27"/>
  <c r="AI265" i="27"/>
  <c r="AG265" i="27"/>
  <c r="AE265" i="27"/>
  <c r="AC265" i="27"/>
  <c r="AA265" i="27"/>
  <c r="Y265" i="27"/>
  <c r="W265" i="27"/>
  <c r="U265" i="27"/>
  <c r="S265" i="27"/>
  <c r="Q265" i="27"/>
  <c r="O265" i="27"/>
  <c r="M265" i="27"/>
  <c r="K265" i="27"/>
  <c r="I265" i="27"/>
  <c r="G265" i="27"/>
  <c r="E265" i="27"/>
  <c r="AQ264" i="27"/>
  <c r="AO264" i="27"/>
  <c r="AM264" i="27"/>
  <c r="AK264" i="27"/>
  <c r="AI264" i="27"/>
  <c r="AG264" i="27"/>
  <c r="AE264" i="27"/>
  <c r="AC264" i="27"/>
  <c r="AA264" i="27"/>
  <c r="Y264" i="27"/>
  <c r="W264" i="27"/>
  <c r="U264" i="27"/>
  <c r="S264" i="27"/>
  <c r="Q264" i="27"/>
  <c r="O264" i="27"/>
  <c r="M264" i="27"/>
  <c r="K264" i="27"/>
  <c r="I264" i="27"/>
  <c r="G264" i="27"/>
  <c r="E264" i="27"/>
  <c r="AQ263" i="27"/>
  <c r="AO263" i="27"/>
  <c r="AM263" i="27"/>
  <c r="AK263" i="27"/>
  <c r="AI263" i="27"/>
  <c r="AG263" i="27"/>
  <c r="AE263" i="27"/>
  <c r="AC263" i="27"/>
  <c r="AA263" i="27"/>
  <c r="Y263" i="27"/>
  <c r="W263" i="27"/>
  <c r="U263" i="27"/>
  <c r="S263" i="27"/>
  <c r="Q263" i="27"/>
  <c r="O263" i="27"/>
  <c r="M263" i="27"/>
  <c r="K263" i="27"/>
  <c r="I263" i="27"/>
  <c r="G263" i="27"/>
  <c r="E263" i="27"/>
  <c r="AQ262" i="27"/>
  <c r="AO262" i="27"/>
  <c r="AM262" i="27"/>
  <c r="AK262" i="27"/>
  <c r="AI262" i="27"/>
  <c r="AG262" i="27"/>
  <c r="AE262" i="27"/>
  <c r="AC262" i="27"/>
  <c r="AA262" i="27"/>
  <c r="Y262" i="27"/>
  <c r="W262" i="27"/>
  <c r="U262" i="27"/>
  <c r="S262" i="27"/>
  <c r="Q262" i="27"/>
  <c r="O262" i="27"/>
  <c r="M262" i="27"/>
  <c r="K262" i="27"/>
  <c r="I262" i="27"/>
  <c r="G262" i="27"/>
  <c r="E262" i="27"/>
  <c r="AQ261" i="27"/>
  <c r="AO261" i="27"/>
  <c r="AM261" i="27"/>
  <c r="AK261" i="27"/>
  <c r="AI261" i="27"/>
  <c r="AG261" i="27"/>
  <c r="AE261" i="27"/>
  <c r="AC261" i="27"/>
  <c r="AA261" i="27"/>
  <c r="Y261" i="27"/>
  <c r="W261" i="27"/>
  <c r="U261" i="27"/>
  <c r="S261" i="27"/>
  <c r="Q261" i="27"/>
  <c r="O261" i="27"/>
  <c r="M261" i="27"/>
  <c r="K261" i="27"/>
  <c r="I261" i="27"/>
  <c r="G261" i="27"/>
  <c r="E261" i="27"/>
  <c r="AQ260" i="27"/>
  <c r="AO260" i="27"/>
  <c r="AM260" i="27"/>
  <c r="AK260" i="27"/>
  <c r="AI260" i="27"/>
  <c r="AG260" i="27"/>
  <c r="AE260" i="27"/>
  <c r="AC260" i="27"/>
  <c r="AA260" i="27"/>
  <c r="Y260" i="27"/>
  <c r="W260" i="27"/>
  <c r="U260" i="27"/>
  <c r="S260" i="27"/>
  <c r="Q260" i="27"/>
  <c r="O260" i="27"/>
  <c r="M260" i="27"/>
  <c r="K260" i="27"/>
  <c r="I260" i="27"/>
  <c r="G260" i="27"/>
  <c r="E260" i="27"/>
  <c r="AQ259" i="27"/>
  <c r="AO259" i="27"/>
  <c r="AM259" i="27"/>
  <c r="AK259" i="27"/>
  <c r="AI259" i="27"/>
  <c r="AG259" i="27"/>
  <c r="AE259" i="27"/>
  <c r="AC259" i="27"/>
  <c r="AA259" i="27"/>
  <c r="Y259" i="27"/>
  <c r="W259" i="27"/>
  <c r="U259" i="27"/>
  <c r="S259" i="27"/>
  <c r="Q259" i="27"/>
  <c r="O259" i="27"/>
  <c r="M259" i="27"/>
  <c r="K259" i="27"/>
  <c r="I259" i="27"/>
  <c r="G259" i="27"/>
  <c r="E259" i="27"/>
  <c r="AQ258" i="27"/>
  <c r="AO258" i="27"/>
  <c r="AM258" i="27"/>
  <c r="AK258" i="27"/>
  <c r="AI258" i="27"/>
  <c r="AG258" i="27"/>
  <c r="AE258" i="27"/>
  <c r="AC258" i="27"/>
  <c r="AA258" i="27"/>
  <c r="Y258" i="27"/>
  <c r="W258" i="27"/>
  <c r="U258" i="27"/>
  <c r="S258" i="27"/>
  <c r="Q258" i="27"/>
  <c r="O258" i="27"/>
  <c r="M258" i="27"/>
  <c r="K258" i="27"/>
  <c r="I258" i="27"/>
  <c r="G258" i="27"/>
  <c r="E258" i="27"/>
  <c r="AQ257" i="27"/>
  <c r="AO257" i="27"/>
  <c r="AM257" i="27"/>
  <c r="AK257" i="27"/>
  <c r="AI257" i="27"/>
  <c r="AG257" i="27"/>
  <c r="AE257" i="27"/>
  <c r="AC257" i="27"/>
  <c r="AA257" i="27"/>
  <c r="Y257" i="27"/>
  <c r="W257" i="27"/>
  <c r="U257" i="27"/>
  <c r="S257" i="27"/>
  <c r="Q257" i="27"/>
  <c r="O257" i="27"/>
  <c r="M257" i="27"/>
  <c r="K257" i="27"/>
  <c r="I257" i="27"/>
  <c r="G257" i="27"/>
  <c r="E257" i="27"/>
  <c r="AQ256" i="27"/>
  <c r="AO256" i="27"/>
  <c r="AM256" i="27"/>
  <c r="AK256" i="27"/>
  <c r="AI256" i="27"/>
  <c r="AG256" i="27"/>
  <c r="AE256" i="27"/>
  <c r="AC256" i="27"/>
  <c r="AA256" i="27"/>
  <c r="Y256" i="27"/>
  <c r="W256" i="27"/>
  <c r="U256" i="27"/>
  <c r="S256" i="27"/>
  <c r="Q256" i="27"/>
  <c r="O256" i="27"/>
  <c r="M256" i="27"/>
  <c r="K256" i="27"/>
  <c r="I256" i="27"/>
  <c r="G256" i="27"/>
  <c r="E256" i="27"/>
  <c r="AQ255" i="27"/>
  <c r="AO255" i="27"/>
  <c r="AM255" i="27"/>
  <c r="AK255" i="27"/>
  <c r="AI255" i="27"/>
  <c r="AG255" i="27"/>
  <c r="AE255" i="27"/>
  <c r="AC255" i="27"/>
  <c r="AA255" i="27"/>
  <c r="Y255" i="27"/>
  <c r="W255" i="27"/>
  <c r="U255" i="27"/>
  <c r="S255" i="27"/>
  <c r="Q255" i="27"/>
  <c r="O255" i="27"/>
  <c r="M255" i="27"/>
  <c r="K255" i="27"/>
  <c r="I255" i="27"/>
  <c r="G255" i="27"/>
  <c r="E255" i="27"/>
  <c r="AQ254" i="27"/>
  <c r="AO254" i="27"/>
  <c r="AM254" i="27"/>
  <c r="AK254" i="27"/>
  <c r="AI254" i="27"/>
  <c r="AG254" i="27"/>
  <c r="AE254" i="27"/>
  <c r="AC254" i="27"/>
  <c r="AA254" i="27"/>
  <c r="Y254" i="27"/>
  <c r="W254" i="27"/>
  <c r="U254" i="27"/>
  <c r="S254" i="27"/>
  <c r="Q254" i="27"/>
  <c r="O254" i="27"/>
  <c r="M254" i="27"/>
  <c r="K254" i="27"/>
  <c r="I254" i="27"/>
  <c r="G254" i="27"/>
  <c r="E254" i="27"/>
  <c r="AQ253" i="27"/>
  <c r="AO253" i="27"/>
  <c r="AM253" i="27"/>
  <c r="AK253" i="27"/>
  <c r="AI253" i="27"/>
  <c r="AG253" i="27"/>
  <c r="AE253" i="27"/>
  <c r="AC253" i="27"/>
  <c r="AA253" i="27"/>
  <c r="Y253" i="27"/>
  <c r="W253" i="27"/>
  <c r="U253" i="27"/>
  <c r="S253" i="27"/>
  <c r="Q253" i="27"/>
  <c r="O253" i="27"/>
  <c r="M253" i="27"/>
  <c r="K253" i="27"/>
  <c r="I253" i="27"/>
  <c r="G253" i="27"/>
  <c r="E253" i="27"/>
  <c r="AQ252" i="27"/>
  <c r="AO252" i="27"/>
  <c r="AM252" i="27"/>
  <c r="AK252" i="27"/>
  <c r="AI252" i="27"/>
  <c r="AG252" i="27"/>
  <c r="AE252" i="27"/>
  <c r="AC252" i="27"/>
  <c r="AA252" i="27"/>
  <c r="Y252" i="27"/>
  <c r="W252" i="27"/>
  <c r="U252" i="27"/>
  <c r="S252" i="27"/>
  <c r="Q252" i="27"/>
  <c r="O252" i="27"/>
  <c r="M252" i="27"/>
  <c r="K252" i="27"/>
  <c r="I252" i="27"/>
  <c r="G252" i="27"/>
  <c r="E252" i="27"/>
  <c r="AQ251" i="27"/>
  <c r="AO251" i="27"/>
  <c r="AM251" i="27"/>
  <c r="AK251" i="27"/>
  <c r="AI251" i="27"/>
  <c r="AG251" i="27"/>
  <c r="AE251" i="27"/>
  <c r="AC251" i="27"/>
  <c r="AA251" i="27"/>
  <c r="Y251" i="27"/>
  <c r="W251" i="27"/>
  <c r="U251" i="27"/>
  <c r="S251" i="27"/>
  <c r="Q251" i="27"/>
  <c r="O251" i="27"/>
  <c r="M251" i="27"/>
  <c r="K251" i="27"/>
  <c r="I251" i="27"/>
  <c r="G251" i="27"/>
  <c r="E251" i="27"/>
  <c r="AQ250" i="27"/>
  <c r="AO250" i="27"/>
  <c r="AM250" i="27"/>
  <c r="AK250" i="27"/>
  <c r="AI250" i="27"/>
  <c r="AG250" i="27"/>
  <c r="AE250" i="27"/>
  <c r="AC250" i="27"/>
  <c r="AA250" i="27"/>
  <c r="Y250" i="27"/>
  <c r="W250" i="27"/>
  <c r="U250" i="27"/>
  <c r="S250" i="27"/>
  <c r="Q250" i="27"/>
  <c r="O250" i="27"/>
  <c r="M250" i="27"/>
  <c r="K250" i="27"/>
  <c r="I250" i="27"/>
  <c r="G250" i="27"/>
  <c r="E250" i="27"/>
  <c r="AQ249" i="27"/>
  <c r="AO249" i="27"/>
  <c r="AM249" i="27"/>
  <c r="AK249" i="27"/>
  <c r="AI249" i="27"/>
  <c r="AG249" i="27"/>
  <c r="AE249" i="27"/>
  <c r="AC249" i="27"/>
  <c r="AA249" i="27"/>
  <c r="Y249" i="27"/>
  <c r="W249" i="27"/>
  <c r="U249" i="27"/>
  <c r="S249" i="27"/>
  <c r="Q249" i="27"/>
  <c r="O249" i="27"/>
  <c r="M249" i="27"/>
  <c r="K249" i="27"/>
  <c r="I249" i="27"/>
  <c r="G249" i="27"/>
  <c r="E249" i="27"/>
  <c r="AQ248" i="27"/>
  <c r="AO248" i="27"/>
  <c r="AM248" i="27"/>
  <c r="AK248" i="27"/>
  <c r="AI248" i="27"/>
  <c r="AG248" i="27"/>
  <c r="AE248" i="27"/>
  <c r="AC248" i="27"/>
  <c r="AA248" i="27"/>
  <c r="Y248" i="27"/>
  <c r="W248" i="27"/>
  <c r="U248" i="27"/>
  <c r="S248" i="27"/>
  <c r="Q248" i="27"/>
  <c r="O248" i="27"/>
  <c r="M248" i="27"/>
  <c r="K248" i="27"/>
  <c r="I248" i="27"/>
  <c r="G248" i="27"/>
  <c r="E248" i="27"/>
  <c r="AQ247" i="27"/>
  <c r="AO247" i="27"/>
  <c r="AM247" i="27"/>
  <c r="AK247" i="27"/>
  <c r="AI247" i="27"/>
  <c r="AG247" i="27"/>
  <c r="AE247" i="27"/>
  <c r="AC247" i="27"/>
  <c r="AA247" i="27"/>
  <c r="Y247" i="27"/>
  <c r="W247" i="27"/>
  <c r="U247" i="27"/>
  <c r="S247" i="27"/>
  <c r="Q247" i="27"/>
  <c r="O247" i="27"/>
  <c r="M247" i="27"/>
  <c r="K247" i="27"/>
  <c r="I247" i="27"/>
  <c r="G247" i="27"/>
  <c r="E247" i="27"/>
  <c r="AQ246" i="27"/>
  <c r="AO246" i="27"/>
  <c r="AM246" i="27"/>
  <c r="AK246" i="27"/>
  <c r="AI246" i="27"/>
  <c r="AG246" i="27"/>
  <c r="AE246" i="27"/>
  <c r="AC246" i="27"/>
  <c r="AA246" i="27"/>
  <c r="Y246" i="27"/>
  <c r="W246" i="27"/>
  <c r="U246" i="27"/>
  <c r="S246" i="27"/>
  <c r="Q246" i="27"/>
  <c r="O246" i="27"/>
  <c r="M246" i="27"/>
  <c r="K246" i="27"/>
  <c r="I246" i="27"/>
  <c r="G246" i="27"/>
  <c r="E246" i="27"/>
  <c r="AQ245" i="27"/>
  <c r="AO245" i="27"/>
  <c r="AM245" i="27"/>
  <c r="AK245" i="27"/>
  <c r="AI245" i="27"/>
  <c r="AG245" i="27"/>
  <c r="AE245" i="27"/>
  <c r="AC245" i="27"/>
  <c r="AA245" i="27"/>
  <c r="Y245" i="27"/>
  <c r="W245" i="27"/>
  <c r="U245" i="27"/>
  <c r="S245" i="27"/>
  <c r="Q245" i="27"/>
  <c r="O245" i="27"/>
  <c r="M245" i="27"/>
  <c r="K245" i="27"/>
  <c r="I245" i="27"/>
  <c r="G245" i="27"/>
  <c r="E245" i="27"/>
  <c r="AQ244" i="27"/>
  <c r="AO244" i="27"/>
  <c r="AM244" i="27"/>
  <c r="AK244" i="27"/>
  <c r="AI244" i="27"/>
  <c r="AG244" i="27"/>
  <c r="AE244" i="27"/>
  <c r="AC244" i="27"/>
  <c r="AA244" i="27"/>
  <c r="Y244" i="27"/>
  <c r="W244" i="27"/>
  <c r="U244" i="27"/>
  <c r="S244" i="27"/>
  <c r="Q244" i="27"/>
  <c r="O244" i="27"/>
  <c r="M244" i="27"/>
  <c r="K244" i="27"/>
  <c r="I244" i="27"/>
  <c r="G244" i="27"/>
  <c r="E244" i="27"/>
  <c r="AQ243" i="27"/>
  <c r="AO243" i="27"/>
  <c r="AM243" i="27"/>
  <c r="AK243" i="27"/>
  <c r="AI243" i="27"/>
  <c r="AG243" i="27"/>
  <c r="AE243" i="27"/>
  <c r="AC243" i="27"/>
  <c r="AA243" i="27"/>
  <c r="Y243" i="27"/>
  <c r="W243" i="27"/>
  <c r="U243" i="27"/>
  <c r="S243" i="27"/>
  <c r="Q243" i="27"/>
  <c r="O243" i="27"/>
  <c r="M243" i="27"/>
  <c r="K243" i="27"/>
  <c r="I243" i="27"/>
  <c r="G243" i="27"/>
  <c r="E243" i="27"/>
  <c r="AQ242" i="27"/>
  <c r="AO242" i="27"/>
  <c r="AM242" i="27"/>
  <c r="AK242" i="27"/>
  <c r="AI242" i="27"/>
  <c r="AG242" i="27"/>
  <c r="AE242" i="27"/>
  <c r="AC242" i="27"/>
  <c r="AA242" i="27"/>
  <c r="Y242" i="27"/>
  <c r="W242" i="27"/>
  <c r="U242" i="27"/>
  <c r="S242" i="27"/>
  <c r="Q242" i="27"/>
  <c r="O242" i="27"/>
  <c r="M242" i="27"/>
  <c r="K242" i="27"/>
  <c r="I242" i="27"/>
  <c r="G242" i="27"/>
  <c r="E242" i="27"/>
  <c r="AQ241" i="27"/>
  <c r="AO241" i="27"/>
  <c r="AM241" i="27"/>
  <c r="AK241" i="27"/>
  <c r="AI241" i="27"/>
  <c r="AG241" i="27"/>
  <c r="AE241" i="27"/>
  <c r="AC241" i="27"/>
  <c r="AA241" i="27"/>
  <c r="Y241" i="27"/>
  <c r="W241" i="27"/>
  <c r="U241" i="27"/>
  <c r="S241" i="27"/>
  <c r="Q241" i="27"/>
  <c r="O241" i="27"/>
  <c r="M241" i="27"/>
  <c r="K241" i="27"/>
  <c r="I241" i="27"/>
  <c r="G241" i="27"/>
  <c r="E241" i="27"/>
  <c r="AQ240" i="27"/>
  <c r="AO240" i="27"/>
  <c r="AM240" i="27"/>
  <c r="AK240" i="27"/>
  <c r="AI240" i="27"/>
  <c r="AG240" i="27"/>
  <c r="AE240" i="27"/>
  <c r="AC240" i="27"/>
  <c r="AA240" i="27"/>
  <c r="Y240" i="27"/>
  <c r="W240" i="27"/>
  <c r="U240" i="27"/>
  <c r="S240" i="27"/>
  <c r="Q240" i="27"/>
  <c r="O240" i="27"/>
  <c r="M240" i="27"/>
  <c r="K240" i="27"/>
  <c r="I240" i="27"/>
  <c r="G240" i="27"/>
  <c r="E240" i="27"/>
  <c r="AQ239" i="27"/>
  <c r="AO239" i="27"/>
  <c r="AM239" i="27"/>
  <c r="AK239" i="27"/>
  <c r="AI239" i="27"/>
  <c r="AG239" i="27"/>
  <c r="AE239" i="27"/>
  <c r="AC239" i="27"/>
  <c r="AA239" i="27"/>
  <c r="Y239" i="27"/>
  <c r="W239" i="27"/>
  <c r="U239" i="27"/>
  <c r="S239" i="27"/>
  <c r="Q239" i="27"/>
  <c r="O239" i="27"/>
  <c r="M239" i="27"/>
  <c r="K239" i="27"/>
  <c r="I239" i="27"/>
  <c r="G239" i="27"/>
  <c r="E239" i="27"/>
  <c r="AQ238" i="27"/>
  <c r="AO238" i="27"/>
  <c r="AM238" i="27"/>
  <c r="AK238" i="27"/>
  <c r="AI238" i="27"/>
  <c r="AG238" i="27"/>
  <c r="AE238" i="27"/>
  <c r="AC238" i="27"/>
  <c r="AA238" i="27"/>
  <c r="Y238" i="27"/>
  <c r="W238" i="27"/>
  <c r="U238" i="27"/>
  <c r="S238" i="27"/>
  <c r="Q238" i="27"/>
  <c r="O238" i="27"/>
  <c r="M238" i="27"/>
  <c r="K238" i="27"/>
  <c r="I238" i="27"/>
  <c r="G238" i="27"/>
  <c r="E238" i="27"/>
  <c r="AQ237" i="27"/>
  <c r="AO237" i="27"/>
  <c r="AM237" i="27"/>
  <c r="AK237" i="27"/>
  <c r="AI237" i="27"/>
  <c r="AG237" i="27"/>
  <c r="AE237" i="27"/>
  <c r="AC237" i="27"/>
  <c r="AA237" i="27"/>
  <c r="Y237" i="27"/>
  <c r="W237" i="27"/>
  <c r="U237" i="27"/>
  <c r="S237" i="27"/>
  <c r="Q237" i="27"/>
  <c r="O237" i="27"/>
  <c r="M237" i="27"/>
  <c r="K237" i="27"/>
  <c r="I237" i="27"/>
  <c r="G237" i="27"/>
  <c r="E237" i="27"/>
  <c r="AQ236" i="27"/>
  <c r="AO236" i="27"/>
  <c r="AM236" i="27"/>
  <c r="AK236" i="27"/>
  <c r="AI236" i="27"/>
  <c r="AG236" i="27"/>
  <c r="AE236" i="27"/>
  <c r="AC236" i="27"/>
  <c r="AA236" i="27"/>
  <c r="Y236" i="27"/>
  <c r="W236" i="27"/>
  <c r="U236" i="27"/>
  <c r="S236" i="27"/>
  <c r="Q236" i="27"/>
  <c r="O236" i="27"/>
  <c r="M236" i="27"/>
  <c r="K236" i="27"/>
  <c r="I236" i="27"/>
  <c r="G236" i="27"/>
  <c r="E236" i="27"/>
  <c r="AQ235" i="27"/>
  <c r="AO235" i="27"/>
  <c r="AM235" i="27"/>
  <c r="AK235" i="27"/>
  <c r="AI235" i="27"/>
  <c r="AG235" i="27"/>
  <c r="AE235" i="27"/>
  <c r="AC235" i="27"/>
  <c r="AA235" i="27"/>
  <c r="Y235" i="27"/>
  <c r="W235" i="27"/>
  <c r="U235" i="27"/>
  <c r="S235" i="27"/>
  <c r="Q235" i="27"/>
  <c r="O235" i="27"/>
  <c r="M235" i="27"/>
  <c r="K235" i="27"/>
  <c r="I235" i="27"/>
  <c r="G235" i="27"/>
  <c r="E235" i="27"/>
  <c r="AQ234" i="27"/>
  <c r="AO234" i="27"/>
  <c r="AM234" i="27"/>
  <c r="AK234" i="27"/>
  <c r="AI234" i="27"/>
  <c r="AG234" i="27"/>
  <c r="AE234" i="27"/>
  <c r="AC234" i="27"/>
  <c r="AA234" i="27"/>
  <c r="Y234" i="27"/>
  <c r="W234" i="27"/>
  <c r="U234" i="27"/>
  <c r="S234" i="27"/>
  <c r="Q234" i="27"/>
  <c r="O234" i="27"/>
  <c r="M234" i="27"/>
  <c r="K234" i="27"/>
  <c r="I234" i="27"/>
  <c r="G234" i="27"/>
  <c r="E234" i="27"/>
  <c r="AQ233" i="27"/>
  <c r="AO233" i="27"/>
  <c r="AM233" i="27"/>
  <c r="AK233" i="27"/>
  <c r="AI233" i="27"/>
  <c r="AG233" i="27"/>
  <c r="AE233" i="27"/>
  <c r="AC233" i="27"/>
  <c r="AA233" i="27"/>
  <c r="Y233" i="27"/>
  <c r="W233" i="27"/>
  <c r="U233" i="27"/>
  <c r="S233" i="27"/>
  <c r="Q233" i="27"/>
  <c r="O233" i="27"/>
  <c r="M233" i="27"/>
  <c r="K233" i="27"/>
  <c r="I233" i="27"/>
  <c r="G233" i="27"/>
  <c r="E233" i="27"/>
  <c r="AQ232" i="27"/>
  <c r="AO232" i="27"/>
  <c r="AM232" i="27"/>
  <c r="AK232" i="27"/>
  <c r="AI232" i="27"/>
  <c r="AG232" i="27"/>
  <c r="AE232" i="27"/>
  <c r="AC232" i="27"/>
  <c r="AA232" i="27"/>
  <c r="Y232" i="27"/>
  <c r="W232" i="27"/>
  <c r="U232" i="27"/>
  <c r="S232" i="27"/>
  <c r="Q232" i="27"/>
  <c r="O232" i="27"/>
  <c r="M232" i="27"/>
  <c r="K232" i="27"/>
  <c r="I232" i="27"/>
  <c r="G232" i="27"/>
  <c r="E232" i="27"/>
  <c r="AQ231" i="27"/>
  <c r="AO231" i="27"/>
  <c r="AM231" i="27"/>
  <c r="AK231" i="27"/>
  <c r="AI231" i="27"/>
  <c r="AG231" i="27"/>
  <c r="AE231" i="27"/>
  <c r="AC231" i="27"/>
  <c r="AA231" i="27"/>
  <c r="Y231" i="27"/>
  <c r="W231" i="27"/>
  <c r="U231" i="27"/>
  <c r="S231" i="27"/>
  <c r="Q231" i="27"/>
  <c r="O231" i="27"/>
  <c r="M231" i="27"/>
  <c r="K231" i="27"/>
  <c r="I231" i="27"/>
  <c r="G231" i="27"/>
  <c r="E231" i="27"/>
  <c r="AQ230" i="27"/>
  <c r="AO230" i="27"/>
  <c r="AM230" i="27"/>
  <c r="AK230" i="27"/>
  <c r="AI230" i="27"/>
  <c r="AG230" i="27"/>
  <c r="AE230" i="27"/>
  <c r="AC230" i="27"/>
  <c r="AA230" i="27"/>
  <c r="Y230" i="27"/>
  <c r="W230" i="27"/>
  <c r="U230" i="27"/>
  <c r="S230" i="27"/>
  <c r="Q230" i="27"/>
  <c r="O230" i="27"/>
  <c r="M230" i="27"/>
  <c r="K230" i="27"/>
  <c r="I230" i="27"/>
  <c r="G230" i="27"/>
  <c r="E230" i="27"/>
  <c r="AQ229" i="27"/>
  <c r="AO229" i="27"/>
  <c r="AM229" i="27"/>
  <c r="AK229" i="27"/>
  <c r="AI229" i="27"/>
  <c r="AG229" i="27"/>
  <c r="AE229" i="27"/>
  <c r="AC229" i="27"/>
  <c r="AA229" i="27"/>
  <c r="Y229" i="27"/>
  <c r="W229" i="27"/>
  <c r="U229" i="27"/>
  <c r="S229" i="27"/>
  <c r="Q229" i="27"/>
  <c r="O229" i="27"/>
  <c r="M229" i="27"/>
  <c r="K229" i="27"/>
  <c r="I229" i="27"/>
  <c r="G229" i="27"/>
  <c r="E229" i="27"/>
  <c r="AQ228" i="27"/>
  <c r="AO228" i="27"/>
  <c r="AM228" i="27"/>
  <c r="AK228" i="27"/>
  <c r="AI228" i="27"/>
  <c r="AG228" i="27"/>
  <c r="AE228" i="27"/>
  <c r="AC228" i="27"/>
  <c r="AA228" i="27"/>
  <c r="Y228" i="27"/>
  <c r="W228" i="27"/>
  <c r="U228" i="27"/>
  <c r="S228" i="27"/>
  <c r="Q228" i="27"/>
  <c r="O228" i="27"/>
  <c r="M228" i="27"/>
  <c r="K228" i="27"/>
  <c r="I228" i="27"/>
  <c r="G228" i="27"/>
  <c r="E228" i="27"/>
  <c r="AQ227" i="27"/>
  <c r="AO227" i="27"/>
  <c r="AM227" i="27"/>
  <c r="AK227" i="27"/>
  <c r="AI227" i="27"/>
  <c r="AG227" i="27"/>
  <c r="AE227" i="27"/>
  <c r="AC227" i="27"/>
  <c r="AA227" i="27"/>
  <c r="Y227" i="27"/>
  <c r="W227" i="27"/>
  <c r="U227" i="27"/>
  <c r="S227" i="27"/>
  <c r="Q227" i="27"/>
  <c r="O227" i="27"/>
  <c r="M227" i="27"/>
  <c r="K227" i="27"/>
  <c r="I227" i="27"/>
  <c r="G227" i="27"/>
  <c r="E227" i="27"/>
  <c r="AQ226" i="27"/>
  <c r="AO226" i="27"/>
  <c r="AM226" i="27"/>
  <c r="AK226" i="27"/>
  <c r="AI226" i="27"/>
  <c r="AG226" i="27"/>
  <c r="AE226" i="27"/>
  <c r="AC226" i="27"/>
  <c r="AA226" i="27"/>
  <c r="Y226" i="27"/>
  <c r="W226" i="27"/>
  <c r="U226" i="27"/>
  <c r="S226" i="27"/>
  <c r="Q226" i="27"/>
  <c r="O226" i="27"/>
  <c r="M226" i="27"/>
  <c r="K226" i="27"/>
  <c r="I226" i="27"/>
  <c r="G226" i="27"/>
  <c r="E226" i="27"/>
  <c r="AQ225" i="27"/>
  <c r="AO225" i="27"/>
  <c r="AM225" i="27"/>
  <c r="AK225" i="27"/>
  <c r="AI225" i="27"/>
  <c r="AG225" i="27"/>
  <c r="AE225" i="27"/>
  <c r="AC225" i="27"/>
  <c r="AA225" i="27"/>
  <c r="Y225" i="27"/>
  <c r="W225" i="27"/>
  <c r="U225" i="27"/>
  <c r="S225" i="27"/>
  <c r="Q225" i="27"/>
  <c r="O225" i="27"/>
  <c r="M225" i="27"/>
  <c r="K225" i="27"/>
  <c r="I225" i="27"/>
  <c r="G225" i="27"/>
  <c r="E225" i="27"/>
  <c r="AQ224" i="27"/>
  <c r="AO224" i="27"/>
  <c r="AM224" i="27"/>
  <c r="AK224" i="27"/>
  <c r="AI224" i="27"/>
  <c r="AG224" i="27"/>
  <c r="AE224" i="27"/>
  <c r="AC224" i="27"/>
  <c r="AA224" i="27"/>
  <c r="Y224" i="27"/>
  <c r="W224" i="27"/>
  <c r="U224" i="27"/>
  <c r="S224" i="27"/>
  <c r="Q224" i="27"/>
  <c r="O224" i="27"/>
  <c r="M224" i="27"/>
  <c r="K224" i="27"/>
  <c r="I224" i="27"/>
  <c r="G224" i="27"/>
  <c r="E224" i="27"/>
  <c r="AQ223" i="27"/>
  <c r="AO223" i="27"/>
  <c r="AM223" i="27"/>
  <c r="AK223" i="27"/>
  <c r="AI223" i="27"/>
  <c r="AG223" i="27"/>
  <c r="AE223" i="27"/>
  <c r="AC223" i="27"/>
  <c r="AA223" i="27"/>
  <c r="Y223" i="27"/>
  <c r="W223" i="27"/>
  <c r="U223" i="27"/>
  <c r="S223" i="27"/>
  <c r="Q223" i="27"/>
  <c r="O223" i="27"/>
  <c r="M223" i="27"/>
  <c r="K223" i="27"/>
  <c r="I223" i="27"/>
  <c r="G223" i="27"/>
  <c r="E223" i="27"/>
  <c r="AQ222" i="27"/>
  <c r="AO222" i="27"/>
  <c r="AM222" i="27"/>
  <c r="AK222" i="27"/>
  <c r="AI222" i="27"/>
  <c r="AG222" i="27"/>
  <c r="AE222" i="27"/>
  <c r="AC222" i="27"/>
  <c r="AA222" i="27"/>
  <c r="Y222" i="27"/>
  <c r="W222" i="27"/>
  <c r="U222" i="27"/>
  <c r="S222" i="27"/>
  <c r="Q222" i="27"/>
  <c r="O222" i="27"/>
  <c r="M222" i="27"/>
  <c r="K222" i="27"/>
  <c r="I222" i="27"/>
  <c r="G222" i="27"/>
  <c r="E222" i="27"/>
  <c r="AQ221" i="27"/>
  <c r="AO221" i="27"/>
  <c r="AM221" i="27"/>
  <c r="AK221" i="27"/>
  <c r="AI221" i="27"/>
  <c r="AG221" i="27"/>
  <c r="AE221" i="27"/>
  <c r="AC221" i="27"/>
  <c r="AA221" i="27"/>
  <c r="Y221" i="27"/>
  <c r="W221" i="27"/>
  <c r="U221" i="27"/>
  <c r="S221" i="27"/>
  <c r="Q221" i="27"/>
  <c r="O221" i="27"/>
  <c r="M221" i="27"/>
  <c r="K221" i="27"/>
  <c r="I221" i="27"/>
  <c r="G221" i="27"/>
  <c r="E221" i="27"/>
  <c r="AQ220" i="27"/>
  <c r="AO220" i="27"/>
  <c r="AM220" i="27"/>
  <c r="AK220" i="27"/>
  <c r="AI220" i="27"/>
  <c r="AG220" i="27"/>
  <c r="AE220" i="27"/>
  <c r="AC220" i="27"/>
  <c r="AA220" i="27"/>
  <c r="Y220" i="27"/>
  <c r="W220" i="27"/>
  <c r="U220" i="27"/>
  <c r="S220" i="27"/>
  <c r="Q220" i="27"/>
  <c r="O220" i="27"/>
  <c r="M220" i="27"/>
  <c r="K220" i="27"/>
  <c r="I220" i="27"/>
  <c r="G220" i="27"/>
  <c r="E220" i="27"/>
  <c r="AQ219" i="27"/>
  <c r="AO219" i="27"/>
  <c r="AM219" i="27"/>
  <c r="AK219" i="27"/>
  <c r="AI219" i="27"/>
  <c r="AG219" i="27"/>
  <c r="AE219" i="27"/>
  <c r="AC219" i="27"/>
  <c r="AA219" i="27"/>
  <c r="Y219" i="27"/>
  <c r="W219" i="27"/>
  <c r="U219" i="27"/>
  <c r="S219" i="27"/>
  <c r="Q219" i="27"/>
  <c r="O219" i="27"/>
  <c r="M219" i="27"/>
  <c r="K219" i="27"/>
  <c r="I219" i="27"/>
  <c r="G219" i="27"/>
  <c r="E219" i="27"/>
  <c r="AQ218" i="27"/>
  <c r="AO218" i="27"/>
  <c r="AM218" i="27"/>
  <c r="AK218" i="27"/>
  <c r="AI218" i="27"/>
  <c r="AG218" i="27"/>
  <c r="AE218" i="27"/>
  <c r="AC218" i="27"/>
  <c r="AA218" i="27"/>
  <c r="Y218" i="27"/>
  <c r="W218" i="27"/>
  <c r="U218" i="27"/>
  <c r="S218" i="27"/>
  <c r="Q218" i="27"/>
  <c r="O218" i="27"/>
  <c r="M218" i="27"/>
  <c r="K218" i="27"/>
  <c r="I218" i="27"/>
  <c r="G218" i="27"/>
  <c r="E218" i="27"/>
  <c r="AQ217" i="27"/>
  <c r="AO217" i="27"/>
  <c r="AM217" i="27"/>
  <c r="AK217" i="27"/>
  <c r="AI217" i="27"/>
  <c r="AG217" i="27"/>
  <c r="AE217" i="27"/>
  <c r="AC217" i="27"/>
  <c r="AA217" i="27"/>
  <c r="Y217" i="27"/>
  <c r="W217" i="27"/>
  <c r="U217" i="27"/>
  <c r="S217" i="27"/>
  <c r="Q217" i="27"/>
  <c r="O217" i="27"/>
  <c r="M217" i="27"/>
  <c r="K217" i="27"/>
  <c r="I217" i="27"/>
  <c r="G217" i="27"/>
  <c r="E217" i="27"/>
  <c r="AQ216" i="27"/>
  <c r="AO216" i="27"/>
  <c r="AM216" i="27"/>
  <c r="AK216" i="27"/>
  <c r="AI216" i="27"/>
  <c r="AG216" i="27"/>
  <c r="AE216" i="27"/>
  <c r="AC216" i="27"/>
  <c r="AA216" i="27"/>
  <c r="Y216" i="27"/>
  <c r="W216" i="27"/>
  <c r="U216" i="27"/>
  <c r="S216" i="27"/>
  <c r="Q216" i="27"/>
  <c r="O216" i="27"/>
  <c r="M216" i="27"/>
  <c r="K216" i="27"/>
  <c r="I216" i="27"/>
  <c r="G216" i="27"/>
  <c r="E216" i="27"/>
  <c r="AQ215" i="27"/>
  <c r="AO215" i="27"/>
  <c r="AM215" i="27"/>
  <c r="AK215" i="27"/>
  <c r="AI215" i="27"/>
  <c r="AG215" i="27"/>
  <c r="AE215" i="27"/>
  <c r="AC215" i="27"/>
  <c r="AA215" i="27"/>
  <c r="Y215" i="27"/>
  <c r="W215" i="27"/>
  <c r="U215" i="27"/>
  <c r="S215" i="27"/>
  <c r="Q215" i="27"/>
  <c r="O215" i="27"/>
  <c r="M215" i="27"/>
  <c r="K215" i="27"/>
  <c r="I215" i="27"/>
  <c r="G215" i="27"/>
  <c r="E215" i="27"/>
  <c r="AQ214" i="27"/>
  <c r="AO214" i="27"/>
  <c r="AM214" i="27"/>
  <c r="AK214" i="27"/>
  <c r="AI214" i="27"/>
  <c r="AG214" i="27"/>
  <c r="AE214" i="27"/>
  <c r="AC214" i="27"/>
  <c r="AA214" i="27"/>
  <c r="Y214" i="27"/>
  <c r="W214" i="27"/>
  <c r="U214" i="27"/>
  <c r="S214" i="27"/>
  <c r="Q214" i="27"/>
  <c r="O214" i="27"/>
  <c r="M214" i="27"/>
  <c r="K214" i="27"/>
  <c r="I214" i="27"/>
  <c r="G214" i="27"/>
  <c r="E214" i="27"/>
  <c r="AQ213" i="27"/>
  <c r="AO213" i="27"/>
  <c r="AM213" i="27"/>
  <c r="AK213" i="27"/>
  <c r="AI213" i="27"/>
  <c r="AG213" i="27"/>
  <c r="AE213" i="27"/>
  <c r="AC213" i="27"/>
  <c r="AA213" i="27"/>
  <c r="Y213" i="27"/>
  <c r="W213" i="27"/>
  <c r="U213" i="27"/>
  <c r="S213" i="27"/>
  <c r="Q213" i="27"/>
  <c r="O213" i="27"/>
  <c r="M213" i="27"/>
  <c r="K213" i="27"/>
  <c r="I213" i="27"/>
  <c r="G213" i="27"/>
  <c r="E213" i="27"/>
  <c r="AQ212" i="27"/>
  <c r="AO212" i="27"/>
  <c r="AM212" i="27"/>
  <c r="AK212" i="27"/>
  <c r="AI212" i="27"/>
  <c r="AG212" i="27"/>
  <c r="AE212" i="27"/>
  <c r="AC212" i="27"/>
  <c r="AA212" i="27"/>
  <c r="Y212" i="27"/>
  <c r="W212" i="27"/>
  <c r="U212" i="27"/>
  <c r="S212" i="27"/>
  <c r="Q212" i="27"/>
  <c r="O212" i="27"/>
  <c r="M212" i="27"/>
  <c r="K212" i="27"/>
  <c r="I212" i="27"/>
  <c r="G212" i="27"/>
  <c r="E212" i="27"/>
  <c r="AQ211" i="27"/>
  <c r="AO211" i="27"/>
  <c r="AM211" i="27"/>
  <c r="AK211" i="27"/>
  <c r="AI211" i="27"/>
  <c r="AG211" i="27"/>
  <c r="AE211" i="27"/>
  <c r="AC211" i="27"/>
  <c r="AA211" i="27"/>
  <c r="Y211" i="27"/>
  <c r="W211" i="27"/>
  <c r="U211" i="27"/>
  <c r="S211" i="27"/>
  <c r="Q211" i="27"/>
  <c r="O211" i="27"/>
  <c r="M211" i="27"/>
  <c r="K211" i="27"/>
  <c r="I211" i="27"/>
  <c r="G211" i="27"/>
  <c r="E211" i="27"/>
  <c r="AQ210" i="27"/>
  <c r="AO210" i="27"/>
  <c r="AM210" i="27"/>
  <c r="AK210" i="27"/>
  <c r="AI210" i="27"/>
  <c r="AG210" i="27"/>
  <c r="AE210" i="27"/>
  <c r="AC210" i="27"/>
  <c r="AA210" i="27"/>
  <c r="Y210" i="27"/>
  <c r="W210" i="27"/>
  <c r="U210" i="27"/>
  <c r="S210" i="27"/>
  <c r="Q210" i="27"/>
  <c r="O210" i="27"/>
  <c r="M210" i="27"/>
  <c r="K210" i="27"/>
  <c r="I210" i="27"/>
  <c r="G210" i="27"/>
  <c r="E210" i="27"/>
  <c r="AQ209" i="27"/>
  <c r="AO209" i="27"/>
  <c r="AM209" i="27"/>
  <c r="AK209" i="27"/>
  <c r="AI209" i="27"/>
  <c r="AG209" i="27"/>
  <c r="AE209" i="27"/>
  <c r="AC209" i="27"/>
  <c r="AA209" i="27"/>
  <c r="Y209" i="27"/>
  <c r="W209" i="27"/>
  <c r="U209" i="27"/>
  <c r="S209" i="27"/>
  <c r="Q209" i="27"/>
  <c r="O209" i="27"/>
  <c r="M209" i="27"/>
  <c r="K209" i="27"/>
  <c r="I209" i="27"/>
  <c r="G209" i="27"/>
  <c r="E209" i="27"/>
  <c r="AQ208" i="27"/>
  <c r="AO208" i="27"/>
  <c r="AM208" i="27"/>
  <c r="AK208" i="27"/>
  <c r="AI208" i="27"/>
  <c r="AG208" i="27"/>
  <c r="AE208" i="27"/>
  <c r="AC208" i="27"/>
  <c r="AA208" i="27"/>
  <c r="Y208" i="27"/>
  <c r="W208" i="27"/>
  <c r="U208" i="27"/>
  <c r="S208" i="27"/>
  <c r="Q208" i="27"/>
  <c r="O208" i="27"/>
  <c r="M208" i="27"/>
  <c r="K208" i="27"/>
  <c r="I208" i="27"/>
  <c r="G208" i="27"/>
  <c r="E208" i="27"/>
  <c r="AQ207" i="27"/>
  <c r="AO207" i="27"/>
  <c r="AM207" i="27"/>
  <c r="AK207" i="27"/>
  <c r="AI207" i="27"/>
  <c r="AG207" i="27"/>
  <c r="AE207" i="27"/>
  <c r="AC207" i="27"/>
  <c r="AA207" i="27"/>
  <c r="Y207" i="27"/>
  <c r="W207" i="27"/>
  <c r="U207" i="27"/>
  <c r="S207" i="27"/>
  <c r="Q207" i="27"/>
  <c r="O207" i="27"/>
  <c r="M207" i="27"/>
  <c r="K207" i="27"/>
  <c r="I207" i="27"/>
  <c r="G207" i="27"/>
  <c r="E207" i="27"/>
  <c r="AQ206" i="27"/>
  <c r="AO206" i="27"/>
  <c r="AM206" i="27"/>
  <c r="AK206" i="27"/>
  <c r="AI206" i="27"/>
  <c r="AG206" i="27"/>
  <c r="AE206" i="27"/>
  <c r="AC206" i="27"/>
  <c r="AA206" i="27"/>
  <c r="Y206" i="27"/>
  <c r="W206" i="27"/>
  <c r="U206" i="27"/>
  <c r="S206" i="27"/>
  <c r="Q206" i="27"/>
  <c r="O206" i="27"/>
  <c r="M206" i="27"/>
  <c r="K206" i="27"/>
  <c r="I206" i="27"/>
  <c r="G206" i="27"/>
  <c r="E206" i="27"/>
  <c r="AQ205" i="27"/>
  <c r="AO205" i="27"/>
  <c r="AM205" i="27"/>
  <c r="AK205" i="27"/>
  <c r="AI205" i="27"/>
  <c r="AG205" i="27"/>
  <c r="AE205" i="27"/>
  <c r="AC205" i="27"/>
  <c r="AA205" i="27"/>
  <c r="Y205" i="27"/>
  <c r="W205" i="27"/>
  <c r="U205" i="27"/>
  <c r="S205" i="27"/>
  <c r="Q205" i="27"/>
  <c r="O205" i="27"/>
  <c r="M205" i="27"/>
  <c r="K205" i="27"/>
  <c r="I205" i="27"/>
  <c r="G205" i="27"/>
  <c r="E205" i="27"/>
  <c r="AQ204" i="27"/>
  <c r="AO204" i="27"/>
  <c r="AM204" i="27"/>
  <c r="AK204" i="27"/>
  <c r="AI204" i="27"/>
  <c r="AG204" i="27"/>
  <c r="AE204" i="27"/>
  <c r="AC204" i="27"/>
  <c r="AA204" i="27"/>
  <c r="Y204" i="27"/>
  <c r="W204" i="27"/>
  <c r="U204" i="27"/>
  <c r="S204" i="27"/>
  <c r="Q204" i="27"/>
  <c r="O204" i="27"/>
  <c r="M204" i="27"/>
  <c r="K204" i="27"/>
  <c r="I204" i="27"/>
  <c r="G204" i="27"/>
  <c r="E204" i="27"/>
  <c r="AQ203" i="27"/>
  <c r="AO203" i="27"/>
  <c r="AM203" i="27"/>
  <c r="AK203" i="27"/>
  <c r="AI203" i="27"/>
  <c r="AG203" i="27"/>
  <c r="AE203" i="27"/>
  <c r="AC203" i="27"/>
  <c r="AA203" i="27"/>
  <c r="Y203" i="27"/>
  <c r="W203" i="27"/>
  <c r="U203" i="27"/>
  <c r="S203" i="27"/>
  <c r="Q203" i="27"/>
  <c r="O203" i="27"/>
  <c r="M203" i="27"/>
  <c r="K203" i="27"/>
  <c r="I203" i="27"/>
  <c r="G203" i="27"/>
  <c r="E203" i="27"/>
  <c r="AQ202" i="27"/>
  <c r="AO202" i="27"/>
  <c r="AM202" i="27"/>
  <c r="AK202" i="27"/>
  <c r="AI202" i="27"/>
  <c r="AG202" i="27"/>
  <c r="AE202" i="27"/>
  <c r="AC202" i="27"/>
  <c r="AA202" i="27"/>
  <c r="Y202" i="27"/>
  <c r="W202" i="27"/>
  <c r="U202" i="27"/>
  <c r="S202" i="27"/>
  <c r="Q202" i="27"/>
  <c r="O202" i="27"/>
  <c r="M202" i="27"/>
  <c r="K202" i="27"/>
  <c r="I202" i="27"/>
  <c r="G202" i="27"/>
  <c r="E202" i="27"/>
  <c r="AQ201" i="27"/>
  <c r="AO201" i="27"/>
  <c r="AM201" i="27"/>
  <c r="AK201" i="27"/>
  <c r="AI201" i="27"/>
  <c r="AG201" i="27"/>
  <c r="AE201" i="27"/>
  <c r="AC201" i="27"/>
  <c r="AA201" i="27"/>
  <c r="Y201" i="27"/>
  <c r="W201" i="27"/>
  <c r="U201" i="27"/>
  <c r="S201" i="27"/>
  <c r="Q201" i="27"/>
  <c r="O201" i="27"/>
  <c r="M201" i="27"/>
  <c r="K201" i="27"/>
  <c r="I201" i="27"/>
  <c r="G201" i="27"/>
  <c r="E201" i="27"/>
  <c r="AQ200" i="27"/>
  <c r="AO200" i="27"/>
  <c r="AM200" i="27"/>
  <c r="AK200" i="27"/>
  <c r="AI200" i="27"/>
  <c r="AG200" i="27"/>
  <c r="AE200" i="27"/>
  <c r="AC200" i="27"/>
  <c r="AA200" i="27"/>
  <c r="Y200" i="27"/>
  <c r="W200" i="27"/>
  <c r="U200" i="27"/>
  <c r="S200" i="27"/>
  <c r="Q200" i="27"/>
  <c r="O200" i="27"/>
  <c r="M200" i="27"/>
  <c r="K200" i="27"/>
  <c r="I200" i="27"/>
  <c r="G200" i="27"/>
  <c r="E200" i="27"/>
  <c r="AQ199" i="27"/>
  <c r="AO199" i="27"/>
  <c r="AM199" i="27"/>
  <c r="AK199" i="27"/>
  <c r="AI199" i="27"/>
  <c r="AG199" i="27"/>
  <c r="AE199" i="27"/>
  <c r="AC199" i="27"/>
  <c r="AA199" i="27"/>
  <c r="Y199" i="27"/>
  <c r="W199" i="27"/>
  <c r="U199" i="27"/>
  <c r="S199" i="27"/>
  <c r="Q199" i="27"/>
  <c r="O199" i="27"/>
  <c r="M199" i="27"/>
  <c r="K199" i="27"/>
  <c r="I199" i="27"/>
  <c r="G199" i="27"/>
  <c r="E199" i="27"/>
  <c r="AQ198" i="27"/>
  <c r="AO198" i="27"/>
  <c r="AM198" i="27"/>
  <c r="AK198" i="27"/>
  <c r="AI198" i="27"/>
  <c r="AG198" i="27"/>
  <c r="AE198" i="27"/>
  <c r="AC198" i="27"/>
  <c r="AA198" i="27"/>
  <c r="Y198" i="27"/>
  <c r="W198" i="27"/>
  <c r="U198" i="27"/>
  <c r="S198" i="27"/>
  <c r="Q198" i="27"/>
  <c r="O198" i="27"/>
  <c r="M198" i="27"/>
  <c r="K198" i="27"/>
  <c r="I198" i="27"/>
  <c r="G198" i="27"/>
  <c r="E198" i="27"/>
  <c r="AQ197" i="27"/>
  <c r="AO197" i="27"/>
  <c r="AM197" i="27"/>
  <c r="AK197" i="27"/>
  <c r="AI197" i="27"/>
  <c r="AG197" i="27"/>
  <c r="AE197" i="27"/>
  <c r="AC197" i="27"/>
  <c r="AA197" i="27"/>
  <c r="Y197" i="27"/>
  <c r="W197" i="27"/>
  <c r="U197" i="27"/>
  <c r="S197" i="27"/>
  <c r="Q197" i="27"/>
  <c r="O197" i="27"/>
  <c r="M197" i="27"/>
  <c r="K197" i="27"/>
  <c r="I197" i="27"/>
  <c r="G197" i="27"/>
  <c r="E197" i="27"/>
  <c r="AQ196" i="27"/>
  <c r="AO196" i="27"/>
  <c r="AM196" i="27"/>
  <c r="AK196" i="27"/>
  <c r="AI196" i="27"/>
  <c r="AG196" i="27"/>
  <c r="AE196" i="27"/>
  <c r="AC196" i="27"/>
  <c r="AA196" i="27"/>
  <c r="Y196" i="27"/>
  <c r="W196" i="27"/>
  <c r="U196" i="27"/>
  <c r="S196" i="27"/>
  <c r="Q196" i="27"/>
  <c r="O196" i="27"/>
  <c r="M196" i="27"/>
  <c r="K196" i="27"/>
  <c r="I196" i="27"/>
  <c r="G196" i="27"/>
  <c r="E196" i="27"/>
  <c r="AQ195" i="27"/>
  <c r="AO195" i="27"/>
  <c r="AM195" i="27"/>
  <c r="AK195" i="27"/>
  <c r="AI195" i="27"/>
  <c r="AG195" i="27"/>
  <c r="AE195" i="27"/>
  <c r="AC195" i="27"/>
  <c r="AA195" i="27"/>
  <c r="Y195" i="27"/>
  <c r="W195" i="27"/>
  <c r="U195" i="27"/>
  <c r="S195" i="27"/>
  <c r="Q195" i="27"/>
  <c r="O195" i="27"/>
  <c r="M195" i="27"/>
  <c r="K195" i="27"/>
  <c r="I195" i="27"/>
  <c r="G195" i="27"/>
  <c r="E195" i="27"/>
  <c r="AQ194" i="27"/>
  <c r="AO194" i="27"/>
  <c r="AM194" i="27"/>
  <c r="AK194" i="27"/>
  <c r="AI194" i="27"/>
  <c r="AG194" i="27"/>
  <c r="AE194" i="27"/>
  <c r="AC194" i="27"/>
  <c r="AA194" i="27"/>
  <c r="Y194" i="27"/>
  <c r="W194" i="27"/>
  <c r="U194" i="27"/>
  <c r="S194" i="27"/>
  <c r="Q194" i="27"/>
  <c r="O194" i="27"/>
  <c r="M194" i="27"/>
  <c r="K194" i="27"/>
  <c r="I194" i="27"/>
  <c r="G194" i="27"/>
  <c r="E194" i="27"/>
  <c r="AQ193" i="27"/>
  <c r="AO193" i="27"/>
  <c r="AM193" i="27"/>
  <c r="AK193" i="27"/>
  <c r="AI193" i="27"/>
  <c r="AG193" i="27"/>
  <c r="AE193" i="27"/>
  <c r="AC193" i="27"/>
  <c r="AA193" i="27"/>
  <c r="Y193" i="27"/>
  <c r="W193" i="27"/>
  <c r="U193" i="27"/>
  <c r="S193" i="27"/>
  <c r="Q193" i="27"/>
  <c r="O193" i="27"/>
  <c r="M193" i="27"/>
  <c r="K193" i="27"/>
  <c r="I193" i="27"/>
  <c r="G193" i="27"/>
  <c r="E193" i="27"/>
  <c r="AQ192" i="27"/>
  <c r="AO192" i="27"/>
  <c r="AM192" i="27"/>
  <c r="AK192" i="27"/>
  <c r="AI192" i="27"/>
  <c r="AG192" i="27"/>
  <c r="AE192" i="27"/>
  <c r="AC192" i="27"/>
  <c r="AA192" i="27"/>
  <c r="Y192" i="27"/>
  <c r="W192" i="27"/>
  <c r="U192" i="27"/>
  <c r="S192" i="27"/>
  <c r="Q192" i="27"/>
  <c r="O192" i="27"/>
  <c r="M192" i="27"/>
  <c r="K192" i="27"/>
  <c r="I192" i="27"/>
  <c r="G192" i="27"/>
  <c r="E192" i="27"/>
  <c r="AQ191" i="27"/>
  <c r="AO191" i="27"/>
  <c r="AM191" i="27"/>
  <c r="AK191" i="27"/>
  <c r="AI191" i="27"/>
  <c r="AG191" i="27"/>
  <c r="AE191" i="27"/>
  <c r="AC191" i="27"/>
  <c r="AA191" i="27"/>
  <c r="Y191" i="27"/>
  <c r="W191" i="27"/>
  <c r="U191" i="27"/>
  <c r="S191" i="27"/>
  <c r="Q191" i="27"/>
  <c r="O191" i="27"/>
  <c r="M191" i="27"/>
  <c r="K191" i="27"/>
  <c r="I191" i="27"/>
  <c r="G191" i="27"/>
  <c r="E191" i="27"/>
  <c r="AQ190" i="27"/>
  <c r="AO190" i="27"/>
  <c r="AM190" i="27"/>
  <c r="AK190" i="27"/>
  <c r="AI190" i="27"/>
  <c r="AG190" i="27"/>
  <c r="AE190" i="27"/>
  <c r="AC190" i="27"/>
  <c r="AA190" i="27"/>
  <c r="Y190" i="27"/>
  <c r="W190" i="27"/>
  <c r="U190" i="27"/>
  <c r="S190" i="27"/>
  <c r="Q190" i="27"/>
  <c r="O190" i="27"/>
  <c r="M190" i="27"/>
  <c r="K190" i="27"/>
  <c r="I190" i="27"/>
  <c r="G190" i="27"/>
  <c r="E190" i="27"/>
  <c r="AQ189" i="27"/>
  <c r="AO189" i="27"/>
  <c r="AM189" i="27"/>
  <c r="AK189" i="27"/>
  <c r="AI189" i="27"/>
  <c r="AG189" i="27"/>
  <c r="AE189" i="27"/>
  <c r="AC189" i="27"/>
  <c r="AA189" i="27"/>
  <c r="Y189" i="27"/>
  <c r="W189" i="27"/>
  <c r="U189" i="27"/>
  <c r="S189" i="27"/>
  <c r="Q189" i="27"/>
  <c r="O189" i="27"/>
  <c r="M189" i="27"/>
  <c r="K189" i="27"/>
  <c r="I189" i="27"/>
  <c r="G189" i="27"/>
  <c r="E189" i="27"/>
  <c r="AQ188" i="27"/>
  <c r="AO188" i="27"/>
  <c r="AM188" i="27"/>
  <c r="AK188" i="27"/>
  <c r="AI188" i="27"/>
  <c r="AG188" i="27"/>
  <c r="AE188" i="27"/>
  <c r="AC188" i="27"/>
  <c r="AA188" i="27"/>
  <c r="Y188" i="27"/>
  <c r="W188" i="27"/>
  <c r="U188" i="27"/>
  <c r="S188" i="27"/>
  <c r="Q188" i="27"/>
  <c r="O188" i="27"/>
  <c r="M188" i="27"/>
  <c r="K188" i="27"/>
  <c r="I188" i="27"/>
  <c r="G188" i="27"/>
  <c r="E188" i="27"/>
  <c r="AQ187" i="27"/>
  <c r="AO187" i="27"/>
  <c r="AM187" i="27"/>
  <c r="AK187" i="27"/>
  <c r="AI187" i="27"/>
  <c r="AG187" i="27"/>
  <c r="AE187" i="27"/>
  <c r="AC187" i="27"/>
  <c r="AA187" i="27"/>
  <c r="Y187" i="27"/>
  <c r="W187" i="27"/>
  <c r="U187" i="27"/>
  <c r="S187" i="27"/>
  <c r="Q187" i="27"/>
  <c r="O187" i="27"/>
  <c r="M187" i="27"/>
  <c r="K187" i="27"/>
  <c r="I187" i="27"/>
  <c r="G187" i="27"/>
  <c r="E187" i="27"/>
  <c r="AQ186" i="27"/>
  <c r="AO186" i="27"/>
  <c r="AM186" i="27"/>
  <c r="AK186" i="27"/>
  <c r="AI186" i="27"/>
  <c r="AG186" i="27"/>
  <c r="AE186" i="27"/>
  <c r="AC186" i="27"/>
  <c r="AA186" i="27"/>
  <c r="Y186" i="27"/>
  <c r="W186" i="27"/>
  <c r="U186" i="27"/>
  <c r="S186" i="27"/>
  <c r="Q186" i="27"/>
  <c r="O186" i="27"/>
  <c r="M186" i="27"/>
  <c r="K186" i="27"/>
  <c r="I186" i="27"/>
  <c r="G186" i="27"/>
  <c r="E186" i="27"/>
  <c r="AQ185" i="27"/>
  <c r="AO185" i="27"/>
  <c r="AM185" i="27"/>
  <c r="AK185" i="27"/>
  <c r="AI185" i="27"/>
  <c r="AG185" i="27"/>
  <c r="AE185" i="27"/>
  <c r="AC185" i="27"/>
  <c r="AA185" i="27"/>
  <c r="Y185" i="27"/>
  <c r="W185" i="27"/>
  <c r="U185" i="27"/>
  <c r="S185" i="27"/>
  <c r="Q185" i="27"/>
  <c r="O185" i="27"/>
  <c r="M185" i="27"/>
  <c r="K185" i="27"/>
  <c r="I185" i="27"/>
  <c r="G185" i="27"/>
  <c r="E185" i="27"/>
  <c r="AQ184" i="27"/>
  <c r="AO184" i="27"/>
  <c r="AM184" i="27"/>
  <c r="AK184" i="27"/>
  <c r="AI184" i="27"/>
  <c r="AG184" i="27"/>
  <c r="AE184" i="27"/>
  <c r="AC184" i="27"/>
  <c r="AA184" i="27"/>
  <c r="Y184" i="27"/>
  <c r="W184" i="27"/>
  <c r="U184" i="27"/>
  <c r="S184" i="27"/>
  <c r="Q184" i="27"/>
  <c r="O184" i="27"/>
  <c r="M184" i="27"/>
  <c r="K184" i="27"/>
  <c r="I184" i="27"/>
  <c r="G184" i="27"/>
  <c r="E184" i="27"/>
  <c r="AQ183" i="27"/>
  <c r="AO183" i="27"/>
  <c r="AM183" i="27"/>
  <c r="AK183" i="27"/>
  <c r="AI183" i="27"/>
  <c r="AG183" i="27"/>
  <c r="AE183" i="27"/>
  <c r="AC183" i="27"/>
  <c r="AA183" i="27"/>
  <c r="Y183" i="27"/>
  <c r="W183" i="27"/>
  <c r="U183" i="27"/>
  <c r="S183" i="27"/>
  <c r="Q183" i="27"/>
  <c r="O183" i="27"/>
  <c r="M183" i="27"/>
  <c r="K183" i="27"/>
  <c r="I183" i="27"/>
  <c r="G183" i="27"/>
  <c r="E183" i="27"/>
  <c r="AQ182" i="27"/>
  <c r="AO182" i="27"/>
  <c r="AM182" i="27"/>
  <c r="AK182" i="27"/>
  <c r="AI182" i="27"/>
  <c r="AG182" i="27"/>
  <c r="AE182" i="27"/>
  <c r="AC182" i="27"/>
  <c r="AA182" i="27"/>
  <c r="Y182" i="27"/>
  <c r="W182" i="27"/>
  <c r="U182" i="27"/>
  <c r="S182" i="27"/>
  <c r="Q182" i="27"/>
  <c r="O182" i="27"/>
  <c r="M182" i="27"/>
  <c r="K182" i="27"/>
  <c r="I182" i="27"/>
  <c r="G182" i="27"/>
  <c r="E182" i="27"/>
  <c r="AQ181" i="27"/>
  <c r="AO181" i="27"/>
  <c r="AM181" i="27"/>
  <c r="AK181" i="27"/>
  <c r="AI181" i="27"/>
  <c r="AG181" i="27"/>
  <c r="AE181" i="27"/>
  <c r="AC181" i="27"/>
  <c r="AA181" i="27"/>
  <c r="Y181" i="27"/>
  <c r="W181" i="27"/>
  <c r="U181" i="27"/>
  <c r="S181" i="27"/>
  <c r="Q181" i="27"/>
  <c r="O181" i="27"/>
  <c r="M181" i="27"/>
  <c r="K181" i="27"/>
  <c r="I181" i="27"/>
  <c r="G181" i="27"/>
  <c r="E181" i="27"/>
  <c r="AQ180" i="27"/>
  <c r="AO180" i="27"/>
  <c r="AM180" i="27"/>
  <c r="AK180" i="27"/>
  <c r="AI180" i="27"/>
  <c r="AG180" i="27"/>
  <c r="AE180" i="27"/>
  <c r="AC180" i="27"/>
  <c r="AA180" i="27"/>
  <c r="Y180" i="27"/>
  <c r="W180" i="27"/>
  <c r="U180" i="27"/>
  <c r="S180" i="27"/>
  <c r="Q180" i="27"/>
  <c r="O180" i="27"/>
  <c r="M180" i="27"/>
  <c r="K180" i="27"/>
  <c r="I180" i="27"/>
  <c r="G180" i="27"/>
  <c r="E180" i="27"/>
  <c r="AQ179" i="27"/>
  <c r="AO179" i="27"/>
  <c r="AM179" i="27"/>
  <c r="AK179" i="27"/>
  <c r="AI179" i="27"/>
  <c r="AG179" i="27"/>
  <c r="AE179" i="27"/>
  <c r="AC179" i="27"/>
  <c r="AA179" i="27"/>
  <c r="Y179" i="27"/>
  <c r="W179" i="27"/>
  <c r="U179" i="27"/>
  <c r="S179" i="27"/>
  <c r="Q179" i="27"/>
  <c r="O179" i="27"/>
  <c r="M179" i="27"/>
  <c r="K179" i="27"/>
  <c r="I179" i="27"/>
  <c r="G179" i="27"/>
  <c r="E179" i="27"/>
  <c r="AQ178" i="27"/>
  <c r="AO178" i="27"/>
  <c r="AM178" i="27"/>
  <c r="AK178" i="27"/>
  <c r="AI178" i="27"/>
  <c r="AG178" i="27"/>
  <c r="AE178" i="27"/>
  <c r="AC178" i="27"/>
  <c r="AA178" i="27"/>
  <c r="Y178" i="27"/>
  <c r="W178" i="27"/>
  <c r="U178" i="27"/>
  <c r="S178" i="27"/>
  <c r="Q178" i="27"/>
  <c r="O178" i="27"/>
  <c r="M178" i="27"/>
  <c r="K178" i="27"/>
  <c r="I178" i="27"/>
  <c r="G178" i="27"/>
  <c r="E178" i="27"/>
  <c r="AQ177" i="27"/>
  <c r="AO177" i="27"/>
  <c r="AM177" i="27"/>
  <c r="AK177" i="27"/>
  <c r="AI177" i="27"/>
  <c r="AG177" i="27"/>
  <c r="AE177" i="27"/>
  <c r="AC177" i="27"/>
  <c r="AA177" i="27"/>
  <c r="Y177" i="27"/>
  <c r="W177" i="27"/>
  <c r="U177" i="27"/>
  <c r="S177" i="27"/>
  <c r="Q177" i="27"/>
  <c r="O177" i="27"/>
  <c r="M177" i="27"/>
  <c r="K177" i="27"/>
  <c r="I177" i="27"/>
  <c r="G177" i="27"/>
  <c r="E177" i="27"/>
  <c r="AQ176" i="27"/>
  <c r="AO176" i="27"/>
  <c r="AM176" i="27"/>
  <c r="AK176" i="27"/>
  <c r="AI176" i="27"/>
  <c r="AG176" i="27"/>
  <c r="AE176" i="27"/>
  <c r="AC176" i="27"/>
  <c r="AA176" i="27"/>
  <c r="Y176" i="27"/>
  <c r="W176" i="27"/>
  <c r="U176" i="27"/>
  <c r="S176" i="27"/>
  <c r="Q176" i="27"/>
  <c r="O176" i="27"/>
  <c r="M176" i="27"/>
  <c r="K176" i="27"/>
  <c r="I176" i="27"/>
  <c r="G176" i="27"/>
  <c r="E176" i="27"/>
  <c r="AQ175" i="27"/>
  <c r="AO175" i="27"/>
  <c r="AM175" i="27"/>
  <c r="AK175" i="27"/>
  <c r="AI175" i="27"/>
  <c r="AG175" i="27"/>
  <c r="AE175" i="27"/>
  <c r="AC175" i="27"/>
  <c r="AA175" i="27"/>
  <c r="Y175" i="27"/>
  <c r="W175" i="27"/>
  <c r="U175" i="27"/>
  <c r="S175" i="27"/>
  <c r="Q175" i="27"/>
  <c r="O175" i="27"/>
  <c r="M175" i="27"/>
  <c r="K175" i="27"/>
  <c r="I175" i="27"/>
  <c r="G175" i="27"/>
  <c r="E175" i="27"/>
  <c r="AQ174" i="27"/>
  <c r="AO174" i="27"/>
  <c r="AM174" i="27"/>
  <c r="AK174" i="27"/>
  <c r="AI174" i="27"/>
  <c r="AG174" i="27"/>
  <c r="AE174" i="27"/>
  <c r="AC174" i="27"/>
  <c r="AA174" i="27"/>
  <c r="Y174" i="27"/>
  <c r="W174" i="27"/>
  <c r="U174" i="27"/>
  <c r="S174" i="27"/>
  <c r="Q174" i="27"/>
  <c r="O174" i="27"/>
  <c r="M174" i="27"/>
  <c r="K174" i="27"/>
  <c r="I174" i="27"/>
  <c r="G174" i="27"/>
  <c r="E174" i="27"/>
  <c r="AQ173" i="27"/>
  <c r="AO173" i="27"/>
  <c r="AM173" i="27"/>
  <c r="AK173" i="27"/>
  <c r="AI173" i="27"/>
  <c r="AG173" i="27"/>
  <c r="AE173" i="27"/>
  <c r="AC173" i="27"/>
  <c r="AA173" i="27"/>
  <c r="Y173" i="27"/>
  <c r="W173" i="27"/>
  <c r="U173" i="27"/>
  <c r="S173" i="27"/>
  <c r="Q173" i="27"/>
  <c r="O173" i="27"/>
  <c r="M173" i="27"/>
  <c r="K173" i="27"/>
  <c r="I173" i="27"/>
  <c r="G173" i="27"/>
  <c r="E173" i="27"/>
  <c r="AQ172" i="27"/>
  <c r="AO172" i="27"/>
  <c r="AM172" i="27"/>
  <c r="AK172" i="27"/>
  <c r="AI172" i="27"/>
  <c r="AG172" i="27"/>
  <c r="AE172" i="27"/>
  <c r="AC172" i="27"/>
  <c r="AA172" i="27"/>
  <c r="Y172" i="27"/>
  <c r="W172" i="27"/>
  <c r="U172" i="27"/>
  <c r="S172" i="27"/>
  <c r="Q172" i="27"/>
  <c r="O172" i="27"/>
  <c r="M172" i="27"/>
  <c r="K172" i="27"/>
  <c r="I172" i="27"/>
  <c r="G172" i="27"/>
  <c r="E172" i="27"/>
  <c r="AQ171" i="27"/>
  <c r="AO171" i="27"/>
  <c r="AM171" i="27"/>
  <c r="AK171" i="27"/>
  <c r="AI171" i="27"/>
  <c r="AG171" i="27"/>
  <c r="AE171" i="27"/>
  <c r="AC171" i="27"/>
  <c r="AA171" i="27"/>
  <c r="Y171" i="27"/>
  <c r="W171" i="27"/>
  <c r="U171" i="27"/>
  <c r="S171" i="27"/>
  <c r="Q171" i="27"/>
  <c r="O171" i="27"/>
  <c r="M171" i="27"/>
  <c r="K171" i="27"/>
  <c r="I171" i="27"/>
  <c r="G171" i="27"/>
  <c r="E171" i="27"/>
  <c r="AQ170" i="27"/>
  <c r="AO170" i="27"/>
  <c r="AM170" i="27"/>
  <c r="AK170" i="27"/>
  <c r="AI170" i="27"/>
  <c r="AG170" i="27"/>
  <c r="AE170" i="27"/>
  <c r="AC170" i="27"/>
  <c r="AA170" i="27"/>
  <c r="Y170" i="27"/>
  <c r="W170" i="27"/>
  <c r="U170" i="27"/>
  <c r="S170" i="27"/>
  <c r="Q170" i="27"/>
  <c r="O170" i="27"/>
  <c r="M170" i="27"/>
  <c r="K170" i="27"/>
  <c r="I170" i="27"/>
  <c r="G170" i="27"/>
  <c r="E170" i="27"/>
  <c r="AQ169" i="27"/>
  <c r="AO169" i="27"/>
  <c r="AM169" i="27"/>
  <c r="AK169" i="27"/>
  <c r="AI169" i="27"/>
  <c r="AG169" i="27"/>
  <c r="AE169" i="27"/>
  <c r="AC169" i="27"/>
  <c r="AA169" i="27"/>
  <c r="Y169" i="27"/>
  <c r="W169" i="27"/>
  <c r="U169" i="27"/>
  <c r="S169" i="27"/>
  <c r="Q169" i="27"/>
  <c r="O169" i="27"/>
  <c r="M169" i="27"/>
  <c r="K169" i="27"/>
  <c r="I169" i="27"/>
  <c r="G169" i="27"/>
  <c r="E169" i="27"/>
  <c r="AQ168" i="27"/>
  <c r="AO168" i="27"/>
  <c r="AM168" i="27"/>
  <c r="AK168" i="27"/>
  <c r="AI168" i="27"/>
  <c r="AG168" i="27"/>
  <c r="AE168" i="27"/>
  <c r="AC168" i="27"/>
  <c r="AA168" i="27"/>
  <c r="Y168" i="27"/>
  <c r="W168" i="27"/>
  <c r="U168" i="27"/>
  <c r="S168" i="27"/>
  <c r="Q168" i="27"/>
  <c r="O168" i="27"/>
  <c r="M168" i="27"/>
  <c r="K168" i="27"/>
  <c r="I168" i="27"/>
  <c r="G168" i="27"/>
  <c r="E168" i="27"/>
  <c r="AQ167" i="27"/>
  <c r="AO167" i="27"/>
  <c r="AM167" i="27"/>
  <c r="AK167" i="27"/>
  <c r="AI167" i="27"/>
  <c r="AG167" i="27"/>
  <c r="AE167" i="27"/>
  <c r="AC167" i="27"/>
  <c r="AA167" i="27"/>
  <c r="Y167" i="27"/>
  <c r="W167" i="27"/>
  <c r="U167" i="27"/>
  <c r="S167" i="27"/>
  <c r="Q167" i="27"/>
  <c r="O167" i="27"/>
  <c r="M167" i="27"/>
  <c r="K167" i="27"/>
  <c r="I167" i="27"/>
  <c r="G167" i="27"/>
  <c r="E167" i="27"/>
  <c r="AQ166" i="27"/>
  <c r="AO166" i="27"/>
  <c r="AM166" i="27"/>
  <c r="AK166" i="27"/>
  <c r="AI166" i="27"/>
  <c r="AG166" i="27"/>
  <c r="AE166" i="27"/>
  <c r="AC166" i="27"/>
  <c r="AA166" i="27"/>
  <c r="Y166" i="27"/>
  <c r="W166" i="27"/>
  <c r="U166" i="27"/>
  <c r="S166" i="27"/>
  <c r="Q166" i="27"/>
  <c r="O166" i="27"/>
  <c r="M166" i="27"/>
  <c r="K166" i="27"/>
  <c r="I166" i="27"/>
  <c r="G166" i="27"/>
  <c r="E166" i="27"/>
  <c r="AQ165" i="27"/>
  <c r="AO165" i="27"/>
  <c r="AM165" i="27"/>
  <c r="AK165" i="27"/>
  <c r="AI165" i="27"/>
  <c r="AG165" i="27"/>
  <c r="AE165" i="27"/>
  <c r="AC165" i="27"/>
  <c r="AA165" i="27"/>
  <c r="Y165" i="27"/>
  <c r="W165" i="27"/>
  <c r="U165" i="27"/>
  <c r="S165" i="27"/>
  <c r="Q165" i="27"/>
  <c r="O165" i="27"/>
  <c r="M165" i="27"/>
  <c r="K165" i="27"/>
  <c r="I165" i="27"/>
  <c r="G165" i="27"/>
  <c r="E165" i="27"/>
  <c r="AQ164" i="27"/>
  <c r="AO164" i="27"/>
  <c r="AM164" i="27"/>
  <c r="AK164" i="27"/>
  <c r="AI164" i="27"/>
  <c r="AG164" i="27"/>
  <c r="AE164" i="27"/>
  <c r="AC164" i="27"/>
  <c r="AA164" i="27"/>
  <c r="Y164" i="27"/>
  <c r="W164" i="27"/>
  <c r="U164" i="27"/>
  <c r="S164" i="27"/>
  <c r="Q164" i="27"/>
  <c r="O164" i="27"/>
  <c r="M164" i="27"/>
  <c r="K164" i="27"/>
  <c r="I164" i="27"/>
  <c r="G164" i="27"/>
  <c r="E164" i="27"/>
  <c r="AQ163" i="27"/>
  <c r="AO163" i="27"/>
  <c r="AM163" i="27"/>
  <c r="AK163" i="27"/>
  <c r="AI163" i="27"/>
  <c r="AG163" i="27"/>
  <c r="AE163" i="27"/>
  <c r="AC163" i="27"/>
  <c r="AA163" i="27"/>
  <c r="Y163" i="27"/>
  <c r="W163" i="27"/>
  <c r="U163" i="27"/>
  <c r="S163" i="27"/>
  <c r="Q163" i="27"/>
  <c r="O163" i="27"/>
  <c r="M163" i="27"/>
  <c r="K163" i="27"/>
  <c r="I163" i="27"/>
  <c r="G163" i="27"/>
  <c r="E163" i="27"/>
  <c r="AQ162" i="27"/>
  <c r="AO162" i="27"/>
  <c r="AM162" i="27"/>
  <c r="AK162" i="27"/>
  <c r="AI162" i="27"/>
  <c r="AG162" i="27"/>
  <c r="AE162" i="27"/>
  <c r="AC162" i="27"/>
  <c r="AA162" i="27"/>
  <c r="Y162" i="27"/>
  <c r="W162" i="27"/>
  <c r="U162" i="27"/>
  <c r="S162" i="27"/>
  <c r="Q162" i="27"/>
  <c r="O162" i="27"/>
  <c r="M162" i="27"/>
  <c r="K162" i="27"/>
  <c r="I162" i="27"/>
  <c r="G162" i="27"/>
  <c r="E162" i="27"/>
  <c r="AQ161" i="27"/>
  <c r="AO161" i="27"/>
  <c r="AM161" i="27"/>
  <c r="AK161" i="27"/>
  <c r="AI161" i="27"/>
  <c r="AG161" i="27"/>
  <c r="AE161" i="27"/>
  <c r="AC161" i="27"/>
  <c r="AA161" i="27"/>
  <c r="Y161" i="27"/>
  <c r="W161" i="27"/>
  <c r="U161" i="27"/>
  <c r="S161" i="27"/>
  <c r="Q161" i="27"/>
  <c r="O161" i="27"/>
  <c r="M161" i="27"/>
  <c r="K161" i="27"/>
  <c r="I161" i="27"/>
  <c r="G161" i="27"/>
  <c r="E161" i="27"/>
  <c r="AQ160" i="27"/>
  <c r="AO160" i="27"/>
  <c r="AM160" i="27"/>
  <c r="AK160" i="27"/>
  <c r="AI160" i="27"/>
  <c r="AG160" i="27"/>
  <c r="AE160" i="27"/>
  <c r="AC160" i="27"/>
  <c r="AA160" i="27"/>
  <c r="Y160" i="27"/>
  <c r="W160" i="27"/>
  <c r="U160" i="27"/>
  <c r="S160" i="27"/>
  <c r="Q160" i="27"/>
  <c r="O160" i="27"/>
  <c r="M160" i="27"/>
  <c r="K160" i="27"/>
  <c r="I160" i="27"/>
  <c r="G160" i="27"/>
  <c r="E160" i="27"/>
  <c r="AQ159" i="27"/>
  <c r="AO159" i="27"/>
  <c r="AM159" i="27"/>
  <c r="AK159" i="27"/>
  <c r="AI159" i="27"/>
  <c r="AG159" i="27"/>
  <c r="AE159" i="27"/>
  <c r="AC159" i="27"/>
  <c r="AA159" i="27"/>
  <c r="Y159" i="27"/>
  <c r="W159" i="27"/>
  <c r="U159" i="27"/>
  <c r="S159" i="27"/>
  <c r="Q159" i="27"/>
  <c r="O159" i="27"/>
  <c r="M159" i="27"/>
  <c r="K159" i="27"/>
  <c r="I159" i="27"/>
  <c r="G159" i="27"/>
  <c r="E159" i="27"/>
  <c r="AQ158" i="27"/>
  <c r="AO158" i="27"/>
  <c r="AM158" i="27"/>
  <c r="AK158" i="27"/>
  <c r="AI158" i="27"/>
  <c r="AG158" i="27"/>
  <c r="AE158" i="27"/>
  <c r="AC158" i="27"/>
  <c r="AA158" i="27"/>
  <c r="Y158" i="27"/>
  <c r="W158" i="27"/>
  <c r="U158" i="27"/>
  <c r="S158" i="27"/>
  <c r="Q158" i="27"/>
  <c r="O158" i="27"/>
  <c r="M158" i="27"/>
  <c r="K158" i="27"/>
  <c r="I158" i="27"/>
  <c r="G158" i="27"/>
  <c r="E158" i="27"/>
  <c r="AQ157" i="27"/>
  <c r="AO157" i="27"/>
  <c r="AM157" i="27"/>
  <c r="AK157" i="27"/>
  <c r="AI157" i="27"/>
  <c r="AG157" i="27"/>
  <c r="AE157" i="27"/>
  <c r="AC157" i="27"/>
  <c r="AA157" i="27"/>
  <c r="Y157" i="27"/>
  <c r="W157" i="27"/>
  <c r="U157" i="27"/>
  <c r="S157" i="27"/>
  <c r="Q157" i="27"/>
  <c r="O157" i="27"/>
  <c r="M157" i="27"/>
  <c r="K157" i="27"/>
  <c r="I157" i="27"/>
  <c r="G157" i="27"/>
  <c r="E157" i="27"/>
  <c r="AQ156" i="27"/>
  <c r="AO156" i="27"/>
  <c r="AM156" i="27"/>
  <c r="AK156" i="27"/>
  <c r="AI156" i="27"/>
  <c r="AG156" i="27"/>
  <c r="AE156" i="27"/>
  <c r="AC156" i="27"/>
  <c r="AA156" i="27"/>
  <c r="Y156" i="27"/>
  <c r="W156" i="27"/>
  <c r="U156" i="27"/>
  <c r="S156" i="27"/>
  <c r="Q156" i="27"/>
  <c r="O156" i="27"/>
  <c r="M156" i="27"/>
  <c r="K156" i="27"/>
  <c r="I156" i="27"/>
  <c r="G156" i="27"/>
  <c r="E156" i="27"/>
  <c r="AQ155" i="27"/>
  <c r="AO155" i="27"/>
  <c r="AM155" i="27"/>
  <c r="AK155" i="27"/>
  <c r="AI155" i="27"/>
  <c r="AG155" i="27"/>
  <c r="AE155" i="27"/>
  <c r="AC155" i="27"/>
  <c r="AA155" i="27"/>
  <c r="Y155" i="27"/>
  <c r="W155" i="27"/>
  <c r="U155" i="27"/>
  <c r="S155" i="27"/>
  <c r="Q155" i="27"/>
  <c r="O155" i="27"/>
  <c r="M155" i="27"/>
  <c r="K155" i="27"/>
  <c r="I155" i="27"/>
  <c r="G155" i="27"/>
  <c r="E155" i="27"/>
  <c r="AQ154" i="27"/>
  <c r="AO154" i="27"/>
  <c r="AM154" i="27"/>
  <c r="AK154" i="27"/>
  <c r="AI154" i="27"/>
  <c r="AG154" i="27"/>
  <c r="AE154" i="27"/>
  <c r="AC154" i="27"/>
  <c r="AA154" i="27"/>
  <c r="Y154" i="27"/>
  <c r="W154" i="27"/>
  <c r="U154" i="27"/>
  <c r="S154" i="27"/>
  <c r="Q154" i="27"/>
  <c r="O154" i="27"/>
  <c r="M154" i="27"/>
  <c r="K154" i="27"/>
  <c r="I154" i="27"/>
  <c r="G154" i="27"/>
  <c r="E154" i="27"/>
  <c r="AQ153" i="27"/>
  <c r="AO153" i="27"/>
  <c r="AM153" i="27"/>
  <c r="AK153" i="27"/>
  <c r="AI153" i="27"/>
  <c r="AG153" i="27"/>
  <c r="AE153" i="27"/>
  <c r="AC153" i="27"/>
  <c r="AA153" i="27"/>
  <c r="Y153" i="27"/>
  <c r="W153" i="27"/>
  <c r="U153" i="27"/>
  <c r="S153" i="27"/>
  <c r="Q153" i="27"/>
  <c r="O153" i="27"/>
  <c r="M153" i="27"/>
  <c r="K153" i="27"/>
  <c r="I153" i="27"/>
  <c r="G153" i="27"/>
  <c r="E153" i="27"/>
  <c r="AQ152" i="27"/>
  <c r="AO152" i="27"/>
  <c r="AM152" i="27"/>
  <c r="AK152" i="27"/>
  <c r="AI152" i="27"/>
  <c r="AG152" i="27"/>
  <c r="AE152" i="27"/>
  <c r="AC152" i="27"/>
  <c r="AA152" i="27"/>
  <c r="Y152" i="27"/>
  <c r="W152" i="27"/>
  <c r="U152" i="27"/>
  <c r="S152" i="27"/>
  <c r="Q152" i="27"/>
  <c r="O152" i="27"/>
  <c r="M152" i="27"/>
  <c r="K152" i="27"/>
  <c r="I152" i="27"/>
  <c r="G152" i="27"/>
  <c r="E152" i="27"/>
  <c r="AQ151" i="27"/>
  <c r="AO151" i="27"/>
  <c r="AM151" i="27"/>
  <c r="AK151" i="27"/>
  <c r="AI151" i="27"/>
  <c r="AG151" i="27"/>
  <c r="AE151" i="27"/>
  <c r="AC151" i="27"/>
  <c r="AA151" i="27"/>
  <c r="Y151" i="27"/>
  <c r="W151" i="27"/>
  <c r="U151" i="27"/>
  <c r="S151" i="27"/>
  <c r="Q151" i="27"/>
  <c r="O151" i="27"/>
  <c r="M151" i="27"/>
  <c r="K151" i="27"/>
  <c r="I151" i="27"/>
  <c r="G151" i="27"/>
  <c r="E151" i="27"/>
  <c r="AQ150" i="27"/>
  <c r="AO150" i="27"/>
  <c r="AM150" i="27"/>
  <c r="AK150" i="27"/>
  <c r="AI150" i="27"/>
  <c r="AG150" i="27"/>
  <c r="AE150" i="27"/>
  <c r="AC150" i="27"/>
  <c r="AA150" i="27"/>
  <c r="Y150" i="27"/>
  <c r="W150" i="27"/>
  <c r="U150" i="27"/>
  <c r="S150" i="27"/>
  <c r="Q150" i="27"/>
  <c r="O150" i="27"/>
  <c r="M150" i="27"/>
  <c r="K150" i="27"/>
  <c r="I150" i="27"/>
  <c r="G150" i="27"/>
  <c r="E150" i="27"/>
  <c r="AQ149" i="27"/>
  <c r="AO149" i="27"/>
  <c r="AM149" i="27"/>
  <c r="AK149" i="27"/>
  <c r="AI149" i="27"/>
  <c r="AG149" i="27"/>
  <c r="AE149" i="27"/>
  <c r="AC149" i="27"/>
  <c r="AA149" i="27"/>
  <c r="Y149" i="27"/>
  <c r="W149" i="27"/>
  <c r="U149" i="27"/>
  <c r="S149" i="27"/>
  <c r="Q149" i="27"/>
  <c r="O149" i="27"/>
  <c r="M149" i="27"/>
  <c r="K149" i="27"/>
  <c r="I149" i="27"/>
  <c r="G149" i="27"/>
  <c r="E149" i="27"/>
  <c r="AQ148" i="27"/>
  <c r="AO148" i="27"/>
  <c r="AM148" i="27"/>
  <c r="AK148" i="27"/>
  <c r="AI148" i="27"/>
  <c r="AG148" i="27"/>
  <c r="AE148" i="27"/>
  <c r="AC148" i="27"/>
  <c r="AA148" i="27"/>
  <c r="Y148" i="27"/>
  <c r="W148" i="27"/>
  <c r="U148" i="27"/>
  <c r="S148" i="27"/>
  <c r="Q148" i="27"/>
  <c r="O148" i="27"/>
  <c r="M148" i="27"/>
  <c r="K148" i="27"/>
  <c r="I148" i="27"/>
  <c r="G148" i="27"/>
  <c r="E148" i="27"/>
  <c r="AQ147" i="27"/>
  <c r="AO147" i="27"/>
  <c r="AM147" i="27"/>
  <c r="AK147" i="27"/>
  <c r="AI147" i="27"/>
  <c r="AG147" i="27"/>
  <c r="AE147" i="27"/>
  <c r="AC147" i="27"/>
  <c r="AA147" i="27"/>
  <c r="Y147" i="27"/>
  <c r="W147" i="27"/>
  <c r="U147" i="27"/>
  <c r="S147" i="27"/>
  <c r="Q147" i="27"/>
  <c r="O147" i="27"/>
  <c r="M147" i="27"/>
  <c r="K147" i="27"/>
  <c r="I147" i="27"/>
  <c r="G147" i="27"/>
  <c r="E147" i="27"/>
  <c r="AQ146" i="27"/>
  <c r="AO146" i="27"/>
  <c r="AM146" i="27"/>
  <c r="AK146" i="27"/>
  <c r="AI146" i="27"/>
  <c r="AG146" i="27"/>
  <c r="AE146" i="27"/>
  <c r="AC146" i="27"/>
  <c r="AA146" i="27"/>
  <c r="Y146" i="27"/>
  <c r="W146" i="27"/>
  <c r="U146" i="27"/>
  <c r="S146" i="27"/>
  <c r="Q146" i="27"/>
  <c r="O146" i="27"/>
  <c r="M146" i="27"/>
  <c r="K146" i="27"/>
  <c r="I146" i="27"/>
  <c r="G146" i="27"/>
  <c r="E146" i="27"/>
  <c r="AQ145" i="27"/>
  <c r="AO145" i="27"/>
  <c r="AM145" i="27"/>
  <c r="AK145" i="27"/>
  <c r="AI145" i="27"/>
  <c r="AG145" i="27"/>
  <c r="AE145" i="27"/>
  <c r="AC145" i="27"/>
  <c r="AA145" i="27"/>
  <c r="Y145" i="27"/>
  <c r="W145" i="27"/>
  <c r="U145" i="27"/>
  <c r="S145" i="27"/>
  <c r="Q145" i="27"/>
  <c r="O145" i="27"/>
  <c r="M145" i="27"/>
  <c r="K145" i="27"/>
  <c r="I145" i="27"/>
  <c r="G145" i="27"/>
  <c r="E145" i="27"/>
  <c r="AQ144" i="27"/>
  <c r="AO144" i="27"/>
  <c r="AM144" i="27"/>
  <c r="AK144" i="27"/>
  <c r="AI144" i="27"/>
  <c r="AG144" i="27"/>
  <c r="AE144" i="27"/>
  <c r="AC144" i="27"/>
  <c r="AA144" i="27"/>
  <c r="Y144" i="27"/>
  <c r="W144" i="27"/>
  <c r="U144" i="27"/>
  <c r="S144" i="27"/>
  <c r="Q144" i="27"/>
  <c r="O144" i="27"/>
  <c r="M144" i="27"/>
  <c r="K144" i="27"/>
  <c r="I144" i="27"/>
  <c r="G144" i="27"/>
  <c r="E144" i="27"/>
  <c r="AQ143" i="27"/>
  <c r="AO143" i="27"/>
  <c r="AM143" i="27"/>
  <c r="AK143" i="27"/>
  <c r="AI143" i="27"/>
  <c r="AG143" i="27"/>
  <c r="AE143" i="27"/>
  <c r="AC143" i="27"/>
  <c r="AA143" i="27"/>
  <c r="Y143" i="27"/>
  <c r="W143" i="27"/>
  <c r="U143" i="27"/>
  <c r="S143" i="27"/>
  <c r="Q143" i="27"/>
  <c r="O143" i="27"/>
  <c r="M143" i="27"/>
  <c r="K143" i="27"/>
  <c r="I143" i="27"/>
  <c r="G143" i="27"/>
  <c r="E143" i="27"/>
  <c r="AQ142" i="27"/>
  <c r="AO142" i="27"/>
  <c r="AM142" i="27"/>
  <c r="AK142" i="27"/>
  <c r="AI142" i="27"/>
  <c r="AG142" i="27"/>
  <c r="AE142" i="27"/>
  <c r="AC142" i="27"/>
  <c r="AA142" i="27"/>
  <c r="Y142" i="27"/>
  <c r="W142" i="27"/>
  <c r="U142" i="27"/>
  <c r="S142" i="27"/>
  <c r="Q142" i="27"/>
  <c r="O142" i="27"/>
  <c r="M142" i="27"/>
  <c r="K142" i="27"/>
  <c r="I142" i="27"/>
  <c r="G142" i="27"/>
  <c r="E142" i="27"/>
  <c r="AQ141" i="27"/>
  <c r="AO141" i="27"/>
  <c r="AM141" i="27"/>
  <c r="AK141" i="27"/>
  <c r="AI141" i="27"/>
  <c r="AG141" i="27"/>
  <c r="AE141" i="27"/>
  <c r="AC141" i="27"/>
  <c r="AA141" i="27"/>
  <c r="Y141" i="27"/>
  <c r="W141" i="27"/>
  <c r="U141" i="27"/>
  <c r="S141" i="27"/>
  <c r="Q141" i="27"/>
  <c r="O141" i="27"/>
  <c r="M141" i="27"/>
  <c r="K141" i="27"/>
  <c r="I141" i="27"/>
  <c r="G141" i="27"/>
  <c r="E141" i="27"/>
  <c r="AQ140" i="27"/>
  <c r="AO140" i="27"/>
  <c r="AM140" i="27"/>
  <c r="AK140" i="27"/>
  <c r="AI140" i="27"/>
  <c r="AG140" i="27"/>
  <c r="AE140" i="27"/>
  <c r="AC140" i="27"/>
  <c r="AA140" i="27"/>
  <c r="Y140" i="27"/>
  <c r="W140" i="27"/>
  <c r="U140" i="27"/>
  <c r="S140" i="27"/>
  <c r="Q140" i="27"/>
  <c r="O140" i="27"/>
  <c r="M140" i="27"/>
  <c r="K140" i="27"/>
  <c r="I140" i="27"/>
  <c r="G140" i="27"/>
  <c r="E140" i="27"/>
  <c r="AQ139" i="27"/>
  <c r="AO139" i="27"/>
  <c r="AM139" i="27"/>
  <c r="AK139" i="27"/>
  <c r="AI139" i="27"/>
  <c r="AG139" i="27"/>
  <c r="AE139" i="27"/>
  <c r="AC139" i="27"/>
  <c r="AA139" i="27"/>
  <c r="Y139" i="27"/>
  <c r="W139" i="27"/>
  <c r="U139" i="27"/>
  <c r="S139" i="27"/>
  <c r="Q139" i="27"/>
  <c r="O139" i="27"/>
  <c r="M139" i="27"/>
  <c r="K139" i="27"/>
  <c r="I139" i="27"/>
  <c r="G139" i="27"/>
  <c r="E139" i="27"/>
  <c r="AQ138" i="27"/>
  <c r="AO138" i="27"/>
  <c r="AM138" i="27"/>
  <c r="AK138" i="27"/>
  <c r="AI138" i="27"/>
  <c r="AG138" i="27"/>
  <c r="AE138" i="27"/>
  <c r="AC138" i="27"/>
  <c r="AA138" i="27"/>
  <c r="Y138" i="27"/>
  <c r="W138" i="27"/>
  <c r="U138" i="27"/>
  <c r="S138" i="27"/>
  <c r="Q138" i="27"/>
  <c r="O138" i="27"/>
  <c r="M138" i="27"/>
  <c r="K138" i="27"/>
  <c r="I138" i="27"/>
  <c r="G138" i="27"/>
  <c r="E138" i="27"/>
  <c r="AQ137" i="27"/>
  <c r="AO137" i="27"/>
  <c r="AM137" i="27"/>
  <c r="AK137" i="27"/>
  <c r="AI137" i="27"/>
  <c r="AG137" i="27"/>
  <c r="AE137" i="27"/>
  <c r="AC137" i="27"/>
  <c r="AA137" i="27"/>
  <c r="Y137" i="27"/>
  <c r="W137" i="27"/>
  <c r="U137" i="27"/>
  <c r="S137" i="27"/>
  <c r="Q137" i="27"/>
  <c r="O137" i="27"/>
  <c r="M137" i="27"/>
  <c r="K137" i="27"/>
  <c r="I137" i="27"/>
  <c r="G137" i="27"/>
  <c r="E137" i="27"/>
  <c r="AQ136" i="27"/>
  <c r="AO136" i="27"/>
  <c r="AM136" i="27"/>
  <c r="AK136" i="27"/>
  <c r="AI136" i="27"/>
  <c r="AG136" i="27"/>
  <c r="AE136" i="27"/>
  <c r="AC136" i="27"/>
  <c r="AA136" i="27"/>
  <c r="Y136" i="27"/>
  <c r="W136" i="27"/>
  <c r="U136" i="27"/>
  <c r="S136" i="27"/>
  <c r="Q136" i="27"/>
  <c r="O136" i="27"/>
  <c r="M136" i="27"/>
  <c r="K136" i="27"/>
  <c r="I136" i="27"/>
  <c r="G136" i="27"/>
  <c r="E136" i="27"/>
  <c r="AQ135" i="27"/>
  <c r="AO135" i="27"/>
  <c r="AM135" i="27"/>
  <c r="AK135" i="27"/>
  <c r="AI135" i="27"/>
  <c r="AG135" i="27"/>
  <c r="AE135" i="27"/>
  <c r="AC135" i="27"/>
  <c r="AA135" i="27"/>
  <c r="Y135" i="27"/>
  <c r="W135" i="27"/>
  <c r="U135" i="27"/>
  <c r="S135" i="27"/>
  <c r="Q135" i="27"/>
  <c r="O135" i="27"/>
  <c r="M135" i="27"/>
  <c r="K135" i="27"/>
  <c r="I135" i="27"/>
  <c r="G135" i="27"/>
  <c r="E135" i="27"/>
  <c r="AQ134" i="27"/>
  <c r="AO134" i="27"/>
  <c r="AM134" i="27"/>
  <c r="AK134" i="27"/>
  <c r="AI134" i="27"/>
  <c r="AG134" i="27"/>
  <c r="AE134" i="27"/>
  <c r="AC134" i="27"/>
  <c r="AA134" i="27"/>
  <c r="Y134" i="27"/>
  <c r="W134" i="27"/>
  <c r="U134" i="27"/>
  <c r="S134" i="27"/>
  <c r="Q134" i="27"/>
  <c r="O134" i="27"/>
  <c r="M134" i="27"/>
  <c r="K134" i="27"/>
  <c r="I134" i="27"/>
  <c r="G134" i="27"/>
  <c r="E134" i="27"/>
  <c r="AQ133" i="27"/>
  <c r="AO133" i="27"/>
  <c r="AM133" i="27"/>
  <c r="AK133" i="27"/>
  <c r="AI133" i="27"/>
  <c r="AG133" i="27"/>
  <c r="AE133" i="27"/>
  <c r="AC133" i="27"/>
  <c r="AA133" i="27"/>
  <c r="Y133" i="27"/>
  <c r="W133" i="27"/>
  <c r="U133" i="27"/>
  <c r="S133" i="27"/>
  <c r="Q133" i="27"/>
  <c r="O133" i="27"/>
  <c r="M133" i="27"/>
  <c r="K133" i="27"/>
  <c r="I133" i="27"/>
  <c r="G133" i="27"/>
  <c r="E133" i="27"/>
  <c r="AQ132" i="27"/>
  <c r="AO132" i="27"/>
  <c r="AM132" i="27"/>
  <c r="AK132" i="27"/>
  <c r="AI132" i="27"/>
  <c r="AG132" i="27"/>
  <c r="AE132" i="27"/>
  <c r="AC132" i="27"/>
  <c r="AA132" i="27"/>
  <c r="Y132" i="27"/>
  <c r="W132" i="27"/>
  <c r="U132" i="27"/>
  <c r="S132" i="27"/>
  <c r="Q132" i="27"/>
  <c r="O132" i="27"/>
  <c r="M132" i="27"/>
  <c r="K132" i="27"/>
  <c r="I132" i="27"/>
  <c r="G132" i="27"/>
  <c r="E132" i="27"/>
  <c r="AQ131" i="27"/>
  <c r="AO131" i="27"/>
  <c r="AM131" i="27"/>
  <c r="AK131" i="27"/>
  <c r="AI131" i="27"/>
  <c r="AG131" i="27"/>
  <c r="AE131" i="27"/>
  <c r="AC131" i="27"/>
  <c r="AA131" i="27"/>
  <c r="Y131" i="27"/>
  <c r="W131" i="27"/>
  <c r="U131" i="27"/>
  <c r="S131" i="27"/>
  <c r="Q131" i="27"/>
  <c r="O131" i="27"/>
  <c r="M131" i="27"/>
  <c r="K131" i="27"/>
  <c r="I131" i="27"/>
  <c r="G131" i="27"/>
  <c r="E131" i="27"/>
  <c r="AQ130" i="27"/>
  <c r="AO130" i="27"/>
  <c r="AM130" i="27"/>
  <c r="AK130" i="27"/>
  <c r="AI130" i="27"/>
  <c r="AG130" i="27"/>
  <c r="AE130" i="27"/>
  <c r="AC130" i="27"/>
  <c r="AA130" i="27"/>
  <c r="Y130" i="27"/>
  <c r="W130" i="27"/>
  <c r="U130" i="27"/>
  <c r="S130" i="27"/>
  <c r="Q130" i="27"/>
  <c r="O130" i="27"/>
  <c r="M130" i="27"/>
  <c r="K130" i="27"/>
  <c r="I130" i="27"/>
  <c r="G130" i="27"/>
  <c r="E130" i="27"/>
  <c r="AQ129" i="27"/>
  <c r="AO129" i="27"/>
  <c r="AM129" i="27"/>
  <c r="AK129" i="27"/>
  <c r="AI129" i="27"/>
  <c r="AG129" i="27"/>
  <c r="AE129" i="27"/>
  <c r="AC129" i="27"/>
  <c r="AA129" i="27"/>
  <c r="Y129" i="27"/>
  <c r="W129" i="27"/>
  <c r="U129" i="27"/>
  <c r="S129" i="27"/>
  <c r="Q129" i="27"/>
  <c r="O129" i="27"/>
  <c r="M129" i="27"/>
  <c r="K129" i="27"/>
  <c r="I129" i="27"/>
  <c r="G129" i="27"/>
  <c r="E129" i="27"/>
  <c r="AQ128" i="27"/>
  <c r="AO128" i="27"/>
  <c r="AM128" i="27"/>
  <c r="AK128" i="27"/>
  <c r="AI128" i="27"/>
  <c r="AG128" i="27"/>
  <c r="AE128" i="27"/>
  <c r="AC128" i="27"/>
  <c r="AA128" i="27"/>
  <c r="Y128" i="27"/>
  <c r="W128" i="27"/>
  <c r="U128" i="27"/>
  <c r="S128" i="27"/>
  <c r="Q128" i="27"/>
  <c r="O128" i="27"/>
  <c r="M128" i="27"/>
  <c r="K128" i="27"/>
  <c r="I128" i="27"/>
  <c r="G128" i="27"/>
  <c r="E128" i="27"/>
  <c r="AQ127" i="27"/>
  <c r="AO127" i="27"/>
  <c r="AM127" i="27"/>
  <c r="AK127" i="27"/>
  <c r="AI127" i="27"/>
  <c r="AG127" i="27"/>
  <c r="AE127" i="27"/>
  <c r="AC127" i="27"/>
  <c r="AA127" i="27"/>
  <c r="Y127" i="27"/>
  <c r="W127" i="27"/>
  <c r="U127" i="27"/>
  <c r="S127" i="27"/>
  <c r="Q127" i="27"/>
  <c r="O127" i="27"/>
  <c r="M127" i="27"/>
  <c r="K127" i="27"/>
  <c r="I127" i="27"/>
  <c r="G127" i="27"/>
  <c r="E127" i="27"/>
  <c r="AQ126" i="27"/>
  <c r="AO126" i="27"/>
  <c r="AM126" i="27"/>
  <c r="AK126" i="27"/>
  <c r="AI126" i="27"/>
  <c r="AG126" i="27"/>
  <c r="AE126" i="27"/>
  <c r="AC126" i="27"/>
  <c r="AA126" i="27"/>
  <c r="Y126" i="27"/>
  <c r="W126" i="27"/>
  <c r="U126" i="27"/>
  <c r="S126" i="27"/>
  <c r="Q126" i="27"/>
  <c r="O126" i="27"/>
  <c r="M126" i="27"/>
  <c r="K126" i="27"/>
  <c r="I126" i="27"/>
  <c r="G126" i="27"/>
  <c r="E126" i="27"/>
  <c r="AQ125" i="27"/>
  <c r="AO125" i="27"/>
  <c r="AM125" i="27"/>
  <c r="AK125" i="27"/>
  <c r="AI125" i="27"/>
  <c r="AG125" i="27"/>
  <c r="AE125" i="27"/>
  <c r="AC125" i="27"/>
  <c r="AA125" i="27"/>
  <c r="Y125" i="27"/>
  <c r="W125" i="27"/>
  <c r="U125" i="27"/>
  <c r="S125" i="27"/>
  <c r="Q125" i="27"/>
  <c r="O125" i="27"/>
  <c r="M125" i="27"/>
  <c r="K125" i="27"/>
  <c r="I125" i="27"/>
  <c r="G125" i="27"/>
  <c r="E125" i="27"/>
  <c r="AQ124" i="27"/>
  <c r="AO124" i="27"/>
  <c r="AM124" i="27"/>
  <c r="AK124" i="27"/>
  <c r="AI124" i="27"/>
  <c r="AG124" i="27"/>
  <c r="AE124" i="27"/>
  <c r="AC124" i="27"/>
  <c r="AA124" i="27"/>
  <c r="Y124" i="27"/>
  <c r="W124" i="27"/>
  <c r="U124" i="27"/>
  <c r="S124" i="27"/>
  <c r="Q124" i="27"/>
  <c r="O124" i="27"/>
  <c r="M124" i="27"/>
  <c r="K124" i="27"/>
  <c r="I124" i="27"/>
  <c r="G124" i="27"/>
  <c r="E124" i="27"/>
  <c r="AQ123" i="27"/>
  <c r="AO123" i="27"/>
  <c r="AM123" i="27"/>
  <c r="AK123" i="27"/>
  <c r="AI123" i="27"/>
  <c r="AG123" i="27"/>
  <c r="AE123" i="27"/>
  <c r="AC123" i="27"/>
  <c r="AA123" i="27"/>
  <c r="Y123" i="27"/>
  <c r="W123" i="27"/>
  <c r="U123" i="27"/>
  <c r="S123" i="27"/>
  <c r="Q123" i="27"/>
  <c r="O123" i="27"/>
  <c r="M123" i="27"/>
  <c r="K123" i="27"/>
  <c r="I123" i="27"/>
  <c r="G123" i="27"/>
  <c r="E123" i="27"/>
  <c r="AQ122" i="27"/>
  <c r="AO122" i="27"/>
  <c r="AM122" i="27"/>
  <c r="AK122" i="27"/>
  <c r="AI122" i="27"/>
  <c r="AG122" i="27"/>
  <c r="AE122" i="27"/>
  <c r="AC122" i="27"/>
  <c r="AA122" i="27"/>
  <c r="Y122" i="27"/>
  <c r="W122" i="27"/>
  <c r="U122" i="27"/>
  <c r="S122" i="27"/>
  <c r="Q122" i="27"/>
  <c r="O122" i="27"/>
  <c r="M122" i="27"/>
  <c r="K122" i="27"/>
  <c r="I122" i="27"/>
  <c r="G122" i="27"/>
  <c r="E122" i="27"/>
  <c r="AQ121" i="27"/>
  <c r="AO121" i="27"/>
  <c r="AM121" i="27"/>
  <c r="AK121" i="27"/>
  <c r="AI121" i="27"/>
  <c r="AG121" i="27"/>
  <c r="AE121" i="27"/>
  <c r="AC121" i="27"/>
  <c r="AA121" i="27"/>
  <c r="Y121" i="27"/>
  <c r="W121" i="27"/>
  <c r="U121" i="27"/>
  <c r="S121" i="27"/>
  <c r="Q121" i="27"/>
  <c r="O121" i="27"/>
  <c r="M121" i="27"/>
  <c r="K121" i="27"/>
  <c r="I121" i="27"/>
  <c r="G121" i="27"/>
  <c r="E121" i="27"/>
  <c r="AQ120" i="27"/>
  <c r="AO120" i="27"/>
  <c r="AM120" i="27"/>
  <c r="AK120" i="27"/>
  <c r="AI120" i="27"/>
  <c r="AG120" i="27"/>
  <c r="AE120" i="27"/>
  <c r="AC120" i="27"/>
  <c r="AA120" i="27"/>
  <c r="Y120" i="27"/>
  <c r="W120" i="27"/>
  <c r="U120" i="27"/>
  <c r="S120" i="27"/>
  <c r="Q120" i="27"/>
  <c r="O120" i="27"/>
  <c r="M120" i="27"/>
  <c r="K120" i="27"/>
  <c r="I120" i="27"/>
  <c r="G120" i="27"/>
  <c r="E120" i="27"/>
  <c r="AQ119" i="27"/>
  <c r="AO119" i="27"/>
  <c r="AM119" i="27"/>
  <c r="AK119" i="27"/>
  <c r="AI119" i="27"/>
  <c r="AG119" i="27"/>
  <c r="AE119" i="27"/>
  <c r="AC119" i="27"/>
  <c r="AA119" i="27"/>
  <c r="Y119" i="27"/>
  <c r="W119" i="27"/>
  <c r="U119" i="27"/>
  <c r="S119" i="27"/>
  <c r="Q119" i="27"/>
  <c r="O119" i="27"/>
  <c r="M119" i="27"/>
  <c r="K119" i="27"/>
  <c r="I119" i="27"/>
  <c r="G119" i="27"/>
  <c r="E119" i="27"/>
  <c r="AQ118" i="27"/>
  <c r="AO118" i="27"/>
  <c r="AM118" i="27"/>
  <c r="AK118" i="27"/>
  <c r="AI118" i="27"/>
  <c r="AG118" i="27"/>
  <c r="AE118" i="27"/>
  <c r="AC118" i="27"/>
  <c r="AA118" i="27"/>
  <c r="Y118" i="27"/>
  <c r="W118" i="27"/>
  <c r="U118" i="27"/>
  <c r="S118" i="27"/>
  <c r="Q118" i="27"/>
  <c r="O118" i="27"/>
  <c r="M118" i="27"/>
  <c r="K118" i="27"/>
  <c r="I118" i="27"/>
  <c r="G118" i="27"/>
  <c r="E118" i="27"/>
  <c r="AQ117" i="27"/>
  <c r="AO117" i="27"/>
  <c r="AM117" i="27"/>
  <c r="AK117" i="27"/>
  <c r="AI117" i="27"/>
  <c r="AG117" i="27"/>
  <c r="AE117" i="27"/>
  <c r="AC117" i="27"/>
  <c r="AA117" i="27"/>
  <c r="Y117" i="27"/>
  <c r="W117" i="27"/>
  <c r="U117" i="27"/>
  <c r="S117" i="27"/>
  <c r="Q117" i="27"/>
  <c r="O117" i="27"/>
  <c r="M117" i="27"/>
  <c r="K117" i="27"/>
  <c r="I117" i="27"/>
  <c r="G117" i="27"/>
  <c r="E117" i="27"/>
  <c r="AQ116" i="27"/>
  <c r="AO116" i="27"/>
  <c r="AM116" i="27"/>
  <c r="AK116" i="27"/>
  <c r="AI116" i="27"/>
  <c r="AG116" i="27"/>
  <c r="AE116" i="27"/>
  <c r="AC116" i="27"/>
  <c r="AA116" i="27"/>
  <c r="Y116" i="27"/>
  <c r="W116" i="27"/>
  <c r="U116" i="27"/>
  <c r="S116" i="27"/>
  <c r="Q116" i="27"/>
  <c r="O116" i="27"/>
  <c r="M116" i="27"/>
  <c r="K116" i="27"/>
  <c r="I116" i="27"/>
  <c r="G116" i="27"/>
  <c r="E116" i="27"/>
  <c r="AQ115" i="27"/>
  <c r="AO115" i="27"/>
  <c r="AM115" i="27"/>
  <c r="AK115" i="27"/>
  <c r="AI115" i="27"/>
  <c r="AG115" i="27"/>
  <c r="AE115" i="27"/>
  <c r="AC115" i="27"/>
  <c r="AA115" i="27"/>
  <c r="Y115" i="27"/>
  <c r="W115" i="27"/>
  <c r="U115" i="27"/>
  <c r="S115" i="27"/>
  <c r="Q115" i="27"/>
  <c r="O115" i="27"/>
  <c r="M115" i="27"/>
  <c r="K115" i="27"/>
  <c r="I115" i="27"/>
  <c r="G115" i="27"/>
  <c r="E115" i="27"/>
  <c r="AQ114" i="27"/>
  <c r="AO114" i="27"/>
  <c r="AM114" i="27"/>
  <c r="AK114" i="27"/>
  <c r="AI114" i="27"/>
  <c r="AG114" i="27"/>
  <c r="AE114" i="27"/>
  <c r="AC114" i="27"/>
  <c r="AA114" i="27"/>
  <c r="Y114" i="27"/>
  <c r="W114" i="27"/>
  <c r="U114" i="27"/>
  <c r="S114" i="27"/>
  <c r="Q114" i="27"/>
  <c r="O114" i="27"/>
  <c r="M114" i="27"/>
  <c r="K114" i="27"/>
  <c r="I114" i="27"/>
  <c r="G114" i="27"/>
  <c r="E114" i="27"/>
  <c r="AQ113" i="27"/>
  <c r="AO113" i="27"/>
  <c r="AM113" i="27"/>
  <c r="AK113" i="27"/>
  <c r="AI113" i="27"/>
  <c r="AG113" i="27"/>
  <c r="AE113" i="27"/>
  <c r="AC113" i="27"/>
  <c r="AA113" i="27"/>
  <c r="Y113" i="27"/>
  <c r="W113" i="27"/>
  <c r="U113" i="27"/>
  <c r="S113" i="27"/>
  <c r="Q113" i="27"/>
  <c r="O113" i="27"/>
  <c r="M113" i="27"/>
  <c r="K113" i="27"/>
  <c r="I113" i="27"/>
  <c r="G113" i="27"/>
  <c r="E113" i="27"/>
  <c r="AQ112" i="27"/>
  <c r="AO112" i="27"/>
  <c r="AM112" i="27"/>
  <c r="AK112" i="27"/>
  <c r="AI112" i="27"/>
  <c r="AG112" i="27"/>
  <c r="AE112" i="27"/>
  <c r="AC112" i="27"/>
  <c r="AA112" i="27"/>
  <c r="Y112" i="27"/>
  <c r="W112" i="27"/>
  <c r="U112" i="27"/>
  <c r="S112" i="27"/>
  <c r="Q112" i="27"/>
  <c r="O112" i="27"/>
  <c r="M112" i="27"/>
  <c r="K112" i="27"/>
  <c r="I112" i="27"/>
  <c r="G112" i="27"/>
  <c r="E112" i="27"/>
  <c r="AQ111" i="27"/>
  <c r="AO111" i="27"/>
  <c r="AM111" i="27"/>
  <c r="AK111" i="27"/>
  <c r="AI111" i="27"/>
  <c r="AG111" i="27"/>
  <c r="AE111" i="27"/>
  <c r="AC111" i="27"/>
  <c r="AA111" i="27"/>
  <c r="Y111" i="27"/>
  <c r="W111" i="27"/>
  <c r="U111" i="27"/>
  <c r="S111" i="27"/>
  <c r="Q111" i="27"/>
  <c r="O111" i="27"/>
  <c r="M111" i="27"/>
  <c r="K111" i="27"/>
  <c r="I111" i="27"/>
  <c r="G111" i="27"/>
  <c r="E111" i="27"/>
  <c r="AQ110" i="27"/>
  <c r="AO110" i="27"/>
  <c r="AM110" i="27"/>
  <c r="AK110" i="27"/>
  <c r="AI110" i="27"/>
  <c r="AG110" i="27"/>
  <c r="AE110" i="27"/>
  <c r="AC110" i="27"/>
  <c r="AA110" i="27"/>
  <c r="Y110" i="27"/>
  <c r="W110" i="27"/>
  <c r="U110" i="27"/>
  <c r="S110" i="27"/>
  <c r="Q110" i="27"/>
  <c r="O110" i="27"/>
  <c r="M110" i="27"/>
  <c r="K110" i="27"/>
  <c r="I110" i="27"/>
  <c r="G110" i="27"/>
  <c r="E110" i="27"/>
  <c r="AQ109" i="27"/>
  <c r="AO109" i="27"/>
  <c r="AM109" i="27"/>
  <c r="AK109" i="27"/>
  <c r="AI109" i="27"/>
  <c r="AG109" i="27"/>
  <c r="AE109" i="27"/>
  <c r="AC109" i="27"/>
  <c r="AA109" i="27"/>
  <c r="Y109" i="27"/>
  <c r="W109" i="27"/>
  <c r="U109" i="27"/>
  <c r="S109" i="27"/>
  <c r="Q109" i="27"/>
  <c r="O109" i="27"/>
  <c r="M109" i="27"/>
  <c r="K109" i="27"/>
  <c r="I109" i="27"/>
  <c r="G109" i="27"/>
  <c r="E109" i="27"/>
  <c r="AQ108" i="27"/>
  <c r="AO108" i="27"/>
  <c r="AM108" i="27"/>
  <c r="AK108" i="27"/>
  <c r="AI108" i="27"/>
  <c r="AG108" i="27"/>
  <c r="AE108" i="27"/>
  <c r="AC108" i="27"/>
  <c r="AA108" i="27"/>
  <c r="Y108" i="27"/>
  <c r="W108" i="27"/>
  <c r="U108" i="27"/>
  <c r="S108" i="27"/>
  <c r="Q108" i="27"/>
  <c r="O108" i="27"/>
  <c r="M108" i="27"/>
  <c r="K108" i="27"/>
  <c r="I108" i="27"/>
  <c r="G108" i="27"/>
  <c r="E108" i="27"/>
  <c r="AQ107" i="27"/>
  <c r="AO107" i="27"/>
  <c r="AM107" i="27"/>
  <c r="AK107" i="27"/>
  <c r="AI107" i="27"/>
  <c r="AG107" i="27"/>
  <c r="AE107" i="27"/>
  <c r="AC107" i="27"/>
  <c r="AA107" i="27"/>
  <c r="Y107" i="27"/>
  <c r="W107" i="27"/>
  <c r="U107" i="27"/>
  <c r="S107" i="27"/>
  <c r="Q107" i="27"/>
  <c r="O107" i="27"/>
  <c r="M107" i="27"/>
  <c r="K107" i="27"/>
  <c r="I107" i="27"/>
  <c r="G107" i="27"/>
  <c r="E107" i="27"/>
  <c r="AQ106" i="27"/>
  <c r="AO106" i="27"/>
  <c r="AM106" i="27"/>
  <c r="AK106" i="27"/>
  <c r="AI106" i="27"/>
  <c r="AG106" i="27"/>
  <c r="AE106" i="27"/>
  <c r="AC106" i="27"/>
  <c r="AA106" i="27"/>
  <c r="Y106" i="27"/>
  <c r="W106" i="27"/>
  <c r="U106" i="27"/>
  <c r="S106" i="27"/>
  <c r="Q106" i="27"/>
  <c r="O106" i="27"/>
  <c r="M106" i="27"/>
  <c r="K106" i="27"/>
  <c r="I106" i="27"/>
  <c r="G106" i="27"/>
  <c r="E106" i="27"/>
  <c r="AQ105" i="27"/>
  <c r="AO105" i="27"/>
  <c r="AM105" i="27"/>
  <c r="AK105" i="27"/>
  <c r="AI105" i="27"/>
  <c r="AG105" i="27"/>
  <c r="AE105" i="27"/>
  <c r="AC105" i="27"/>
  <c r="AA105" i="27"/>
  <c r="Y105" i="27"/>
  <c r="W105" i="27"/>
  <c r="U105" i="27"/>
  <c r="S105" i="27"/>
  <c r="Q105" i="27"/>
  <c r="O105" i="27"/>
  <c r="M105" i="27"/>
  <c r="K105" i="27"/>
  <c r="I105" i="27"/>
  <c r="G105" i="27"/>
  <c r="E105" i="27"/>
  <c r="AQ104" i="27"/>
  <c r="AO104" i="27"/>
  <c r="AM104" i="27"/>
  <c r="AK104" i="27"/>
  <c r="AI104" i="27"/>
  <c r="AG104" i="27"/>
  <c r="AE104" i="27"/>
  <c r="AC104" i="27"/>
  <c r="AA104" i="27"/>
  <c r="Y104" i="27"/>
  <c r="W104" i="27"/>
  <c r="U104" i="27"/>
  <c r="S104" i="27"/>
  <c r="Q104" i="27"/>
  <c r="O104" i="27"/>
  <c r="M104" i="27"/>
  <c r="K104" i="27"/>
  <c r="I104" i="27"/>
  <c r="G104" i="27"/>
  <c r="E104" i="27"/>
  <c r="AQ103" i="27"/>
  <c r="AO103" i="27"/>
  <c r="AM103" i="27"/>
  <c r="AK103" i="27"/>
  <c r="AI103" i="27"/>
  <c r="AG103" i="27"/>
  <c r="AE103" i="27"/>
  <c r="AC103" i="27"/>
  <c r="AA103" i="27"/>
  <c r="Y103" i="27"/>
  <c r="W103" i="27"/>
  <c r="U103" i="27"/>
  <c r="S103" i="27"/>
  <c r="Q103" i="27"/>
  <c r="O103" i="27"/>
  <c r="M103" i="27"/>
  <c r="K103" i="27"/>
  <c r="I103" i="27"/>
  <c r="G103" i="27"/>
  <c r="E103" i="27"/>
  <c r="AQ102" i="27"/>
  <c r="AO102" i="27"/>
  <c r="AM102" i="27"/>
  <c r="AK102" i="27"/>
  <c r="AI102" i="27"/>
  <c r="AG102" i="27"/>
  <c r="AE102" i="27"/>
  <c r="AC102" i="27"/>
  <c r="AA102" i="27"/>
  <c r="Y102" i="27"/>
  <c r="W102" i="27"/>
  <c r="U102" i="27"/>
  <c r="S102" i="27"/>
  <c r="Q102" i="27"/>
  <c r="O102" i="27"/>
  <c r="M102" i="27"/>
  <c r="K102" i="27"/>
  <c r="I102" i="27"/>
  <c r="G102" i="27"/>
  <c r="E102" i="27"/>
  <c r="AQ101" i="27"/>
  <c r="AO101" i="27"/>
  <c r="AM101" i="27"/>
  <c r="AK101" i="27"/>
  <c r="AI101" i="27"/>
  <c r="AG101" i="27"/>
  <c r="AE101" i="27"/>
  <c r="AC101" i="27"/>
  <c r="AA101" i="27"/>
  <c r="Y101" i="27"/>
  <c r="W101" i="27"/>
  <c r="U101" i="27"/>
  <c r="S101" i="27"/>
  <c r="Q101" i="27"/>
  <c r="O101" i="27"/>
  <c r="M101" i="27"/>
  <c r="K101" i="27"/>
  <c r="I101" i="27"/>
  <c r="G101" i="27"/>
  <c r="E101" i="27"/>
  <c r="AQ100" i="27"/>
  <c r="AO100" i="27"/>
  <c r="AM100" i="27"/>
  <c r="AK100" i="27"/>
  <c r="AI100" i="27"/>
  <c r="AG100" i="27"/>
  <c r="AE100" i="27"/>
  <c r="AC100" i="27"/>
  <c r="AA100" i="27"/>
  <c r="Y100" i="27"/>
  <c r="W100" i="27"/>
  <c r="U100" i="27"/>
  <c r="S100" i="27"/>
  <c r="Q100" i="27"/>
  <c r="O100" i="27"/>
  <c r="M100" i="27"/>
  <c r="K100" i="27"/>
  <c r="I100" i="27"/>
  <c r="G100" i="27"/>
  <c r="E100" i="27"/>
  <c r="AQ99" i="27"/>
  <c r="AO99" i="27"/>
  <c r="AM99" i="27"/>
  <c r="AK99" i="27"/>
  <c r="AI99" i="27"/>
  <c r="AG99" i="27"/>
  <c r="AE99" i="27"/>
  <c r="AC99" i="27"/>
  <c r="AA99" i="27"/>
  <c r="Y99" i="27"/>
  <c r="W99" i="27"/>
  <c r="U99" i="27"/>
  <c r="S99" i="27"/>
  <c r="Q99" i="27"/>
  <c r="O99" i="27"/>
  <c r="M99" i="27"/>
  <c r="K99" i="27"/>
  <c r="I99" i="27"/>
  <c r="G99" i="27"/>
  <c r="E99" i="27"/>
  <c r="AQ98" i="27"/>
  <c r="AO98" i="27"/>
  <c r="AM98" i="27"/>
  <c r="AK98" i="27"/>
  <c r="AI98" i="27"/>
  <c r="AG98" i="27"/>
  <c r="AE98" i="27"/>
  <c r="AC98" i="27"/>
  <c r="AA98" i="27"/>
  <c r="Y98" i="27"/>
  <c r="W98" i="27"/>
  <c r="U98" i="27"/>
  <c r="S98" i="27"/>
  <c r="Q98" i="27"/>
  <c r="O98" i="27"/>
  <c r="M98" i="27"/>
  <c r="K98" i="27"/>
  <c r="I98" i="27"/>
  <c r="G98" i="27"/>
  <c r="E98" i="27"/>
  <c r="AQ97" i="27"/>
  <c r="AO97" i="27"/>
  <c r="AM97" i="27"/>
  <c r="AK97" i="27"/>
  <c r="AI97" i="27"/>
  <c r="AG97" i="27"/>
  <c r="AE97" i="27"/>
  <c r="AC97" i="27"/>
  <c r="AA97" i="27"/>
  <c r="Y97" i="27"/>
  <c r="W97" i="27"/>
  <c r="U97" i="27"/>
  <c r="S97" i="27"/>
  <c r="Q97" i="27"/>
  <c r="O97" i="27"/>
  <c r="M97" i="27"/>
  <c r="K97" i="27"/>
  <c r="I97" i="27"/>
  <c r="G97" i="27"/>
  <c r="E97" i="27"/>
  <c r="AQ96" i="27"/>
  <c r="AO96" i="27"/>
  <c r="AM96" i="27"/>
  <c r="AK96" i="27"/>
  <c r="AI96" i="27"/>
  <c r="AG96" i="27"/>
  <c r="AE96" i="27"/>
  <c r="AC96" i="27"/>
  <c r="AA96" i="27"/>
  <c r="Y96" i="27"/>
  <c r="W96" i="27"/>
  <c r="U96" i="27"/>
  <c r="S96" i="27"/>
  <c r="Q96" i="27"/>
  <c r="O96" i="27"/>
  <c r="M96" i="27"/>
  <c r="K96" i="27"/>
  <c r="I96" i="27"/>
  <c r="G96" i="27"/>
  <c r="E96" i="27"/>
  <c r="AQ95" i="27"/>
  <c r="AO95" i="27"/>
  <c r="AM95" i="27"/>
  <c r="AK95" i="27"/>
  <c r="AI95" i="27"/>
  <c r="AG95" i="27"/>
  <c r="AE95" i="27"/>
  <c r="AC95" i="27"/>
  <c r="AA95" i="27"/>
  <c r="Y95" i="27"/>
  <c r="W95" i="27"/>
  <c r="U95" i="27"/>
  <c r="S95" i="27"/>
  <c r="Q95" i="27"/>
  <c r="O95" i="27"/>
  <c r="M95" i="27"/>
  <c r="K95" i="27"/>
  <c r="I95" i="27"/>
  <c r="G95" i="27"/>
  <c r="E95" i="27"/>
  <c r="AQ94" i="27"/>
  <c r="AO94" i="27"/>
  <c r="AM94" i="27"/>
  <c r="AK94" i="27"/>
  <c r="AI94" i="27"/>
  <c r="AG94" i="27"/>
  <c r="AE94" i="27"/>
  <c r="AC94" i="27"/>
  <c r="AA94" i="27"/>
  <c r="Y94" i="27"/>
  <c r="W94" i="27"/>
  <c r="U94" i="27"/>
  <c r="S94" i="27"/>
  <c r="Q94" i="27"/>
  <c r="O94" i="27"/>
  <c r="M94" i="27"/>
  <c r="K94" i="27"/>
  <c r="I94" i="27"/>
  <c r="G94" i="27"/>
  <c r="E94" i="27"/>
  <c r="AQ93" i="27"/>
  <c r="AO93" i="27"/>
  <c r="AM93" i="27"/>
  <c r="AK93" i="27"/>
  <c r="AI93" i="27"/>
  <c r="AG93" i="27"/>
  <c r="AE93" i="27"/>
  <c r="AC93" i="27"/>
  <c r="AA93" i="27"/>
  <c r="Y93" i="27"/>
  <c r="W93" i="27"/>
  <c r="U93" i="27"/>
  <c r="S93" i="27"/>
  <c r="Q93" i="27"/>
  <c r="O93" i="27"/>
  <c r="M93" i="27"/>
  <c r="K93" i="27"/>
  <c r="I93" i="27"/>
  <c r="G93" i="27"/>
  <c r="E93" i="27"/>
  <c r="AQ92" i="27"/>
  <c r="AO92" i="27"/>
  <c r="AM92" i="27"/>
  <c r="AK92" i="27"/>
  <c r="AI92" i="27"/>
  <c r="AG92" i="27"/>
  <c r="AE92" i="27"/>
  <c r="AC92" i="27"/>
  <c r="AA92" i="27"/>
  <c r="Y92" i="27"/>
  <c r="W92" i="27"/>
  <c r="U92" i="27"/>
  <c r="S92" i="27"/>
  <c r="Q92" i="27"/>
  <c r="O92" i="27"/>
  <c r="M92" i="27"/>
  <c r="K92" i="27"/>
  <c r="I92" i="27"/>
  <c r="G92" i="27"/>
  <c r="E92" i="27"/>
  <c r="AQ91" i="27"/>
  <c r="AO91" i="27"/>
  <c r="AM91" i="27"/>
  <c r="AK91" i="27"/>
  <c r="AI91" i="27"/>
  <c r="AG91" i="27"/>
  <c r="AE91" i="27"/>
  <c r="AC91" i="27"/>
  <c r="AA91" i="27"/>
  <c r="Y91" i="27"/>
  <c r="W91" i="27"/>
  <c r="U91" i="27"/>
  <c r="S91" i="27"/>
  <c r="Q91" i="27"/>
  <c r="O91" i="27"/>
  <c r="M91" i="27"/>
  <c r="K91" i="27"/>
  <c r="I91" i="27"/>
  <c r="G91" i="27"/>
  <c r="E91" i="27"/>
  <c r="AQ90" i="27"/>
  <c r="AO90" i="27"/>
  <c r="AM90" i="27"/>
  <c r="AK90" i="27"/>
  <c r="AI90" i="27"/>
  <c r="AG90" i="27"/>
  <c r="AE90" i="27"/>
  <c r="AC90" i="27"/>
  <c r="AA90" i="27"/>
  <c r="Y90" i="27"/>
  <c r="W90" i="27"/>
  <c r="U90" i="27"/>
  <c r="S90" i="27"/>
  <c r="Q90" i="27"/>
  <c r="O90" i="27"/>
  <c r="M90" i="27"/>
  <c r="K90" i="27"/>
  <c r="I90" i="27"/>
  <c r="G90" i="27"/>
  <c r="E90" i="27"/>
  <c r="AQ89" i="27"/>
  <c r="AO89" i="27"/>
  <c r="AM89" i="27"/>
  <c r="AK89" i="27"/>
  <c r="AI89" i="27"/>
  <c r="AG89" i="27"/>
  <c r="AE89" i="27"/>
  <c r="AC89" i="27"/>
  <c r="AA89" i="27"/>
  <c r="Y89" i="27"/>
  <c r="W89" i="27"/>
  <c r="U89" i="27"/>
  <c r="S89" i="27"/>
  <c r="Q89" i="27"/>
  <c r="O89" i="27"/>
  <c r="M89" i="27"/>
  <c r="K89" i="27"/>
  <c r="I89" i="27"/>
  <c r="G89" i="27"/>
  <c r="E89" i="27"/>
  <c r="AQ88" i="27"/>
  <c r="AO88" i="27"/>
  <c r="AM88" i="27"/>
  <c r="AK88" i="27"/>
  <c r="AI88" i="27"/>
  <c r="AG88" i="27"/>
  <c r="AE88" i="27"/>
  <c r="AC88" i="27"/>
  <c r="AA88" i="27"/>
  <c r="Y88" i="27"/>
  <c r="W88" i="27"/>
  <c r="U88" i="27"/>
  <c r="S88" i="27"/>
  <c r="Q88" i="27"/>
  <c r="O88" i="27"/>
  <c r="M88" i="27"/>
  <c r="K88" i="27"/>
  <c r="I88" i="27"/>
  <c r="G88" i="27"/>
  <c r="E88" i="27"/>
  <c r="AQ87" i="27"/>
  <c r="AO87" i="27"/>
  <c r="AM87" i="27"/>
  <c r="AK87" i="27"/>
  <c r="AI87" i="27"/>
  <c r="AG87" i="27"/>
  <c r="AE87" i="27"/>
  <c r="AC87" i="27"/>
  <c r="AA87" i="27"/>
  <c r="Y87" i="27"/>
  <c r="W87" i="27"/>
  <c r="U87" i="27"/>
  <c r="S87" i="27"/>
  <c r="Q87" i="27"/>
  <c r="O87" i="27"/>
  <c r="M87" i="27"/>
  <c r="K87" i="27"/>
  <c r="I87" i="27"/>
  <c r="G87" i="27"/>
  <c r="E87" i="27"/>
  <c r="AQ86" i="27"/>
  <c r="AO86" i="27"/>
  <c r="AM86" i="27"/>
  <c r="AK86" i="27"/>
  <c r="AI86" i="27"/>
  <c r="AG86" i="27"/>
  <c r="AE86" i="27"/>
  <c r="AC86" i="27"/>
  <c r="AA86" i="27"/>
  <c r="Y86" i="27"/>
  <c r="W86" i="27"/>
  <c r="U86" i="27"/>
  <c r="S86" i="27"/>
  <c r="Q86" i="27"/>
  <c r="O86" i="27"/>
  <c r="M86" i="27"/>
  <c r="K86" i="27"/>
  <c r="I86" i="27"/>
  <c r="G86" i="27"/>
  <c r="E86" i="27"/>
  <c r="AQ85" i="27"/>
  <c r="AO85" i="27"/>
  <c r="AM85" i="27"/>
  <c r="AK85" i="27"/>
  <c r="AI85" i="27"/>
  <c r="AG85" i="27"/>
  <c r="AE85" i="27"/>
  <c r="AC85" i="27"/>
  <c r="AA85" i="27"/>
  <c r="Y85" i="27"/>
  <c r="W85" i="27"/>
  <c r="U85" i="27"/>
  <c r="S85" i="27"/>
  <c r="Q85" i="27"/>
  <c r="O85" i="27"/>
  <c r="M85" i="27"/>
  <c r="K85" i="27"/>
  <c r="I85" i="27"/>
  <c r="G85" i="27"/>
  <c r="E85" i="27"/>
  <c r="AQ84" i="27"/>
  <c r="AO84" i="27"/>
  <c r="AM84" i="27"/>
  <c r="AK84" i="27"/>
  <c r="AI84" i="27"/>
  <c r="AG84" i="27"/>
  <c r="AE84" i="27"/>
  <c r="AC84" i="27"/>
  <c r="AA84" i="27"/>
  <c r="Y84" i="27"/>
  <c r="W84" i="27"/>
  <c r="U84" i="27"/>
  <c r="S84" i="27"/>
  <c r="Q84" i="27"/>
  <c r="O84" i="27"/>
  <c r="M84" i="27"/>
  <c r="K84" i="27"/>
  <c r="I84" i="27"/>
  <c r="G84" i="27"/>
  <c r="E84" i="27"/>
  <c r="AQ83" i="27"/>
  <c r="AO83" i="27"/>
  <c r="AM83" i="27"/>
  <c r="AK83" i="27"/>
  <c r="AI83" i="27"/>
  <c r="AG83" i="27"/>
  <c r="AE83" i="27"/>
  <c r="AC83" i="27"/>
  <c r="AA83" i="27"/>
  <c r="Y83" i="27"/>
  <c r="W83" i="27"/>
  <c r="U83" i="27"/>
  <c r="S83" i="27"/>
  <c r="Q83" i="27"/>
  <c r="O83" i="27"/>
  <c r="M83" i="27"/>
  <c r="K83" i="27"/>
  <c r="I83" i="27"/>
  <c r="G83" i="27"/>
  <c r="E83" i="27"/>
  <c r="AQ82" i="27"/>
  <c r="AO82" i="27"/>
  <c r="AM82" i="27"/>
  <c r="AK82" i="27"/>
  <c r="AI82" i="27"/>
  <c r="AG82" i="27"/>
  <c r="AE82" i="27"/>
  <c r="AC82" i="27"/>
  <c r="AA82" i="27"/>
  <c r="Y82" i="27"/>
  <c r="W82" i="27"/>
  <c r="U82" i="27"/>
  <c r="S82" i="27"/>
  <c r="Q82" i="27"/>
  <c r="O82" i="27"/>
  <c r="M82" i="27"/>
  <c r="K82" i="27"/>
  <c r="I82" i="27"/>
  <c r="G82" i="27"/>
  <c r="E82" i="27"/>
  <c r="AQ81" i="27"/>
  <c r="AO81" i="27"/>
  <c r="AM81" i="27"/>
  <c r="AK81" i="27"/>
  <c r="AI81" i="27"/>
  <c r="AG81" i="27"/>
  <c r="AE81" i="27"/>
  <c r="AC81" i="27"/>
  <c r="AA81" i="27"/>
  <c r="Y81" i="27"/>
  <c r="W81" i="27"/>
  <c r="U81" i="27"/>
  <c r="S81" i="27"/>
  <c r="Q81" i="27"/>
  <c r="O81" i="27"/>
  <c r="M81" i="27"/>
  <c r="K81" i="27"/>
  <c r="I81" i="27"/>
  <c r="G81" i="27"/>
  <c r="E81" i="27"/>
  <c r="AQ80" i="27"/>
  <c r="AO80" i="27"/>
  <c r="AM80" i="27"/>
  <c r="AK80" i="27"/>
  <c r="AI80" i="27"/>
  <c r="AG80" i="27"/>
  <c r="AE80" i="27"/>
  <c r="AC80" i="27"/>
  <c r="AA80" i="27"/>
  <c r="Y80" i="27"/>
  <c r="W80" i="27"/>
  <c r="U80" i="27"/>
  <c r="S80" i="27"/>
  <c r="Q80" i="27"/>
  <c r="O80" i="27"/>
  <c r="M80" i="27"/>
  <c r="K80" i="27"/>
  <c r="I80" i="27"/>
  <c r="G80" i="27"/>
  <c r="E80" i="27"/>
  <c r="AQ79" i="27"/>
  <c r="AO79" i="27"/>
  <c r="AM79" i="27"/>
  <c r="AK79" i="27"/>
  <c r="AI79" i="27"/>
  <c r="AG79" i="27"/>
  <c r="AE79" i="27"/>
  <c r="AC79" i="27"/>
  <c r="AA79" i="27"/>
  <c r="Y79" i="27"/>
  <c r="W79" i="27"/>
  <c r="U79" i="27"/>
  <c r="S79" i="27"/>
  <c r="Q79" i="27"/>
  <c r="O79" i="27"/>
  <c r="M79" i="27"/>
  <c r="K79" i="27"/>
  <c r="I79" i="27"/>
  <c r="G79" i="27"/>
  <c r="E79" i="27"/>
  <c r="AQ78" i="27"/>
  <c r="AO78" i="27"/>
  <c r="AM78" i="27"/>
  <c r="AK78" i="27"/>
  <c r="AI78" i="27"/>
  <c r="AG78" i="27"/>
  <c r="AE78" i="27"/>
  <c r="AC78" i="27"/>
  <c r="AA78" i="27"/>
  <c r="Y78" i="27"/>
  <c r="W78" i="27"/>
  <c r="U78" i="27"/>
  <c r="S78" i="27"/>
  <c r="Q78" i="27"/>
  <c r="O78" i="27"/>
  <c r="M78" i="27"/>
  <c r="K78" i="27"/>
  <c r="I78" i="27"/>
  <c r="G78" i="27"/>
  <c r="E78" i="27"/>
  <c r="AQ77" i="27"/>
  <c r="AO77" i="27"/>
  <c r="AM77" i="27"/>
  <c r="AK77" i="27"/>
  <c r="AI77" i="27"/>
  <c r="AG77" i="27"/>
  <c r="AE77" i="27"/>
  <c r="AC77" i="27"/>
  <c r="AA77" i="27"/>
  <c r="Y77" i="27"/>
  <c r="W77" i="27"/>
  <c r="U77" i="27"/>
  <c r="S77" i="27"/>
  <c r="Q77" i="27"/>
  <c r="O77" i="27"/>
  <c r="M77" i="27"/>
  <c r="K77" i="27"/>
  <c r="I77" i="27"/>
  <c r="G77" i="27"/>
  <c r="E77" i="27"/>
  <c r="AQ76" i="27"/>
  <c r="AO76" i="27"/>
  <c r="AM76" i="27"/>
  <c r="AK76" i="27"/>
  <c r="AI76" i="27"/>
  <c r="AG76" i="27"/>
  <c r="AE76" i="27"/>
  <c r="AC76" i="27"/>
  <c r="AA76" i="27"/>
  <c r="Y76" i="27"/>
  <c r="W76" i="27"/>
  <c r="U76" i="27"/>
  <c r="S76" i="27"/>
  <c r="Q76" i="27"/>
  <c r="O76" i="27"/>
  <c r="M76" i="27"/>
  <c r="K76" i="27"/>
  <c r="I76" i="27"/>
  <c r="G76" i="27"/>
  <c r="E76" i="27"/>
  <c r="AQ75" i="27"/>
  <c r="AO75" i="27"/>
  <c r="AM75" i="27"/>
  <c r="AK75" i="27"/>
  <c r="AI75" i="27"/>
  <c r="AG75" i="27"/>
  <c r="AE75" i="27"/>
  <c r="AC75" i="27"/>
  <c r="AA75" i="27"/>
  <c r="Y75" i="27"/>
  <c r="W75" i="27"/>
  <c r="U75" i="27"/>
  <c r="S75" i="27"/>
  <c r="Q75" i="27"/>
  <c r="O75" i="27"/>
  <c r="M75" i="27"/>
  <c r="K75" i="27"/>
  <c r="I75" i="27"/>
  <c r="G75" i="27"/>
  <c r="E75" i="27"/>
  <c r="AQ74" i="27"/>
  <c r="AO74" i="27"/>
  <c r="AM74" i="27"/>
  <c r="AK74" i="27"/>
  <c r="AI74" i="27"/>
  <c r="AG74" i="27"/>
  <c r="AE74" i="27"/>
  <c r="AC74" i="27"/>
  <c r="AA74" i="27"/>
  <c r="Y74" i="27"/>
  <c r="W74" i="27"/>
  <c r="U74" i="27"/>
  <c r="S74" i="27"/>
  <c r="Q74" i="27"/>
  <c r="O74" i="27"/>
  <c r="M74" i="27"/>
  <c r="K74" i="27"/>
  <c r="I74" i="27"/>
  <c r="G74" i="27"/>
  <c r="E74" i="27"/>
  <c r="AQ73" i="27"/>
  <c r="AO73" i="27"/>
  <c r="AM73" i="27"/>
  <c r="AK73" i="27"/>
  <c r="AI73" i="27"/>
  <c r="AG73" i="27"/>
  <c r="AE73" i="27"/>
  <c r="AC73" i="27"/>
  <c r="AA73" i="27"/>
  <c r="Y73" i="27"/>
  <c r="W73" i="27"/>
  <c r="U73" i="27"/>
  <c r="S73" i="27"/>
  <c r="Q73" i="27"/>
  <c r="O73" i="27"/>
  <c r="M73" i="27"/>
  <c r="K73" i="27"/>
  <c r="I73" i="27"/>
  <c r="G73" i="27"/>
  <c r="E73" i="27"/>
  <c r="AQ72" i="27"/>
  <c r="AO72" i="27"/>
  <c r="AM72" i="27"/>
  <c r="AK72" i="27"/>
  <c r="AI72" i="27"/>
  <c r="AG72" i="27"/>
  <c r="AE72" i="27"/>
  <c r="AC72" i="27"/>
  <c r="AA72" i="27"/>
  <c r="Y72" i="27"/>
  <c r="W72" i="27"/>
  <c r="U72" i="27"/>
  <c r="S72" i="27"/>
  <c r="Q72" i="27"/>
  <c r="O72" i="27"/>
  <c r="M72" i="27"/>
  <c r="K72" i="27"/>
  <c r="I72" i="27"/>
  <c r="G72" i="27"/>
  <c r="E72" i="27"/>
  <c r="AQ71" i="27"/>
  <c r="AO71" i="27"/>
  <c r="AM71" i="27"/>
  <c r="AK71" i="27"/>
  <c r="AI71" i="27"/>
  <c r="AG71" i="27"/>
  <c r="AE71" i="27"/>
  <c r="AC71" i="27"/>
  <c r="AA71" i="27"/>
  <c r="Y71" i="27"/>
  <c r="W71" i="27"/>
  <c r="U71" i="27"/>
  <c r="S71" i="27"/>
  <c r="Q71" i="27"/>
  <c r="O71" i="27"/>
  <c r="M71" i="27"/>
  <c r="K71" i="27"/>
  <c r="I71" i="27"/>
  <c r="G71" i="27"/>
  <c r="E71" i="27"/>
  <c r="AQ70" i="27"/>
  <c r="AO70" i="27"/>
  <c r="AM70" i="27"/>
  <c r="AK70" i="27"/>
  <c r="AI70" i="27"/>
  <c r="AG70" i="27"/>
  <c r="AE70" i="27"/>
  <c r="AC70" i="27"/>
  <c r="AA70" i="27"/>
  <c r="Y70" i="27"/>
  <c r="W70" i="27"/>
  <c r="U70" i="27"/>
  <c r="S70" i="27"/>
  <c r="Q70" i="27"/>
  <c r="O70" i="27"/>
  <c r="M70" i="27"/>
  <c r="K70" i="27"/>
  <c r="I70" i="27"/>
  <c r="G70" i="27"/>
  <c r="E70" i="27"/>
  <c r="AQ69" i="27"/>
  <c r="AO69" i="27"/>
  <c r="AM69" i="27"/>
  <c r="AK69" i="27"/>
  <c r="AI69" i="27"/>
  <c r="AG69" i="27"/>
  <c r="AE69" i="27"/>
  <c r="AC69" i="27"/>
  <c r="AA69" i="27"/>
  <c r="Y69" i="27"/>
  <c r="W69" i="27"/>
  <c r="U69" i="27"/>
  <c r="S69" i="27"/>
  <c r="Q69" i="27"/>
  <c r="O69" i="27"/>
  <c r="M69" i="27"/>
  <c r="K69" i="27"/>
  <c r="I69" i="27"/>
  <c r="G69" i="27"/>
  <c r="E69" i="27"/>
  <c r="AQ68" i="27"/>
  <c r="AO68" i="27"/>
  <c r="AM68" i="27"/>
  <c r="AK68" i="27"/>
  <c r="AI68" i="27"/>
  <c r="AG68" i="27"/>
  <c r="AE68" i="27"/>
  <c r="AC68" i="27"/>
  <c r="AA68" i="27"/>
  <c r="Y68" i="27"/>
  <c r="W68" i="27"/>
  <c r="U68" i="27"/>
  <c r="S68" i="27"/>
  <c r="Q68" i="27"/>
  <c r="O68" i="27"/>
  <c r="M68" i="27"/>
  <c r="K68" i="27"/>
  <c r="I68" i="27"/>
  <c r="G68" i="27"/>
  <c r="E68" i="27"/>
  <c r="AQ67" i="27"/>
  <c r="AO67" i="27"/>
  <c r="AM67" i="27"/>
  <c r="AK67" i="27"/>
  <c r="AI67" i="27"/>
  <c r="AG67" i="27"/>
  <c r="AE67" i="27"/>
  <c r="AC67" i="27"/>
  <c r="AA67" i="27"/>
  <c r="Y67" i="27"/>
  <c r="W67" i="27"/>
  <c r="U67" i="27"/>
  <c r="S67" i="27"/>
  <c r="Q67" i="27"/>
  <c r="O67" i="27"/>
  <c r="M67" i="27"/>
  <c r="K67" i="27"/>
  <c r="I67" i="27"/>
  <c r="G67" i="27"/>
  <c r="E67" i="27"/>
  <c r="AQ66" i="27"/>
  <c r="AO66" i="27"/>
  <c r="AM66" i="27"/>
  <c r="AK66" i="27"/>
  <c r="AI66" i="27"/>
  <c r="AG66" i="27"/>
  <c r="AE66" i="27"/>
  <c r="AC66" i="27"/>
  <c r="AA66" i="27"/>
  <c r="Y66" i="27"/>
  <c r="W66" i="27"/>
  <c r="U66" i="27"/>
  <c r="S66" i="27"/>
  <c r="Q66" i="27"/>
  <c r="O66" i="27"/>
  <c r="M66" i="27"/>
  <c r="K66" i="27"/>
  <c r="I66" i="27"/>
  <c r="G66" i="27"/>
  <c r="E66" i="27"/>
  <c r="AQ65" i="27"/>
  <c r="AO65" i="27"/>
  <c r="AM65" i="27"/>
  <c r="AK65" i="27"/>
  <c r="AI65" i="27"/>
  <c r="AG65" i="27"/>
  <c r="AE65" i="27"/>
  <c r="AC65" i="27"/>
  <c r="AA65" i="27"/>
  <c r="Y65" i="27"/>
  <c r="W65" i="27"/>
  <c r="U65" i="27"/>
  <c r="S65" i="27"/>
  <c r="Q65" i="27"/>
  <c r="O65" i="27"/>
  <c r="M65" i="27"/>
  <c r="K65" i="27"/>
  <c r="I65" i="27"/>
  <c r="G65" i="27"/>
  <c r="E65" i="27"/>
  <c r="AQ64" i="27"/>
  <c r="AO64" i="27"/>
  <c r="AM64" i="27"/>
  <c r="AK64" i="27"/>
  <c r="AI64" i="27"/>
  <c r="AG64" i="27"/>
  <c r="AE64" i="27"/>
  <c r="AC64" i="27"/>
  <c r="AA64" i="27"/>
  <c r="Y64" i="27"/>
  <c r="W64" i="27"/>
  <c r="U64" i="27"/>
  <c r="S64" i="27"/>
  <c r="Q64" i="27"/>
  <c r="O64" i="27"/>
  <c r="M64" i="27"/>
  <c r="K64" i="27"/>
  <c r="I64" i="27"/>
  <c r="G64" i="27"/>
  <c r="E64" i="27"/>
  <c r="AQ63" i="27"/>
  <c r="AO63" i="27"/>
  <c r="AM63" i="27"/>
  <c r="AK63" i="27"/>
  <c r="AI63" i="27"/>
  <c r="AG63" i="27"/>
  <c r="AE63" i="27"/>
  <c r="AC63" i="27"/>
  <c r="AA63" i="27"/>
  <c r="Y63" i="27"/>
  <c r="W63" i="27"/>
  <c r="U63" i="27"/>
  <c r="S63" i="27"/>
  <c r="Q63" i="27"/>
  <c r="O63" i="27"/>
  <c r="M63" i="27"/>
  <c r="K63" i="27"/>
  <c r="I63" i="27"/>
  <c r="G63" i="27"/>
  <c r="E63" i="27"/>
  <c r="AQ62" i="27"/>
  <c r="AO62" i="27"/>
  <c r="AM62" i="27"/>
  <c r="AK62" i="27"/>
  <c r="AI62" i="27"/>
  <c r="AG62" i="27"/>
  <c r="AE62" i="27"/>
  <c r="AC62" i="27"/>
  <c r="AA62" i="27"/>
  <c r="Y62" i="27"/>
  <c r="W62" i="27"/>
  <c r="U62" i="27"/>
  <c r="S62" i="27"/>
  <c r="Q62" i="27"/>
  <c r="O62" i="27"/>
  <c r="M62" i="27"/>
  <c r="K62" i="27"/>
  <c r="I62" i="27"/>
  <c r="G62" i="27"/>
  <c r="E62" i="27"/>
  <c r="AQ61" i="27"/>
  <c r="AO61" i="27"/>
  <c r="AM61" i="27"/>
  <c r="AK61" i="27"/>
  <c r="AI61" i="27"/>
  <c r="AG61" i="27"/>
  <c r="AE61" i="27"/>
  <c r="AC61" i="27"/>
  <c r="AA61" i="27"/>
  <c r="Y61" i="27"/>
  <c r="W61" i="27"/>
  <c r="U61" i="27"/>
  <c r="S61" i="27"/>
  <c r="Q61" i="27"/>
  <c r="O61" i="27"/>
  <c r="M61" i="27"/>
  <c r="K61" i="27"/>
  <c r="I61" i="27"/>
  <c r="G61" i="27"/>
  <c r="E61" i="27"/>
  <c r="AQ60" i="27"/>
  <c r="AO60" i="27"/>
  <c r="AM60" i="27"/>
  <c r="AK60" i="27"/>
  <c r="AI60" i="27"/>
  <c r="AG60" i="27"/>
  <c r="AE60" i="27"/>
  <c r="AC60" i="27"/>
  <c r="AA60" i="27"/>
  <c r="Y60" i="27"/>
  <c r="W60" i="27"/>
  <c r="U60" i="27"/>
  <c r="S60" i="27"/>
  <c r="Q60" i="27"/>
  <c r="O60" i="27"/>
  <c r="M60" i="27"/>
  <c r="K60" i="27"/>
  <c r="I60" i="27"/>
  <c r="G60" i="27"/>
  <c r="E60" i="27"/>
  <c r="AQ59" i="27"/>
  <c r="AO59" i="27"/>
  <c r="AM59" i="27"/>
  <c r="AK59" i="27"/>
  <c r="AI59" i="27"/>
  <c r="AG59" i="27"/>
  <c r="AE59" i="27"/>
  <c r="AC59" i="27"/>
  <c r="AA59" i="27"/>
  <c r="Y59" i="27"/>
  <c r="W59" i="27"/>
  <c r="U59" i="27"/>
  <c r="S59" i="27"/>
  <c r="Q59" i="27"/>
  <c r="O59" i="27"/>
  <c r="M59" i="27"/>
  <c r="K59" i="27"/>
  <c r="I59" i="27"/>
  <c r="G59" i="27"/>
  <c r="E59" i="27"/>
  <c r="AQ58" i="27"/>
  <c r="AO58" i="27"/>
  <c r="AM58" i="27"/>
  <c r="AK58" i="27"/>
  <c r="AI58" i="27"/>
  <c r="AG58" i="27"/>
  <c r="AE58" i="27"/>
  <c r="AC58" i="27"/>
  <c r="AA58" i="27"/>
  <c r="Y58" i="27"/>
  <c r="W58" i="27"/>
  <c r="U58" i="27"/>
  <c r="S58" i="27"/>
  <c r="Q58" i="27"/>
  <c r="O58" i="27"/>
  <c r="M58" i="27"/>
  <c r="K58" i="27"/>
  <c r="I58" i="27"/>
  <c r="G58" i="27"/>
  <c r="E58" i="27"/>
  <c r="AQ57" i="27"/>
  <c r="AO57" i="27"/>
  <c r="AM57" i="27"/>
  <c r="AK57" i="27"/>
  <c r="AI57" i="27"/>
  <c r="AG57" i="27"/>
  <c r="AE57" i="27"/>
  <c r="AC57" i="27"/>
  <c r="AA57" i="27"/>
  <c r="Y57" i="27"/>
  <c r="W57" i="27"/>
  <c r="U57" i="27"/>
  <c r="S57" i="27"/>
  <c r="Q57" i="27"/>
  <c r="O57" i="27"/>
  <c r="M57" i="27"/>
  <c r="K57" i="27"/>
  <c r="I57" i="27"/>
  <c r="G57" i="27"/>
  <c r="E57" i="27"/>
  <c r="AQ56" i="27"/>
  <c r="AO56" i="27"/>
  <c r="AM56" i="27"/>
  <c r="AK56" i="27"/>
  <c r="AI56" i="27"/>
  <c r="AG56" i="27"/>
  <c r="AE56" i="27"/>
  <c r="AC56" i="27"/>
  <c r="AA56" i="27"/>
  <c r="Y56" i="27"/>
  <c r="W56" i="27"/>
  <c r="U56" i="27"/>
  <c r="S56" i="27"/>
  <c r="Q56" i="27"/>
  <c r="O56" i="27"/>
  <c r="M56" i="27"/>
  <c r="K56" i="27"/>
  <c r="I56" i="27"/>
  <c r="G56" i="27"/>
  <c r="E56" i="27"/>
  <c r="AQ55" i="27"/>
  <c r="AO55" i="27"/>
  <c r="AM55" i="27"/>
  <c r="AK55" i="27"/>
  <c r="AI55" i="27"/>
  <c r="AG55" i="27"/>
  <c r="AE55" i="27"/>
  <c r="AC55" i="27"/>
  <c r="AA55" i="27"/>
  <c r="Y55" i="27"/>
  <c r="W55" i="27"/>
  <c r="U55" i="27"/>
  <c r="S55" i="27"/>
  <c r="Q55" i="27"/>
  <c r="O55" i="27"/>
  <c r="M55" i="27"/>
  <c r="K55" i="27"/>
  <c r="I55" i="27"/>
  <c r="G55" i="27"/>
  <c r="E55" i="27"/>
  <c r="AQ54" i="27"/>
  <c r="AO54" i="27"/>
  <c r="AM54" i="27"/>
  <c r="AK54" i="27"/>
  <c r="AI54" i="27"/>
  <c r="AG54" i="27"/>
  <c r="AE54" i="27"/>
  <c r="AC54" i="27"/>
  <c r="AA54" i="27"/>
  <c r="Y54" i="27"/>
  <c r="W54" i="27"/>
  <c r="U54" i="27"/>
  <c r="S54" i="27"/>
  <c r="Q54" i="27"/>
  <c r="O54" i="27"/>
  <c r="M54" i="27"/>
  <c r="K54" i="27"/>
  <c r="I54" i="27"/>
  <c r="G54" i="27"/>
  <c r="E54" i="27"/>
  <c r="AQ53" i="27"/>
  <c r="AO53" i="27"/>
  <c r="AM53" i="27"/>
  <c r="AK53" i="27"/>
  <c r="AI53" i="27"/>
  <c r="AG53" i="27"/>
  <c r="AE53" i="27"/>
  <c r="AC53" i="27"/>
  <c r="AA53" i="27"/>
  <c r="Y53" i="27"/>
  <c r="W53" i="27"/>
  <c r="U53" i="27"/>
  <c r="S53" i="27"/>
  <c r="Q53" i="27"/>
  <c r="O53" i="27"/>
  <c r="M53" i="27"/>
  <c r="K53" i="27"/>
  <c r="I53" i="27"/>
  <c r="G53" i="27"/>
  <c r="E53" i="27"/>
  <c r="AQ52" i="27"/>
  <c r="AO52" i="27"/>
  <c r="AM52" i="27"/>
  <c r="AK52" i="27"/>
  <c r="AI52" i="27"/>
  <c r="AG52" i="27"/>
  <c r="AE52" i="27"/>
  <c r="AC52" i="27"/>
  <c r="AA52" i="27"/>
  <c r="Y52" i="27"/>
  <c r="W52" i="27"/>
  <c r="U52" i="27"/>
  <c r="S52" i="27"/>
  <c r="Q52" i="27"/>
  <c r="O52" i="27"/>
  <c r="M52" i="27"/>
  <c r="K52" i="27"/>
  <c r="I52" i="27"/>
  <c r="G52" i="27"/>
  <c r="E52" i="27"/>
  <c r="AQ51" i="27"/>
  <c r="AO51" i="27"/>
  <c r="AM51" i="27"/>
  <c r="AK51" i="27"/>
  <c r="AI51" i="27"/>
  <c r="AG51" i="27"/>
  <c r="AE51" i="27"/>
  <c r="AC51" i="27"/>
  <c r="AA51" i="27"/>
  <c r="Y51" i="27"/>
  <c r="W51" i="27"/>
  <c r="U51" i="27"/>
  <c r="S51" i="27"/>
  <c r="Q51" i="27"/>
  <c r="O51" i="27"/>
  <c r="M51" i="27"/>
  <c r="K51" i="27"/>
  <c r="I51" i="27"/>
  <c r="G51" i="27"/>
  <c r="E51" i="27"/>
  <c r="AQ50" i="27"/>
  <c r="AO50" i="27"/>
  <c r="AM50" i="27"/>
  <c r="AK50" i="27"/>
  <c r="AI50" i="27"/>
  <c r="AG50" i="27"/>
  <c r="AE50" i="27"/>
  <c r="AC50" i="27"/>
  <c r="AA50" i="27"/>
  <c r="Y50" i="27"/>
  <c r="W50" i="27"/>
  <c r="U50" i="27"/>
  <c r="S50" i="27"/>
  <c r="Q50" i="27"/>
  <c r="O50" i="27"/>
  <c r="M50" i="27"/>
  <c r="K50" i="27"/>
  <c r="I50" i="27"/>
  <c r="G50" i="27"/>
  <c r="E50" i="27"/>
  <c r="AQ49" i="27"/>
  <c r="AO49" i="27"/>
  <c r="AM49" i="27"/>
  <c r="AK49" i="27"/>
  <c r="AI49" i="27"/>
  <c r="AG49" i="27"/>
  <c r="AE49" i="27"/>
  <c r="AC49" i="27"/>
  <c r="AA49" i="27"/>
  <c r="Y49" i="27"/>
  <c r="W49" i="27"/>
  <c r="U49" i="27"/>
  <c r="S49" i="27"/>
  <c r="Q49" i="27"/>
  <c r="O49" i="27"/>
  <c r="M49" i="27"/>
  <c r="K49" i="27"/>
  <c r="I49" i="27"/>
  <c r="G49" i="27"/>
  <c r="E49" i="27"/>
  <c r="AQ48" i="27"/>
  <c r="AO48" i="27"/>
  <c r="AM48" i="27"/>
  <c r="AK48" i="27"/>
  <c r="AI48" i="27"/>
  <c r="AG48" i="27"/>
  <c r="AE48" i="27"/>
  <c r="AC48" i="27"/>
  <c r="AA48" i="27"/>
  <c r="Y48" i="27"/>
  <c r="W48" i="27"/>
  <c r="U48" i="27"/>
  <c r="S48" i="27"/>
  <c r="Q48" i="27"/>
  <c r="O48" i="27"/>
  <c r="M48" i="27"/>
  <c r="K48" i="27"/>
  <c r="I48" i="27"/>
  <c r="G48" i="27"/>
  <c r="E48" i="27"/>
  <c r="AQ47" i="27"/>
  <c r="AO47" i="27"/>
  <c r="AM47" i="27"/>
  <c r="AK47" i="27"/>
  <c r="AI47" i="27"/>
  <c r="AG47" i="27"/>
  <c r="AE47" i="27"/>
  <c r="AC47" i="27"/>
  <c r="AA47" i="27"/>
  <c r="Y47" i="27"/>
  <c r="W47" i="27"/>
  <c r="U47" i="27"/>
  <c r="S47" i="27"/>
  <c r="Q47" i="27"/>
  <c r="O47" i="27"/>
  <c r="M47" i="27"/>
  <c r="K47" i="27"/>
  <c r="I47" i="27"/>
  <c r="G47" i="27"/>
  <c r="E47" i="27"/>
  <c r="AQ46" i="27"/>
  <c r="AO46" i="27"/>
  <c r="AM46" i="27"/>
  <c r="AK46" i="27"/>
  <c r="AI46" i="27"/>
  <c r="AG46" i="27"/>
  <c r="AE46" i="27"/>
  <c r="AC46" i="27"/>
  <c r="AA46" i="27"/>
  <c r="Y46" i="27"/>
  <c r="W46" i="27"/>
  <c r="U46" i="27"/>
  <c r="S46" i="27"/>
  <c r="Q46" i="27"/>
  <c r="O46" i="27"/>
  <c r="M46" i="27"/>
  <c r="K46" i="27"/>
  <c r="I46" i="27"/>
  <c r="G46" i="27"/>
  <c r="E46" i="27"/>
  <c r="AQ45" i="27"/>
  <c r="AO45" i="27"/>
  <c r="AM45" i="27"/>
  <c r="AK45" i="27"/>
  <c r="AI45" i="27"/>
  <c r="AG45" i="27"/>
  <c r="AE45" i="27"/>
  <c r="AC45" i="27"/>
  <c r="AA45" i="27"/>
  <c r="Y45" i="27"/>
  <c r="W45" i="27"/>
  <c r="U45" i="27"/>
  <c r="S45" i="27"/>
  <c r="Q45" i="27"/>
  <c r="O45" i="27"/>
  <c r="M45" i="27"/>
  <c r="K45" i="27"/>
  <c r="I45" i="27"/>
  <c r="G45" i="27"/>
  <c r="E45" i="27"/>
  <c r="AQ44" i="27"/>
  <c r="AO44" i="27"/>
  <c r="AM44" i="27"/>
  <c r="AK44" i="27"/>
  <c r="AI44" i="27"/>
  <c r="AG44" i="27"/>
  <c r="AE44" i="27"/>
  <c r="AC44" i="27"/>
  <c r="AA44" i="27"/>
  <c r="Y44" i="27"/>
  <c r="W44" i="27"/>
  <c r="U44" i="27"/>
  <c r="S44" i="27"/>
  <c r="Q44" i="27"/>
  <c r="O44" i="27"/>
  <c r="M44" i="27"/>
  <c r="K44" i="27"/>
  <c r="I44" i="27"/>
  <c r="G44" i="27"/>
  <c r="E44" i="27"/>
  <c r="AQ43" i="27"/>
  <c r="AO43" i="27"/>
  <c r="AM43" i="27"/>
  <c r="AK43" i="27"/>
  <c r="AI43" i="27"/>
  <c r="AG43" i="27"/>
  <c r="AE43" i="27"/>
  <c r="AC43" i="27"/>
  <c r="AA43" i="27"/>
  <c r="Y43" i="27"/>
  <c r="W43" i="27"/>
  <c r="U43" i="27"/>
  <c r="S43" i="27"/>
  <c r="Q43" i="27"/>
  <c r="O43" i="27"/>
  <c r="M43" i="27"/>
  <c r="K43" i="27"/>
  <c r="I43" i="27"/>
  <c r="G43" i="27"/>
  <c r="E43" i="27"/>
  <c r="AQ42" i="27"/>
  <c r="AO42" i="27"/>
  <c r="AM42" i="27"/>
  <c r="AK42" i="27"/>
  <c r="AI42" i="27"/>
  <c r="AG42" i="27"/>
  <c r="AE42" i="27"/>
  <c r="AC42" i="27"/>
  <c r="AA42" i="27"/>
  <c r="Y42" i="27"/>
  <c r="W42" i="27"/>
  <c r="U42" i="27"/>
  <c r="S42" i="27"/>
  <c r="Q42" i="27"/>
  <c r="O42" i="27"/>
  <c r="M42" i="27"/>
  <c r="K42" i="27"/>
  <c r="I42" i="27"/>
  <c r="G42" i="27"/>
  <c r="E42" i="27"/>
  <c r="AQ41" i="27"/>
  <c r="AO41" i="27"/>
  <c r="AM41" i="27"/>
  <c r="AK41" i="27"/>
  <c r="AI41" i="27"/>
  <c r="AG41" i="27"/>
  <c r="AE41" i="27"/>
  <c r="AC41" i="27"/>
  <c r="AA41" i="27"/>
  <c r="Y41" i="27"/>
  <c r="W41" i="27"/>
  <c r="U41" i="27"/>
  <c r="S41" i="27"/>
  <c r="Q41" i="27"/>
  <c r="O41" i="27"/>
  <c r="M41" i="27"/>
  <c r="K41" i="27"/>
  <c r="I41" i="27"/>
  <c r="G41" i="27"/>
  <c r="E41" i="27"/>
  <c r="AQ40" i="27"/>
  <c r="AO40" i="27"/>
  <c r="AM40" i="27"/>
  <c r="AK40" i="27"/>
  <c r="AI40" i="27"/>
  <c r="AG40" i="27"/>
  <c r="AE40" i="27"/>
  <c r="AC40" i="27"/>
  <c r="AA40" i="27"/>
  <c r="Y40" i="27"/>
  <c r="W40" i="27"/>
  <c r="U40" i="27"/>
  <c r="S40" i="27"/>
  <c r="Q40" i="27"/>
  <c r="O40" i="27"/>
  <c r="M40" i="27"/>
  <c r="K40" i="27"/>
  <c r="I40" i="27"/>
  <c r="G40" i="27"/>
  <c r="E40" i="27"/>
  <c r="AQ39" i="27"/>
  <c r="AO39" i="27"/>
  <c r="AM39" i="27"/>
  <c r="AK39" i="27"/>
  <c r="AI39" i="27"/>
  <c r="AG39" i="27"/>
  <c r="AE39" i="27"/>
  <c r="AC39" i="27"/>
  <c r="AA39" i="27"/>
  <c r="Y39" i="27"/>
  <c r="W39" i="27"/>
  <c r="U39" i="27"/>
  <c r="S39" i="27"/>
  <c r="Q39" i="27"/>
  <c r="O39" i="27"/>
  <c r="M39" i="27"/>
  <c r="K39" i="27"/>
  <c r="I39" i="27"/>
  <c r="G39" i="27"/>
  <c r="E39" i="27"/>
  <c r="AQ38" i="27"/>
  <c r="AO38" i="27"/>
  <c r="AM38" i="27"/>
  <c r="AK38" i="27"/>
  <c r="AI38" i="27"/>
  <c r="AG38" i="27"/>
  <c r="AE38" i="27"/>
  <c r="AC38" i="27"/>
  <c r="AA38" i="27"/>
  <c r="Y38" i="27"/>
  <c r="W38" i="27"/>
  <c r="U38" i="27"/>
  <c r="S38" i="27"/>
  <c r="Q38" i="27"/>
  <c r="O38" i="27"/>
  <c r="M38" i="27"/>
  <c r="K38" i="27"/>
  <c r="I38" i="27"/>
  <c r="G38" i="27"/>
  <c r="E38" i="27"/>
  <c r="AQ37" i="27"/>
  <c r="AO37" i="27"/>
  <c r="AM37" i="27"/>
  <c r="AK37" i="27"/>
  <c r="AI37" i="27"/>
  <c r="AG37" i="27"/>
  <c r="AE37" i="27"/>
  <c r="AC37" i="27"/>
  <c r="AA37" i="27"/>
  <c r="Y37" i="27"/>
  <c r="W37" i="27"/>
  <c r="U37" i="27"/>
  <c r="S37" i="27"/>
  <c r="Q37" i="27"/>
  <c r="O37" i="27"/>
  <c r="M37" i="27"/>
  <c r="K37" i="27"/>
  <c r="I37" i="27"/>
  <c r="G37" i="27"/>
  <c r="E37" i="27"/>
  <c r="AQ36" i="27"/>
  <c r="AO36" i="27"/>
  <c r="AM36" i="27"/>
  <c r="AK36" i="27"/>
  <c r="AI36" i="27"/>
  <c r="AG36" i="27"/>
  <c r="AE36" i="27"/>
  <c r="AC36" i="27"/>
  <c r="AA36" i="27"/>
  <c r="Y36" i="27"/>
  <c r="W36" i="27"/>
  <c r="U36" i="27"/>
  <c r="S36" i="27"/>
  <c r="Q36" i="27"/>
  <c r="O36" i="27"/>
  <c r="M36" i="27"/>
  <c r="K36" i="27"/>
  <c r="I36" i="27"/>
  <c r="G36" i="27"/>
  <c r="E36" i="27"/>
  <c r="AQ35" i="27"/>
  <c r="AO35" i="27"/>
  <c r="AM35" i="27"/>
  <c r="AK35" i="27"/>
  <c r="AI35" i="27"/>
  <c r="AG35" i="27"/>
  <c r="AE35" i="27"/>
  <c r="AC35" i="27"/>
  <c r="AA35" i="27"/>
  <c r="Y35" i="27"/>
  <c r="W35" i="27"/>
  <c r="U35" i="27"/>
  <c r="S35" i="27"/>
  <c r="Q35" i="27"/>
  <c r="O35" i="27"/>
  <c r="M35" i="27"/>
  <c r="K35" i="27"/>
  <c r="I35" i="27"/>
  <c r="G35" i="27"/>
  <c r="E35" i="27"/>
  <c r="AQ34" i="27"/>
  <c r="AO34" i="27"/>
  <c r="AM34" i="27"/>
  <c r="AK34" i="27"/>
  <c r="AI34" i="27"/>
  <c r="AG34" i="27"/>
  <c r="AE34" i="27"/>
  <c r="AC34" i="27"/>
  <c r="AA34" i="27"/>
  <c r="Y34" i="27"/>
  <c r="W34" i="27"/>
  <c r="U34" i="27"/>
  <c r="S34" i="27"/>
  <c r="Q34" i="27"/>
  <c r="AQ33" i="27"/>
  <c r="AO33" i="27"/>
  <c r="AM33" i="27"/>
  <c r="AK33" i="27"/>
  <c r="AI33" i="27"/>
  <c r="AG33" i="27"/>
  <c r="AE33" i="27"/>
  <c r="AC33" i="27"/>
  <c r="AA33" i="27"/>
  <c r="Y33" i="27"/>
  <c r="W33" i="27"/>
  <c r="U33" i="27"/>
  <c r="S33" i="27"/>
  <c r="Q33" i="27"/>
  <c r="AQ32" i="27"/>
  <c r="AO32" i="27"/>
  <c r="AM32" i="27"/>
  <c r="AK32" i="27"/>
  <c r="AI32" i="27"/>
  <c r="AG32" i="27"/>
  <c r="AE32" i="27"/>
  <c r="AC32" i="27"/>
  <c r="AA32" i="27"/>
  <c r="Y32" i="27"/>
  <c r="W32" i="27"/>
  <c r="U32" i="27"/>
  <c r="S32" i="27"/>
  <c r="Q32" i="27"/>
  <c r="AQ31" i="27"/>
  <c r="AO31" i="27"/>
  <c r="AM31" i="27"/>
  <c r="AK31" i="27"/>
  <c r="AI31" i="27"/>
  <c r="AG31" i="27"/>
  <c r="AE31" i="27"/>
  <c r="AC31" i="27"/>
  <c r="Y31" i="27"/>
  <c r="W31" i="27"/>
  <c r="U31" i="27"/>
  <c r="S31" i="27"/>
  <c r="Q31" i="27"/>
  <c r="AO30" i="27"/>
  <c r="AM30" i="27"/>
  <c r="AI30" i="27"/>
  <c r="AG30" i="27"/>
  <c r="AE30" i="27"/>
  <c r="AC30" i="27"/>
  <c r="Y30" i="27"/>
  <c r="W30" i="27"/>
  <c r="U30" i="27"/>
  <c r="S30" i="27"/>
  <c r="Q30" i="27"/>
  <c r="AQ29" i="27"/>
  <c r="AO29" i="27"/>
  <c r="AM29" i="27"/>
  <c r="AK29" i="27"/>
  <c r="AI29" i="27"/>
  <c r="AG29" i="27"/>
  <c r="AE29" i="27"/>
  <c r="AC29" i="27"/>
  <c r="AA29" i="27"/>
  <c r="Y29" i="27"/>
  <c r="W29" i="27"/>
  <c r="U29" i="27"/>
  <c r="S29" i="27"/>
  <c r="Q29" i="27"/>
  <c r="O29" i="27"/>
  <c r="W26" i="27"/>
  <c r="Q26" i="27"/>
  <c r="AE26" i="27"/>
  <c r="Q25" i="27"/>
  <c r="AO25" i="27"/>
  <c r="AQ24" i="27"/>
  <c r="AO24" i="27"/>
  <c r="AM24" i="27"/>
  <c r="AK24" i="27"/>
  <c r="AI24" i="27"/>
  <c r="AG24" i="27"/>
  <c r="AE24" i="27"/>
  <c r="AC24" i="27"/>
  <c r="AA24" i="27"/>
  <c r="Y24" i="27"/>
  <c r="W24" i="27"/>
  <c r="U24" i="27"/>
  <c r="S24" i="27"/>
  <c r="Q24" i="27"/>
  <c r="O24" i="27"/>
  <c r="M24" i="27"/>
  <c r="K24" i="27"/>
  <c r="I24" i="27"/>
  <c r="G24" i="27"/>
  <c r="E24" i="27"/>
  <c r="AQ23" i="27"/>
  <c r="AO23" i="27"/>
  <c r="AM23" i="27"/>
  <c r="AK23" i="27"/>
  <c r="AI23" i="27"/>
  <c r="AG23" i="27"/>
  <c r="AE23" i="27"/>
  <c r="AC23" i="27"/>
  <c r="AA23" i="27"/>
  <c r="Y23" i="27"/>
  <c r="W23" i="27"/>
  <c r="U23" i="27"/>
  <c r="S23" i="27"/>
  <c r="Q23" i="27"/>
  <c r="O23" i="27"/>
  <c r="M23" i="27"/>
  <c r="K23" i="27"/>
  <c r="I23" i="27"/>
  <c r="G23" i="27"/>
  <c r="AQ22" i="27"/>
  <c r="AO22" i="27"/>
  <c r="AM22" i="27"/>
  <c r="AK22" i="27"/>
  <c r="AI22" i="27"/>
  <c r="AG22" i="27"/>
  <c r="AE22" i="27"/>
  <c r="AC22" i="27"/>
  <c r="Y22" i="27"/>
  <c r="W22" i="27"/>
  <c r="U22" i="27"/>
  <c r="S22" i="27"/>
  <c r="Q22" i="27"/>
  <c r="O22" i="27"/>
  <c r="M22" i="27"/>
  <c r="K22" i="27"/>
  <c r="I22" i="27"/>
  <c r="G22" i="27"/>
  <c r="D22" i="27"/>
  <c r="E22" i="27" s="1"/>
  <c r="AM21" i="27"/>
  <c r="AG21" i="27"/>
  <c r="B21" i="27"/>
  <c r="AE21" i="27" s="1"/>
  <c r="AQ20" i="27"/>
  <c r="AO20" i="27"/>
  <c r="AM20" i="27"/>
  <c r="AK20" i="27"/>
  <c r="AI20" i="27"/>
  <c r="AG20" i="27"/>
  <c r="AE20" i="27"/>
  <c r="AC20" i="27"/>
  <c r="AA20" i="27"/>
  <c r="Y20" i="27"/>
  <c r="W20" i="27"/>
  <c r="U20" i="27"/>
  <c r="S20" i="27"/>
  <c r="Q20" i="27"/>
  <c r="O20" i="27"/>
  <c r="M20" i="27"/>
  <c r="K20" i="27"/>
  <c r="I20" i="27"/>
  <c r="G20" i="27"/>
  <c r="E20" i="27"/>
  <c r="AQ19" i="27"/>
  <c r="AO19" i="27"/>
  <c r="AM19" i="27"/>
  <c r="AI19" i="27"/>
  <c r="AG19" i="27"/>
  <c r="AE19" i="27"/>
  <c r="AC19" i="27"/>
  <c r="AA19" i="27"/>
  <c r="Y19" i="27"/>
  <c r="W19" i="27"/>
  <c r="U19" i="27"/>
  <c r="S19" i="27"/>
  <c r="Q19" i="27"/>
  <c r="O19" i="27"/>
  <c r="M19" i="27"/>
  <c r="K19" i="27"/>
  <c r="I19" i="27"/>
  <c r="G19" i="27"/>
  <c r="E19" i="27"/>
  <c r="AQ18" i="27"/>
  <c r="AO18" i="27"/>
  <c r="AM18" i="27"/>
  <c r="AK18" i="27"/>
  <c r="AI18" i="27"/>
  <c r="AG18" i="27"/>
  <c r="AE18" i="27"/>
  <c r="AC18" i="27"/>
  <c r="AA18" i="27"/>
  <c r="Y18" i="27"/>
  <c r="W18" i="27"/>
  <c r="U18" i="27"/>
  <c r="S18" i="27"/>
  <c r="Q18" i="27"/>
  <c r="O18" i="27"/>
  <c r="M18" i="27"/>
  <c r="K18" i="27"/>
  <c r="I18" i="27"/>
  <c r="G18" i="27"/>
  <c r="E18" i="27"/>
  <c r="AQ17" i="27"/>
  <c r="AO17" i="27"/>
  <c r="AM17" i="27"/>
  <c r="AK17" i="27"/>
  <c r="AI17" i="27"/>
  <c r="AG17" i="27"/>
  <c r="AE17" i="27"/>
  <c r="AC17" i="27"/>
  <c r="AA17" i="27"/>
  <c r="Y17" i="27"/>
  <c r="W17" i="27"/>
  <c r="U17" i="27"/>
  <c r="S17" i="27"/>
  <c r="Q17" i="27"/>
  <c r="O17" i="27"/>
  <c r="M17" i="27"/>
  <c r="K17" i="27"/>
  <c r="I17" i="27"/>
  <c r="G17" i="27"/>
  <c r="E17" i="27"/>
  <c r="AQ16" i="27"/>
  <c r="AO16" i="27"/>
  <c r="AM16" i="27"/>
  <c r="AK16" i="27"/>
  <c r="AI16" i="27"/>
  <c r="AG16" i="27"/>
  <c r="AE16" i="27"/>
  <c r="AC16" i="27"/>
  <c r="AA16" i="27"/>
  <c r="Y16" i="27"/>
  <c r="W16" i="27"/>
  <c r="U16" i="27"/>
  <c r="S16" i="27"/>
  <c r="Q16" i="27"/>
  <c r="O16" i="27"/>
  <c r="M16" i="27"/>
  <c r="K16" i="27"/>
  <c r="I16" i="27"/>
  <c r="G16" i="27"/>
  <c r="E16" i="27"/>
  <c r="AQ15" i="27"/>
  <c r="AO15" i="27"/>
  <c r="AM15" i="27"/>
  <c r="AK15" i="27"/>
  <c r="AI15" i="27"/>
  <c r="AG15" i="27"/>
  <c r="AE15" i="27"/>
  <c r="AC15" i="27"/>
  <c r="AA15" i="27"/>
  <c r="Y15" i="27"/>
  <c r="W15" i="27"/>
  <c r="U15" i="27"/>
  <c r="S15" i="27"/>
  <c r="Q15" i="27"/>
  <c r="O15" i="27"/>
  <c r="M15" i="27"/>
  <c r="K15" i="27"/>
  <c r="I15" i="27"/>
  <c r="G15" i="27"/>
  <c r="E15" i="27"/>
  <c r="AQ14" i="27"/>
  <c r="AO14" i="27"/>
  <c r="AM14" i="27"/>
  <c r="AK14" i="27"/>
  <c r="AI14" i="27"/>
  <c r="AG14" i="27"/>
  <c r="AE14" i="27"/>
  <c r="AC14" i="27"/>
  <c r="AA14" i="27"/>
  <c r="Y14" i="27"/>
  <c r="W14" i="27"/>
  <c r="U14" i="27"/>
  <c r="S14" i="27"/>
  <c r="Q14" i="27"/>
  <c r="O14" i="27"/>
  <c r="M14" i="27"/>
  <c r="K14" i="27"/>
  <c r="I14" i="27"/>
  <c r="G14" i="27"/>
  <c r="E14" i="27"/>
  <c r="AQ13" i="27"/>
  <c r="AO13" i="27"/>
  <c r="AM13" i="27"/>
  <c r="AK13" i="27"/>
  <c r="AI13" i="27"/>
  <c r="AG13" i="27"/>
  <c r="AE13" i="27"/>
  <c r="AC13" i="27"/>
  <c r="AA13" i="27"/>
  <c r="Y13" i="27"/>
  <c r="W13" i="27"/>
  <c r="U13" i="27"/>
  <c r="S13" i="27"/>
  <c r="Q13" i="27"/>
  <c r="O13" i="27"/>
  <c r="M13" i="27"/>
  <c r="K13" i="27"/>
  <c r="I13" i="27"/>
  <c r="G13" i="27"/>
  <c r="E13" i="27"/>
  <c r="AQ12" i="27"/>
  <c r="AO12" i="27"/>
  <c r="AM12" i="27"/>
  <c r="AK12" i="27"/>
  <c r="AI12" i="27"/>
  <c r="AG12" i="27"/>
  <c r="AE12" i="27"/>
  <c r="AC12" i="27"/>
  <c r="AA12" i="27"/>
  <c r="Y12" i="27"/>
  <c r="W12" i="27"/>
  <c r="U12" i="27"/>
  <c r="S12" i="27"/>
  <c r="Q12" i="27"/>
  <c r="O12" i="27"/>
  <c r="M12" i="27"/>
  <c r="K12" i="27"/>
  <c r="I12" i="27"/>
  <c r="G12" i="27"/>
  <c r="E12" i="27"/>
  <c r="AQ10" i="27"/>
  <c r="AO10" i="27"/>
  <c r="AM10" i="27"/>
  <c r="AK10" i="27"/>
  <c r="AI10" i="27"/>
  <c r="AG10" i="27"/>
  <c r="AE10" i="27"/>
  <c r="AC10" i="27"/>
  <c r="AA10" i="27"/>
  <c r="Y10" i="27"/>
  <c r="W10" i="27"/>
  <c r="U10" i="27"/>
  <c r="S10" i="27"/>
  <c r="Q10" i="27"/>
  <c r="O10" i="27"/>
  <c r="M10" i="27"/>
  <c r="K10" i="27"/>
  <c r="I10" i="27"/>
  <c r="G10" i="27"/>
  <c r="E10" i="27"/>
  <c r="AQ1" i="27" l="1"/>
  <c r="AQ3" i="27" s="1"/>
  <c r="N32" i="27"/>
  <c r="AG26" i="27"/>
  <c r="G21" i="27"/>
  <c r="W21" i="27"/>
  <c r="Q21" i="27"/>
  <c r="K25" i="27"/>
  <c r="AG25" i="27"/>
  <c r="AQ25" i="27"/>
  <c r="G26" i="27"/>
  <c r="S21" i="27"/>
  <c r="AI21" i="27"/>
  <c r="M25" i="27"/>
  <c r="AC25" i="27"/>
  <c r="S26" i="27"/>
  <c r="AI26" i="27"/>
  <c r="E21" i="27"/>
  <c r="U21" i="27"/>
  <c r="AK21" i="27"/>
  <c r="O25" i="27"/>
  <c r="AE25" i="27"/>
  <c r="E26" i="27"/>
  <c r="U26" i="27"/>
  <c r="AK26" i="27"/>
  <c r="D23" i="27"/>
  <c r="E23" i="27" s="1"/>
  <c r="AM26" i="27"/>
  <c r="I21" i="27"/>
  <c r="Y21" i="27"/>
  <c r="AO21" i="27"/>
  <c r="S25" i="27"/>
  <c r="AI25" i="27"/>
  <c r="I26" i="27"/>
  <c r="Y26" i="27"/>
  <c r="AO26" i="27"/>
  <c r="K21" i="27"/>
  <c r="AA21" i="27"/>
  <c r="AQ21" i="27"/>
  <c r="E25" i="27"/>
  <c r="U25" i="27"/>
  <c r="AK25" i="27"/>
  <c r="K26" i="27"/>
  <c r="AQ26" i="27"/>
  <c r="M21" i="27"/>
  <c r="AC21" i="27"/>
  <c r="G25" i="27"/>
  <c r="W25" i="27"/>
  <c r="AM25" i="27"/>
  <c r="M26" i="27"/>
  <c r="AC26" i="27"/>
  <c r="B27" i="27"/>
  <c r="O21" i="27"/>
  <c r="I25" i="27"/>
  <c r="Y25" i="27"/>
  <c r="O26" i="27"/>
  <c r="AQ2" i="27" l="1"/>
  <c r="O32" i="27"/>
  <c r="N33" i="27"/>
  <c r="O33" i="27" s="1"/>
  <c r="AK27" i="27"/>
  <c r="U27" i="27"/>
  <c r="E27" i="27"/>
  <c r="AI27" i="27"/>
  <c r="AI2" i="27" s="1"/>
  <c r="S27" i="27"/>
  <c r="AG27" i="27"/>
  <c r="Q27" i="27"/>
  <c r="AE27" i="27"/>
  <c r="AE1" i="27" s="1"/>
  <c r="O27" i="27"/>
  <c r="AM27" i="27"/>
  <c r="AM1" i="27" s="1"/>
  <c r="AC27" i="27"/>
  <c r="M27" i="27"/>
  <c r="M4" i="27" s="1"/>
  <c r="AA27" i="27"/>
  <c r="K27" i="27"/>
  <c r="K1" i="27" s="1"/>
  <c r="G27" i="27"/>
  <c r="AO27" i="27"/>
  <c r="Y27" i="27"/>
  <c r="Y1" i="27" s="1"/>
  <c r="Y3" i="27" s="1"/>
  <c r="I27" i="27"/>
  <c r="I6" i="27" s="1"/>
  <c r="W27" i="27"/>
  <c r="U1" i="27"/>
  <c r="U2" i="27" s="1"/>
  <c r="S1" i="27"/>
  <c r="S3" i="27" s="1"/>
  <c r="AQ6" i="27" l="1"/>
  <c r="AQ5" i="27"/>
  <c r="AQ4" i="27"/>
  <c r="AM4" i="27"/>
  <c r="I1" i="27"/>
  <c r="U3" i="27"/>
  <c r="U5" i="27" s="1"/>
  <c r="I3" i="27"/>
  <c r="I5" i="27"/>
  <c r="I2" i="27"/>
  <c r="AM2" i="27"/>
  <c r="AM5" i="27"/>
  <c r="AI6" i="27"/>
  <c r="M1" i="27"/>
  <c r="I4" i="27"/>
  <c r="AC1" i="27"/>
  <c r="AC2" i="27" s="1"/>
  <c r="Y2" i="27"/>
  <c r="Y5" i="27" s="1"/>
  <c r="E1" i="27"/>
  <c r="E2" i="27" s="1"/>
  <c r="AM6" i="27"/>
  <c r="AM3" i="27"/>
  <c r="M3" i="27"/>
  <c r="AO1" i="27"/>
  <c r="AO2" i="27" s="1"/>
  <c r="O1" i="27"/>
  <c r="O2" i="27" s="1"/>
  <c r="S2" i="27"/>
  <c r="S5" i="27" s="1"/>
  <c r="M5" i="27"/>
  <c r="W1" i="27"/>
  <c r="W2" i="27" s="1"/>
  <c r="AE2" i="27"/>
  <c r="AI3" i="27"/>
  <c r="K3" i="27"/>
  <c r="M6" i="27"/>
  <c r="AA1" i="27"/>
  <c r="AA3" i="27" s="1"/>
  <c r="Q1" i="27"/>
  <c r="Q3" i="27" s="1"/>
  <c r="AI1" i="27"/>
  <c r="K2" i="27"/>
  <c r="AE3" i="27"/>
  <c r="AI4" i="27"/>
  <c r="AG2" i="27"/>
  <c r="AG5" i="27"/>
  <c r="AG4" i="27"/>
  <c r="AG1" i="27"/>
  <c r="AG6" i="27"/>
  <c r="AG3" i="27"/>
  <c r="AI5" i="27"/>
  <c r="M2" i="27"/>
  <c r="G1" i="27"/>
  <c r="G2" i="27" s="1"/>
  <c r="AA2" i="27" l="1"/>
  <c r="AA5" i="27" s="1"/>
  <c r="U6" i="27"/>
  <c r="U4" i="27"/>
  <c r="AC3" i="27"/>
  <c r="AC5" i="27" s="1"/>
  <c r="Q2" i="27"/>
  <c r="Q4" i="27" s="1"/>
  <c r="G3" i="27"/>
  <c r="G6" i="27" s="1"/>
  <c r="W3" i="27"/>
  <c r="W6" i="27" s="1"/>
  <c r="Y4" i="27"/>
  <c r="O3" i="27"/>
  <c r="O4" i="27" s="1"/>
  <c r="AE5" i="27"/>
  <c r="E3" i="27"/>
  <c r="E4" i="27" s="1"/>
  <c r="AO3" i="27"/>
  <c r="AO6" i="27" s="1"/>
  <c r="Y6" i="27"/>
  <c r="AE4" i="27"/>
  <c r="S6" i="27"/>
  <c r="AE6" i="27"/>
  <c r="K6" i="27"/>
  <c r="K5" i="27"/>
  <c r="K4" i="27"/>
  <c r="S4" i="27"/>
  <c r="AC4" i="27" l="1"/>
  <c r="AC6" i="27"/>
  <c r="G4" i="27"/>
  <c r="G5" i="27"/>
  <c r="AA6" i="27"/>
  <c r="AA4" i="27"/>
  <c r="Q6" i="27"/>
  <c r="E5" i="27"/>
  <c r="W4" i="27"/>
  <c r="E6" i="27"/>
  <c r="W5" i="27"/>
  <c r="AO4" i="27"/>
  <c r="AO5" i="27"/>
  <c r="Q5" i="27"/>
  <c r="O6" i="27"/>
  <c r="O5" i="27"/>
  <c r="AF9" i="11" l="1"/>
  <c r="AF8" i="11"/>
  <c r="AF7" i="10"/>
  <c r="C52" i="26"/>
  <c r="C51" i="26"/>
  <c r="C50" i="26"/>
  <c r="C46" i="26"/>
  <c r="C36" i="26"/>
  <c r="C33" i="26"/>
  <c r="C34" i="26" s="1"/>
  <c r="C31" i="26"/>
  <c r="C32" i="26" s="1"/>
  <c r="C29" i="26"/>
  <c r="C30" i="26" s="1"/>
  <c r="C27" i="26"/>
  <c r="C28" i="26" s="1"/>
  <c r="C25" i="26"/>
  <c r="C26" i="26" s="1"/>
  <c r="C23" i="26"/>
  <c r="C24" i="26" s="1"/>
  <c r="C21" i="26"/>
  <c r="C22" i="26" s="1"/>
  <c r="C19" i="26"/>
  <c r="C20" i="26" s="1"/>
  <c r="C17" i="26"/>
  <c r="C18" i="26" s="1"/>
  <c r="C15" i="26"/>
  <c r="C16" i="26" s="1"/>
  <c r="C13" i="26"/>
  <c r="C14" i="26" s="1"/>
  <c r="C11" i="26"/>
  <c r="C12" i="26" s="1"/>
  <c r="D7" i="36" s="1"/>
  <c r="F7" i="36" s="1"/>
  <c r="F9" i="36" s="1"/>
  <c r="C10" i="26"/>
  <c r="C9" i="26"/>
  <c r="C7" i="26"/>
  <c r="C8" i="26" s="1"/>
  <c r="C6" i="26"/>
  <c r="C47" i="26" s="1"/>
  <c r="AJ5" i="18" l="1"/>
  <c r="AF41" i="10"/>
  <c r="C5" i="35"/>
  <c r="C6" i="35" s="1"/>
  <c r="AJ8" i="18"/>
  <c r="F10" i="36"/>
  <c r="F11" i="36"/>
  <c r="F16" i="36" s="1"/>
  <c r="AF40" i="10"/>
  <c r="AF6" i="10"/>
  <c r="T11" i="10"/>
  <c r="Z11" i="10"/>
  <c r="N11" i="10"/>
  <c r="H11" i="10"/>
  <c r="AF4" i="10"/>
  <c r="AF39" i="10" s="1"/>
  <c r="J5" i="14"/>
  <c r="C29" i="12"/>
  <c r="AJ7" i="18"/>
  <c r="AF5" i="11"/>
  <c r="AJ9" i="18"/>
  <c r="C2" i="16"/>
  <c r="AF5" i="10"/>
  <c r="C52" i="12"/>
  <c r="AF6" i="11"/>
  <c r="AF7" i="11"/>
  <c r="C49" i="26"/>
  <c r="C48" i="26"/>
  <c r="C7" i="35" l="1"/>
  <c r="C8" i="35" s="1"/>
  <c r="P9" i="32"/>
  <c r="R9" i="32" s="1"/>
  <c r="J9" i="32"/>
  <c r="L9" i="32" s="1"/>
  <c r="V9" i="32"/>
  <c r="X9" i="32" s="1"/>
  <c r="D9" i="32"/>
  <c r="F9" i="32" s="1"/>
  <c r="E20" i="36"/>
  <c r="F17" i="36"/>
  <c r="F18" i="36" s="1"/>
  <c r="F19" i="36" s="1"/>
  <c r="F20" i="36" s="1"/>
  <c r="P10" i="32"/>
  <c r="R10" i="32" s="1"/>
  <c r="D43" i="32"/>
  <c r="F43" i="32" s="1"/>
  <c r="J43" i="32"/>
  <c r="L43" i="32" s="1"/>
  <c r="J10" i="32"/>
  <c r="L10" i="32" s="1"/>
  <c r="P43" i="32"/>
  <c r="R43" i="32" s="1"/>
  <c r="V10" i="32"/>
  <c r="X10" i="32" s="1"/>
  <c r="D10" i="32"/>
  <c r="F10" i="32" s="1"/>
  <c r="J42" i="32"/>
  <c r="L42" i="32" s="1"/>
  <c r="AB39" i="32"/>
  <c r="P8" i="32"/>
  <c r="R8" i="32" s="1"/>
  <c r="V8" i="32"/>
  <c r="X8" i="32" s="1"/>
  <c r="D42" i="32"/>
  <c r="F42" i="32" s="1"/>
  <c r="D8" i="32"/>
  <c r="F8" i="32" s="1"/>
  <c r="J8" i="32"/>
  <c r="L8" i="32" s="1"/>
  <c r="Z42" i="10"/>
  <c r="T42" i="10"/>
  <c r="AJ18" i="18"/>
  <c r="AJ20" i="18"/>
  <c r="U20" i="18" s="1"/>
  <c r="AJ26" i="18"/>
  <c r="AJ25" i="18"/>
  <c r="AJ29" i="18"/>
  <c r="AJ28" i="18"/>
  <c r="AJ27" i="18"/>
  <c r="H38" i="21"/>
  <c r="F46" i="32" l="1"/>
  <c r="F47" i="32" s="1"/>
  <c r="F48" i="32" s="1"/>
  <c r="F55" i="32" s="1"/>
  <c r="F56" i="32" s="1"/>
  <c r="F57" i="32" s="1"/>
  <c r="C9" i="35"/>
  <c r="F89" i="24"/>
  <c r="R13" i="32"/>
  <c r="R14" i="32" s="1"/>
  <c r="R15" i="32" s="1"/>
  <c r="R22" i="32" s="1"/>
  <c r="F93" i="24"/>
  <c r="X13" i="32"/>
  <c r="X14" i="32" s="1"/>
  <c r="X15" i="32" s="1"/>
  <c r="X22" i="32" s="1"/>
  <c r="X23" i="32" s="1"/>
  <c r="X24" i="32" s="1"/>
  <c r="X25" i="32" s="1"/>
  <c r="V42" i="32"/>
  <c r="X42" i="32" s="1"/>
  <c r="X46" i="32" s="1"/>
  <c r="X47" i="32" s="1"/>
  <c r="X48" i="32" s="1"/>
  <c r="X55" i="32" s="1"/>
  <c r="P42" i="32"/>
  <c r="R42" i="32" s="1"/>
  <c r="R46" i="32" s="1"/>
  <c r="R47" i="32" s="1"/>
  <c r="R48" i="32" s="1"/>
  <c r="R55" i="32" s="1"/>
  <c r="L46" i="32"/>
  <c r="L47" i="32" s="1"/>
  <c r="L48" i="32" s="1"/>
  <c r="L55" i="32" s="1"/>
  <c r="L56" i="32" s="1"/>
  <c r="L57" i="32" s="1"/>
  <c r="L58" i="32" s="1"/>
  <c r="L13" i="32"/>
  <c r="F13" i="32"/>
  <c r="E19" i="21"/>
  <c r="E18" i="21"/>
  <c r="E17" i="21"/>
  <c r="E16" i="21"/>
  <c r="E15" i="21"/>
  <c r="E1" i="21" s="1"/>
  <c r="E3" i="21" s="1"/>
  <c r="E14" i="21"/>
  <c r="E13" i="21"/>
  <c r="E12" i="21"/>
  <c r="F88" i="24" l="1"/>
  <c r="R56" i="32"/>
  <c r="R57" i="32" s="1"/>
  <c r="X56" i="32"/>
  <c r="F14" i="32"/>
  <c r="F15" i="32" s="1"/>
  <c r="F22" i="32" s="1"/>
  <c r="F23" i="32" s="1"/>
  <c r="F24" i="32" s="1"/>
  <c r="F25" i="32" s="1"/>
  <c r="L14" i="32"/>
  <c r="L15" i="32" s="1"/>
  <c r="L22" i="32" s="1"/>
  <c r="X31" i="32"/>
  <c r="H57" i="24" s="1"/>
  <c r="X30" i="32"/>
  <c r="H56" i="24" s="1"/>
  <c r="X28" i="32"/>
  <c r="H54" i="24" s="1"/>
  <c r="X26" i="32"/>
  <c r="X27" i="32"/>
  <c r="H53" i="24" s="1"/>
  <c r="X35" i="32"/>
  <c r="H61" i="24" s="1"/>
  <c r="X33" i="32"/>
  <c r="H59" i="24" s="1"/>
  <c r="X34" i="32"/>
  <c r="H60" i="24" s="1"/>
  <c r="X29" i="32"/>
  <c r="H55" i="24" s="1"/>
  <c r="X32" i="32"/>
  <c r="H58" i="24" s="1"/>
  <c r="F58" i="32"/>
  <c r="R23" i="32"/>
  <c r="R24" i="32" s="1"/>
  <c r="L64" i="32"/>
  <c r="F69" i="24" s="1"/>
  <c r="L68" i="32"/>
  <c r="F73" i="24" s="1"/>
  <c r="L62" i="32"/>
  <c r="F67" i="24" s="1"/>
  <c r="L66" i="32"/>
  <c r="F71" i="24" s="1"/>
  <c r="L60" i="32"/>
  <c r="F65" i="24" s="1"/>
  <c r="L61" i="32"/>
  <c r="F66" i="24" s="1"/>
  <c r="L67" i="32"/>
  <c r="F72" i="24" s="1"/>
  <c r="L63" i="32"/>
  <c r="F68" i="24" s="1"/>
  <c r="L59" i="32"/>
  <c r="L65" i="32"/>
  <c r="F70" i="24" s="1"/>
  <c r="E6" i="21"/>
  <c r="F34" i="32" l="1"/>
  <c r="E60" i="24" s="1"/>
  <c r="F27" i="32"/>
  <c r="E53" i="24" s="1"/>
  <c r="F35" i="32"/>
  <c r="E61" i="24" s="1"/>
  <c r="F30" i="32"/>
  <c r="E56" i="24" s="1"/>
  <c r="F33" i="32"/>
  <c r="E59" i="24" s="1"/>
  <c r="F32" i="32"/>
  <c r="E58" i="24" s="1"/>
  <c r="F26" i="32"/>
  <c r="F29" i="32"/>
  <c r="E55" i="24" s="1"/>
  <c r="F28" i="32"/>
  <c r="E54" i="24" s="1"/>
  <c r="F31" i="32"/>
  <c r="E57" i="24" s="1"/>
  <c r="F66" i="32"/>
  <c r="E71" i="24" s="1"/>
  <c r="F64" i="32"/>
  <c r="E69" i="24" s="1"/>
  <c r="F62" i="32"/>
  <c r="E67" i="24" s="1"/>
  <c r="F67" i="32"/>
  <c r="E72" i="24" s="1"/>
  <c r="F60" i="32"/>
  <c r="E65" i="24" s="1"/>
  <c r="F65" i="32"/>
  <c r="E70" i="24" s="1"/>
  <c r="F63" i="32"/>
  <c r="E68" i="24" s="1"/>
  <c r="F59" i="32"/>
  <c r="F61" i="32"/>
  <c r="E66" i="24" s="1"/>
  <c r="F68" i="32"/>
  <c r="E73" i="24" s="1"/>
  <c r="L23" i="32"/>
  <c r="L24" i="32" s="1"/>
  <c r="R58" i="32"/>
  <c r="R25" i="32"/>
  <c r="X57" i="32"/>
  <c r="X58" i="32" s="1"/>
  <c r="E5" i="21"/>
  <c r="E4" i="21"/>
  <c r="X65" i="32" l="1"/>
  <c r="H70" i="24" s="1"/>
  <c r="X61" i="32"/>
  <c r="H66" i="24" s="1"/>
  <c r="X67" i="32"/>
  <c r="H72" i="24" s="1"/>
  <c r="X63" i="32"/>
  <c r="H68" i="24" s="1"/>
  <c r="X68" i="32"/>
  <c r="H73" i="24" s="1"/>
  <c r="X62" i="32"/>
  <c r="H67" i="24" s="1"/>
  <c r="X60" i="32"/>
  <c r="H65" i="24" s="1"/>
  <c r="X66" i="32"/>
  <c r="H71" i="24" s="1"/>
  <c r="X59" i="32"/>
  <c r="X64" i="32"/>
  <c r="H69" i="24" s="1"/>
  <c r="R66" i="32"/>
  <c r="G71" i="24" s="1"/>
  <c r="R62" i="32"/>
  <c r="G67" i="24" s="1"/>
  <c r="R59" i="32"/>
  <c r="R64" i="32"/>
  <c r="G69" i="24" s="1"/>
  <c r="R60" i="32"/>
  <c r="G65" i="24" s="1"/>
  <c r="R61" i="32"/>
  <c r="G66" i="24" s="1"/>
  <c r="R67" i="32"/>
  <c r="G72" i="24" s="1"/>
  <c r="R63" i="32"/>
  <c r="G68" i="24" s="1"/>
  <c r="R65" i="32"/>
  <c r="G70" i="24" s="1"/>
  <c r="R68" i="32"/>
  <c r="G73" i="24" s="1"/>
  <c r="R34" i="32"/>
  <c r="G60" i="24" s="1"/>
  <c r="R30" i="32"/>
  <c r="G56" i="24" s="1"/>
  <c r="R32" i="32"/>
  <c r="G58" i="24" s="1"/>
  <c r="R35" i="32"/>
  <c r="G61" i="24" s="1"/>
  <c r="R28" i="32"/>
  <c r="G54" i="24" s="1"/>
  <c r="R27" i="32"/>
  <c r="G53" i="24" s="1"/>
  <c r="R31" i="32"/>
  <c r="G57" i="24" s="1"/>
  <c r="R29" i="32"/>
  <c r="G55" i="24" s="1"/>
  <c r="R33" i="32"/>
  <c r="G59" i="24" s="1"/>
  <c r="R26" i="32"/>
  <c r="L25" i="32"/>
  <c r="J12" i="14"/>
  <c r="E18" i="14" s="1"/>
  <c r="AJ31" i="18"/>
  <c r="G31" i="18" s="1"/>
  <c r="M31" i="18" s="1"/>
  <c r="S31" i="18" s="1"/>
  <c r="Y31" i="18" s="1"/>
  <c r="AE31" i="18" s="1"/>
  <c r="B33" i="12"/>
  <c r="L26" i="32" l="1"/>
  <c r="L28" i="32"/>
  <c r="F54" i="24" s="1"/>
  <c r="L31" i="32"/>
  <c r="F57" i="24" s="1"/>
  <c r="L34" i="32"/>
  <c r="F60" i="24" s="1"/>
  <c r="L32" i="32"/>
  <c r="F58" i="24" s="1"/>
  <c r="L35" i="32"/>
  <c r="F61" i="24" s="1"/>
  <c r="L29" i="32"/>
  <c r="F55" i="24" s="1"/>
  <c r="L27" i="32"/>
  <c r="F53" i="24" s="1"/>
  <c r="L33" i="32"/>
  <c r="F59" i="24" s="1"/>
  <c r="L30" i="32"/>
  <c r="F56" i="24" s="1"/>
  <c r="AF25" i="10"/>
  <c r="AF59" i="10" s="1"/>
  <c r="AE28" i="11"/>
  <c r="H26" i="11" s="1"/>
  <c r="H63" i="11" s="1"/>
  <c r="CI24" i="22"/>
  <c r="CI26" i="22" s="1"/>
  <c r="CG24" i="22"/>
  <c r="CF24" i="22"/>
  <c r="CE24" i="22"/>
  <c r="CD24" i="22"/>
  <c r="CC24" i="22"/>
  <c r="CB24" i="22"/>
  <c r="CA24" i="22"/>
  <c r="BZ24" i="22"/>
  <c r="CI20" i="22"/>
  <c r="BZ20" i="22"/>
  <c r="BZ19" i="22"/>
  <c r="C3" i="16"/>
  <c r="T57" i="10" l="1"/>
  <c r="N57" i="10"/>
  <c r="H57" i="10"/>
  <c r="Z57" i="10"/>
  <c r="N63" i="11"/>
  <c r="AJ24" i="18"/>
  <c r="T63" i="11" l="1"/>
  <c r="Z63" i="11" l="1"/>
  <c r="H37" i="21" l="1"/>
  <c r="J39" i="21"/>
  <c r="J38" i="21"/>
  <c r="J37" i="21"/>
  <c r="J36" i="21"/>
  <c r="J35" i="21"/>
  <c r="J27" i="21"/>
  <c r="E20" i="21"/>
  <c r="E10" i="21"/>
  <c r="K39" i="21" l="1"/>
  <c r="K38" i="21"/>
  <c r="K37" i="21"/>
  <c r="K36" i="21"/>
  <c r="K35" i="21"/>
  <c r="T43" i="10" l="1"/>
  <c r="H43" i="10" l="1"/>
  <c r="N43" i="10"/>
  <c r="H24" i="10"/>
  <c r="N24" i="10" l="1"/>
  <c r="AF30" i="10"/>
  <c r="T24" i="10" l="1"/>
  <c r="Z24" i="10" s="1"/>
  <c r="AB39" i="10"/>
  <c r="V43" i="10"/>
  <c r="U46" i="10"/>
  <c r="V39" i="10"/>
  <c r="V52" i="10" l="1"/>
  <c r="V51" i="10"/>
  <c r="AB52" i="10"/>
  <c r="AB51" i="10"/>
  <c r="H100" i="11"/>
  <c r="H136" i="11"/>
  <c r="N26" i="11"/>
  <c r="T26" i="11" s="1"/>
  <c r="Z26" i="11" s="1"/>
  <c r="N136" i="11" l="1"/>
  <c r="N100" i="11"/>
  <c r="T122" i="11"/>
  <c r="V122" i="11" s="1"/>
  <c r="Z9" i="11"/>
  <c r="T136" i="11" l="1"/>
  <c r="T100" i="11"/>
  <c r="N122" i="11"/>
  <c r="P122" i="11" s="1"/>
  <c r="H122" i="11"/>
  <c r="J122" i="11" s="1"/>
  <c r="Z122" i="11"/>
  <c r="AB122" i="11" s="1"/>
  <c r="N9" i="11"/>
  <c r="H9" i="11"/>
  <c r="T9" i="11"/>
  <c r="AG4" i="18"/>
  <c r="AA4" i="18"/>
  <c r="U4" i="18"/>
  <c r="I26" i="18"/>
  <c r="O26" i="18" s="1"/>
  <c r="I25" i="18"/>
  <c r="I24" i="18"/>
  <c r="I23" i="18"/>
  <c r="I22" i="18"/>
  <c r="O22" i="18" s="1"/>
  <c r="AJ13" i="18"/>
  <c r="H9" i="18" s="1"/>
  <c r="N9" i="18" s="1"/>
  <c r="H11" i="18"/>
  <c r="N11" i="18" s="1"/>
  <c r="E11" i="18"/>
  <c r="H10" i="18"/>
  <c r="N10" i="18" s="1"/>
  <c r="E10" i="18"/>
  <c r="E9" i="18"/>
  <c r="G13" i="18"/>
  <c r="S13" i="18" s="1"/>
  <c r="H8" i="18"/>
  <c r="E8" i="18"/>
  <c r="G10" i="18"/>
  <c r="G8" i="18"/>
  <c r="O4" i="18"/>
  <c r="I4" i="18"/>
  <c r="I20" i="18" s="1"/>
  <c r="H15" i="18" l="1"/>
  <c r="I21" i="18" s="1"/>
  <c r="Z136" i="11"/>
  <c r="Z100" i="11"/>
  <c r="N8" i="18"/>
  <c r="I38" i="21"/>
  <c r="U23" i="18"/>
  <c r="AG23" i="18" s="1"/>
  <c r="O23" i="18"/>
  <c r="U25" i="18"/>
  <c r="AG25" i="18" s="1"/>
  <c r="O25" i="18"/>
  <c r="Y13" i="18"/>
  <c r="AA13" i="18" s="1"/>
  <c r="AE13" i="18"/>
  <c r="AG13" i="18" s="1"/>
  <c r="U13" i="18"/>
  <c r="I8" i="18"/>
  <c r="S8" i="18"/>
  <c r="M8" i="18"/>
  <c r="M10" i="18"/>
  <c r="O10" i="18" s="1"/>
  <c r="I10" i="18"/>
  <c r="S10" i="18"/>
  <c r="U24" i="18"/>
  <c r="O24" i="18"/>
  <c r="S11" i="18"/>
  <c r="M11" i="18"/>
  <c r="O11" i="18" s="1"/>
  <c r="I11" i="18"/>
  <c r="AJ6" i="18"/>
  <c r="G9" i="18" s="1"/>
  <c r="AA11" i="18"/>
  <c r="U22" i="18"/>
  <c r="U26" i="18"/>
  <c r="I13" i="18"/>
  <c r="M13" i="18"/>
  <c r="O13" i="18" s="1"/>
  <c r="AJ21" i="18" l="1"/>
  <c r="AG20" i="18" s="1"/>
  <c r="U21" i="18"/>
  <c r="AA21" i="18" s="1"/>
  <c r="AG21" i="18" s="1"/>
  <c r="O21" i="18"/>
  <c r="N15" i="18"/>
  <c r="O8" i="18"/>
  <c r="O15" i="18" s="1"/>
  <c r="O16" i="18" s="1"/>
  <c r="O17" i="18" s="1"/>
  <c r="I36" i="21"/>
  <c r="I39" i="21"/>
  <c r="I37" i="21"/>
  <c r="J25" i="21"/>
  <c r="I35" i="21"/>
  <c r="AA23" i="18"/>
  <c r="AA25" i="18"/>
  <c r="AG26" i="18"/>
  <c r="AA26" i="18"/>
  <c r="AA22" i="18"/>
  <c r="AG22" i="18"/>
  <c r="Y10" i="18"/>
  <c r="AA10" i="18" s="1"/>
  <c r="U10" i="18"/>
  <c r="AE10" i="18"/>
  <c r="AG10" i="18" s="1"/>
  <c r="AE11" i="18"/>
  <c r="AG11" i="18" s="1"/>
  <c r="U11" i="18"/>
  <c r="AA24" i="18"/>
  <c r="AG24" i="18"/>
  <c r="S9" i="18"/>
  <c r="I9" i="18"/>
  <c r="I15" i="18" s="1"/>
  <c r="I16" i="18" s="1"/>
  <c r="I17" i="18" s="1"/>
  <c r="M9" i="18"/>
  <c r="O9" i="18" s="1"/>
  <c r="Y8" i="18"/>
  <c r="AA8" i="18" s="1"/>
  <c r="AE8" i="18"/>
  <c r="AG8" i="18" s="1"/>
  <c r="U8" i="18"/>
  <c r="AJ19" i="18" l="1"/>
  <c r="AJ22" i="18"/>
  <c r="AA20" i="18" s="1"/>
  <c r="AA27" i="18" s="1"/>
  <c r="U27" i="18"/>
  <c r="AG27" i="18"/>
  <c r="I27" i="18"/>
  <c r="I29" i="18" s="1"/>
  <c r="AE9" i="18"/>
  <c r="AG9" i="18" s="1"/>
  <c r="AG15" i="18" s="1"/>
  <c r="AG16" i="18" s="1"/>
  <c r="AG17" i="18" s="1"/>
  <c r="Y9" i="18"/>
  <c r="AA9" i="18" s="1"/>
  <c r="AA15" i="18" s="1"/>
  <c r="U9" i="18"/>
  <c r="U15" i="18" s="1"/>
  <c r="U16" i="18" s="1"/>
  <c r="U17" i="18" s="1"/>
  <c r="U29" i="18" l="1"/>
  <c r="U30" i="18" s="1"/>
  <c r="U31" i="18" s="1"/>
  <c r="U32" i="18" s="1"/>
  <c r="O20" i="18"/>
  <c r="O27" i="18" s="1"/>
  <c r="O29" i="18" s="1"/>
  <c r="AG29" i="18"/>
  <c r="I30" i="18"/>
  <c r="AA16" i="18"/>
  <c r="AA17" i="18" s="1"/>
  <c r="AA29" i="18" s="1"/>
  <c r="AA30" i="18" s="1"/>
  <c r="AA31" i="18" s="1"/>
  <c r="O30" i="18" l="1"/>
  <c r="O31" i="18" s="1"/>
  <c r="AA32" i="18"/>
  <c r="AA34" i="18" s="1"/>
  <c r="AG30" i="18"/>
  <c r="AG31" i="18" s="1"/>
  <c r="I31" i="18"/>
  <c r="I32" i="18" s="1"/>
  <c r="U34" i="18"/>
  <c r="O32" i="18" l="1"/>
  <c r="O34" i="18" s="1"/>
  <c r="AG32" i="18"/>
  <c r="AG34" i="18" s="1"/>
  <c r="AF29" i="10"/>
  <c r="C4" i="16"/>
  <c r="C5" i="16" s="1"/>
  <c r="B4" i="16"/>
  <c r="B5" i="16" s="1"/>
  <c r="C6" i="16" l="1"/>
  <c r="C7" i="16" s="1"/>
  <c r="B6" i="16"/>
  <c r="B7" i="16" s="1"/>
  <c r="C8" i="16" l="1"/>
  <c r="B8" i="16"/>
  <c r="I7" i="14"/>
  <c r="F7" i="14"/>
  <c r="F9" i="14" s="1"/>
  <c r="G14" i="14" s="1"/>
  <c r="G15" i="14" s="1"/>
  <c r="G4" i="14"/>
  <c r="B66" i="12"/>
  <c r="C59" i="12"/>
  <c r="D56" i="12"/>
  <c r="B54" i="12"/>
  <c r="D52" i="12"/>
  <c r="C47" i="12"/>
  <c r="B56" i="12"/>
  <c r="B68" i="12" s="1"/>
  <c r="D29" i="12"/>
  <c r="C24" i="12"/>
  <c r="K13" i="12"/>
  <c r="B13" i="12"/>
  <c r="K10" i="12"/>
  <c r="B10" i="12"/>
  <c r="Q9" i="12"/>
  <c r="C8" i="12" s="1"/>
  <c r="E8" i="12" s="1"/>
  <c r="K9" i="12"/>
  <c r="B9" i="12"/>
  <c r="Q8" i="12"/>
  <c r="C7" i="12" s="1"/>
  <c r="L8" i="12"/>
  <c r="L7" i="12"/>
  <c r="L11" i="12" s="1"/>
  <c r="L12" i="12" s="1"/>
  <c r="M13" i="12" s="1"/>
  <c r="D7" i="12"/>
  <c r="L3" i="12"/>
  <c r="E3" i="12"/>
  <c r="Z135" i="11"/>
  <c r="T135" i="11"/>
  <c r="N135" i="11"/>
  <c r="H135" i="11"/>
  <c r="X121" i="11"/>
  <c r="R121" i="11"/>
  <c r="L121" i="11"/>
  <c r="F121" i="11"/>
  <c r="X120" i="11"/>
  <c r="R120" i="11"/>
  <c r="L120" i="11"/>
  <c r="F120" i="11"/>
  <c r="AA119" i="11"/>
  <c r="AA124" i="11" s="1"/>
  <c r="U119" i="11"/>
  <c r="U124" i="11" s="1"/>
  <c r="O119" i="11"/>
  <c r="O124" i="11" s="1"/>
  <c r="I119" i="11"/>
  <c r="I124" i="11" s="1"/>
  <c r="AB116" i="11"/>
  <c r="V116" i="11"/>
  <c r="P116" i="11"/>
  <c r="J116" i="11"/>
  <c r="Z99" i="11"/>
  <c r="T99" i="11"/>
  <c r="N99" i="11"/>
  <c r="H99" i="11"/>
  <c r="X85" i="11"/>
  <c r="R85" i="11"/>
  <c r="L85" i="11"/>
  <c r="F85" i="11"/>
  <c r="X84" i="11"/>
  <c r="R84" i="11"/>
  <c r="L84" i="11"/>
  <c r="F84" i="11"/>
  <c r="AA83" i="11"/>
  <c r="AA88" i="11" s="1"/>
  <c r="U83" i="11"/>
  <c r="U88" i="11" s="1"/>
  <c r="O83" i="11"/>
  <c r="O88" i="11" s="1"/>
  <c r="I83" i="11"/>
  <c r="I88" i="11" s="1"/>
  <c r="AB79" i="11"/>
  <c r="V79" i="11"/>
  <c r="P79" i="11"/>
  <c r="J79" i="11"/>
  <c r="X48" i="11"/>
  <c r="R48" i="11"/>
  <c r="L48" i="11"/>
  <c r="F48" i="11"/>
  <c r="X47" i="11"/>
  <c r="R47" i="11"/>
  <c r="L47" i="11"/>
  <c r="F47" i="11"/>
  <c r="AA46" i="11"/>
  <c r="AA51" i="11" s="1"/>
  <c r="U46" i="11"/>
  <c r="U51" i="11" s="1"/>
  <c r="O46" i="11"/>
  <c r="O51" i="11" s="1"/>
  <c r="I46" i="11"/>
  <c r="I51" i="11" s="1"/>
  <c r="AE27" i="11"/>
  <c r="AB42" i="11"/>
  <c r="V42" i="11"/>
  <c r="P42" i="11"/>
  <c r="J42" i="11"/>
  <c r="AG15" i="11"/>
  <c r="Z25" i="11"/>
  <c r="T25" i="11"/>
  <c r="N25" i="11"/>
  <c r="N119" i="11"/>
  <c r="X11" i="11"/>
  <c r="R11" i="11"/>
  <c r="L11" i="11"/>
  <c r="F11" i="11"/>
  <c r="X10" i="11"/>
  <c r="R10" i="11"/>
  <c r="L10" i="11"/>
  <c r="F10" i="11"/>
  <c r="AA9" i="11"/>
  <c r="AA14" i="11" s="1"/>
  <c r="U9" i="11"/>
  <c r="U14" i="11" s="1"/>
  <c r="O9" i="11"/>
  <c r="O14" i="11" s="1"/>
  <c r="I9" i="11"/>
  <c r="I14" i="11" s="1"/>
  <c r="AL9" i="11"/>
  <c r="AL8" i="11"/>
  <c r="AL7" i="11"/>
  <c r="AL6" i="11"/>
  <c r="AB5" i="11"/>
  <c r="V5" i="11"/>
  <c r="P5" i="11"/>
  <c r="J5" i="11"/>
  <c r="N56" i="10"/>
  <c r="H56" i="10"/>
  <c r="P43" i="10"/>
  <c r="J43" i="10"/>
  <c r="O46" i="10"/>
  <c r="I46" i="10"/>
  <c r="P39" i="10"/>
  <c r="J39" i="10"/>
  <c r="AI16" i="10"/>
  <c r="AH16" i="10"/>
  <c r="AG16" i="10"/>
  <c r="AF16" i="10"/>
  <c r="AI15" i="10"/>
  <c r="AH15" i="10"/>
  <c r="AG15" i="10"/>
  <c r="AF15" i="10"/>
  <c r="AA10" i="10"/>
  <c r="Y10" i="10"/>
  <c r="U10" i="10"/>
  <c r="S10" i="10"/>
  <c r="O10" i="10"/>
  <c r="M10" i="10"/>
  <c r="I10" i="10"/>
  <c r="G10" i="10"/>
  <c r="Y9" i="10"/>
  <c r="AA9" i="10" s="1"/>
  <c r="S9" i="10"/>
  <c r="U9" i="10" s="1"/>
  <c r="M9" i="10"/>
  <c r="O9" i="10" s="1"/>
  <c r="G9" i="10"/>
  <c r="I9" i="10" s="1"/>
  <c r="AA8" i="10"/>
  <c r="U8" i="10"/>
  <c r="O8" i="10"/>
  <c r="I8" i="10"/>
  <c r="AF32" i="10"/>
  <c r="AF31" i="10"/>
  <c r="AB5" i="10"/>
  <c r="V5" i="10"/>
  <c r="P5" i="10"/>
  <c r="J5" i="10"/>
  <c r="J52" i="10" l="1"/>
  <c r="J51" i="10"/>
  <c r="P52" i="10"/>
  <c r="P51" i="10"/>
  <c r="V53" i="10"/>
  <c r="E7" i="12"/>
  <c r="L10" i="12"/>
  <c r="L9" i="12"/>
  <c r="P119" i="11"/>
  <c r="AF33" i="10"/>
  <c r="AF34" i="10" s="1"/>
  <c r="U11" i="10" s="1"/>
  <c r="U13" i="10" s="1"/>
  <c r="I19" i="10"/>
  <c r="J19" i="10" s="1"/>
  <c r="O19" i="10"/>
  <c r="P19" i="10" s="1"/>
  <c r="U19" i="10"/>
  <c r="V19" i="10" s="1"/>
  <c r="AA19" i="10"/>
  <c r="AB19" i="10" s="1"/>
  <c r="T8" i="10"/>
  <c r="V8" i="10" s="1"/>
  <c r="N42" i="10"/>
  <c r="P42" i="10" s="1"/>
  <c r="AB9" i="11"/>
  <c r="J9" i="11"/>
  <c r="N46" i="11"/>
  <c r="P46" i="11" s="1"/>
  <c r="P9" i="11"/>
  <c r="V9" i="11"/>
  <c r="Z46" i="11"/>
  <c r="AB46" i="11" s="1"/>
  <c r="O18" i="12"/>
  <c r="O14" i="12"/>
  <c r="O19" i="12"/>
  <c r="O15" i="12"/>
  <c r="O21" i="12"/>
  <c r="O17" i="12"/>
  <c r="O13" i="12"/>
  <c r="O20" i="12"/>
  <c r="O16" i="12"/>
  <c r="E9" i="12"/>
  <c r="E10" i="12" s="1"/>
  <c r="E11" i="12" s="1"/>
  <c r="E12" i="12" s="1"/>
  <c r="F13" i="12" s="1"/>
  <c r="AL10" i="11"/>
  <c r="AL11" i="11" s="1"/>
  <c r="T46" i="11"/>
  <c r="V46" i="11" s="1"/>
  <c r="T83" i="11"/>
  <c r="V83" i="11" s="1"/>
  <c r="T119" i="11"/>
  <c r="V119" i="11" s="1"/>
  <c r="H46" i="11"/>
  <c r="J46" i="11" s="1"/>
  <c r="H83" i="11"/>
  <c r="J83" i="11" s="1"/>
  <c r="H119" i="11"/>
  <c r="J119" i="11" s="1"/>
  <c r="Z83" i="11"/>
  <c r="AB83" i="11" s="1"/>
  <c r="Z119" i="11"/>
  <c r="AB119" i="11" s="1"/>
  <c r="N83" i="11"/>
  <c r="P83" i="11" s="1"/>
  <c r="H8" i="10"/>
  <c r="J8" i="10" s="1"/>
  <c r="H42" i="10"/>
  <c r="J42" i="10" s="1"/>
  <c r="Z8" i="10"/>
  <c r="AB8" i="10" s="1"/>
  <c r="N8" i="10"/>
  <c r="P8" i="10" s="1"/>
  <c r="T10" i="10"/>
  <c r="V10" i="10" s="1"/>
  <c r="AB53" i="10" l="1"/>
  <c r="J53" i="10"/>
  <c r="P53" i="10"/>
  <c r="O11" i="10"/>
  <c r="O13" i="10" s="1"/>
  <c r="I11" i="10"/>
  <c r="I13" i="10" s="1"/>
  <c r="AB42" i="10"/>
  <c r="V42" i="10"/>
  <c r="AA11" i="10"/>
  <c r="AA13" i="10" s="1"/>
  <c r="O131" i="11"/>
  <c r="P131" i="11" s="1"/>
  <c r="O95" i="11"/>
  <c r="P95" i="11" s="1"/>
  <c r="I58" i="11"/>
  <c r="J58" i="11" s="1"/>
  <c r="I131" i="11"/>
  <c r="J131" i="11" s="1"/>
  <c r="U21" i="11"/>
  <c r="V21" i="11" s="1"/>
  <c r="AA95" i="11"/>
  <c r="AB95" i="11" s="1"/>
  <c r="U131" i="11"/>
  <c r="V131" i="11" s="1"/>
  <c r="O58" i="11"/>
  <c r="P58" i="11" s="1"/>
  <c r="I95" i="11"/>
  <c r="J95" i="11" s="1"/>
  <c r="U95" i="11"/>
  <c r="V95" i="11" s="1"/>
  <c r="AA131" i="11"/>
  <c r="AB131" i="11" s="1"/>
  <c r="AA58" i="11"/>
  <c r="AB58" i="11" s="1"/>
  <c r="O21" i="11"/>
  <c r="P21" i="11" s="1"/>
  <c r="J21" i="11"/>
  <c r="U58" i="11"/>
  <c r="V58" i="11" s="1"/>
  <c r="AA21" i="11"/>
  <c r="AB21" i="11" s="1"/>
  <c r="H10" i="10"/>
  <c r="J10" i="10" s="1"/>
  <c r="E52" i="12"/>
  <c r="E64" i="12"/>
  <c r="E29" i="12"/>
  <c r="Z10" i="10"/>
  <c r="AB10" i="10" s="1"/>
  <c r="N10" i="10"/>
  <c r="P10" i="10" s="1"/>
  <c r="E7" i="14"/>
  <c r="G7" i="14" s="1"/>
  <c r="G9" i="14" s="1"/>
  <c r="G10" i="14" s="1"/>
  <c r="G11" i="14" s="1"/>
  <c r="G16" i="14" s="1"/>
  <c r="F20" i="14" s="1"/>
  <c r="H19" i="12"/>
  <c r="H15" i="12"/>
  <c r="H16" i="12"/>
  <c r="H18" i="12"/>
  <c r="H14" i="12"/>
  <c r="H20" i="12"/>
  <c r="H13" i="12"/>
  <c r="H21" i="12"/>
  <c r="H17" i="12"/>
  <c r="G17" i="14" l="1"/>
  <c r="G18" i="14" s="1"/>
  <c r="J44" i="10"/>
  <c r="V11" i="10"/>
  <c r="P11" i="10"/>
  <c r="P44" i="10"/>
  <c r="AB11" i="10"/>
  <c r="E65" i="12"/>
  <c r="E66" i="12" s="1"/>
  <c r="T120" i="11"/>
  <c r="V120" i="11" s="1"/>
  <c r="H84" i="11"/>
  <c r="J84" i="11" s="1"/>
  <c r="H47" i="11"/>
  <c r="J47" i="11" s="1"/>
  <c r="Z10" i="11"/>
  <c r="AB10" i="11" s="1"/>
  <c r="H120" i="11"/>
  <c r="J120" i="11" s="1"/>
  <c r="H10" i="11"/>
  <c r="J10" i="11" s="1"/>
  <c r="Z84" i="11"/>
  <c r="AB84" i="11" s="1"/>
  <c r="T47" i="11"/>
  <c r="V47" i="11" s="1"/>
  <c r="N120" i="11"/>
  <c r="P120" i="11" s="1"/>
  <c r="Z47" i="11"/>
  <c r="AB47" i="11" s="1"/>
  <c r="T84" i="11"/>
  <c r="V84" i="11" s="1"/>
  <c r="N10" i="11"/>
  <c r="P10" i="11" s="1"/>
  <c r="N84" i="11"/>
  <c r="P84" i="11" s="1"/>
  <c r="T10" i="11"/>
  <c r="V10" i="11" s="1"/>
  <c r="Z120" i="11"/>
  <c r="AB120" i="11" s="1"/>
  <c r="N47" i="11"/>
  <c r="P47" i="11" s="1"/>
  <c r="E30" i="12"/>
  <c r="E31" i="12" s="1"/>
  <c r="Z9" i="10"/>
  <c r="AB9" i="10" s="1"/>
  <c r="T9" i="10"/>
  <c r="V9" i="10" s="1"/>
  <c r="H9" i="10"/>
  <c r="J9" i="10" s="1"/>
  <c r="N9" i="10"/>
  <c r="P9" i="10" s="1"/>
  <c r="E53" i="12"/>
  <c r="E54" i="12" s="1"/>
  <c r="H49" i="11"/>
  <c r="J49" i="11" s="1"/>
  <c r="T12" i="11"/>
  <c r="V12" i="11" s="1"/>
  <c r="H12" i="11"/>
  <c r="J12" i="11" s="1"/>
  <c r="H86" i="11"/>
  <c r="J86" i="11" s="1"/>
  <c r="Z12" i="11"/>
  <c r="AB12" i="11" s="1"/>
  <c r="N12" i="11"/>
  <c r="P12" i="11" s="1"/>
  <c r="N86" i="11"/>
  <c r="P86" i="11" s="1"/>
  <c r="N49" i="11"/>
  <c r="P49" i="11" s="1"/>
  <c r="Z86" i="11"/>
  <c r="AB86" i="11" s="1"/>
  <c r="T49" i="11"/>
  <c r="V49" i="11" s="1"/>
  <c r="T86" i="11"/>
  <c r="V86" i="11" s="1"/>
  <c r="Z49" i="11"/>
  <c r="AB49" i="11" s="1"/>
  <c r="Z121" i="11"/>
  <c r="AB121" i="11" s="1"/>
  <c r="N121" i="11"/>
  <c r="P121" i="11" s="1"/>
  <c r="H11" i="11"/>
  <c r="J11" i="11" s="1"/>
  <c r="N85" i="11"/>
  <c r="P85" i="11" s="1"/>
  <c r="N48" i="11"/>
  <c r="P48" i="11" s="1"/>
  <c r="Z11" i="11"/>
  <c r="AB11" i="11" s="1"/>
  <c r="N11" i="11"/>
  <c r="P11" i="11" s="1"/>
  <c r="H48" i="11"/>
  <c r="J48" i="11" s="1"/>
  <c r="T11" i="11"/>
  <c r="V11" i="11" s="1"/>
  <c r="T85" i="11"/>
  <c r="V85" i="11" s="1"/>
  <c r="H85" i="11"/>
  <c r="J85" i="11" s="1"/>
  <c r="T121" i="11"/>
  <c r="V121" i="11" s="1"/>
  <c r="H121" i="11"/>
  <c r="J121" i="11" s="1"/>
  <c r="Z85" i="11"/>
  <c r="AB85" i="11" s="1"/>
  <c r="Z48" i="11"/>
  <c r="AB48" i="11" s="1"/>
  <c r="T48" i="11"/>
  <c r="V48" i="11" s="1"/>
  <c r="G19" i="14" l="1"/>
  <c r="G20" i="14" s="1"/>
  <c r="AB13" i="10"/>
  <c r="J46" i="10"/>
  <c r="J47" i="10" s="1"/>
  <c r="J48" i="10" s="1"/>
  <c r="J55" i="10" s="1"/>
  <c r="P46" i="10"/>
  <c r="P47" i="10" s="1"/>
  <c r="P48" i="10" s="1"/>
  <c r="P55" i="10" s="1"/>
  <c r="V13" i="10"/>
  <c r="V14" i="10" s="1"/>
  <c r="V15" i="10" s="1"/>
  <c r="P13" i="10"/>
  <c r="P14" i="10" s="1"/>
  <c r="AB14" i="10"/>
  <c r="AB124" i="11"/>
  <c r="AB125" i="11" s="1"/>
  <c r="AB126" i="11" s="1"/>
  <c r="J124" i="11"/>
  <c r="J125" i="11" s="1"/>
  <c r="J126" i="11" s="1"/>
  <c r="AB88" i="11"/>
  <c r="AB89" i="11" s="1"/>
  <c r="P88" i="11"/>
  <c r="P89" i="11" s="1"/>
  <c r="V88" i="11"/>
  <c r="V89" i="11" s="1"/>
  <c r="J51" i="11"/>
  <c r="J52" i="11" s="1"/>
  <c r="J53" i="11" s="1"/>
  <c r="AB51" i="11"/>
  <c r="AB52" i="11" s="1"/>
  <c r="AB53" i="11" s="1"/>
  <c r="J88" i="11"/>
  <c r="J89" i="11" s="1"/>
  <c r="P124" i="11"/>
  <c r="P125" i="11" s="1"/>
  <c r="P126" i="11" s="1"/>
  <c r="V124" i="11"/>
  <c r="V125" i="11" s="1"/>
  <c r="V126" i="11" s="1"/>
  <c r="P51" i="11"/>
  <c r="P52" i="11" s="1"/>
  <c r="P53" i="11" s="1"/>
  <c r="V51" i="11"/>
  <c r="AB44" i="10"/>
  <c r="V44" i="10"/>
  <c r="P14" i="11"/>
  <c r="E67" i="12"/>
  <c r="E68" i="12" s="1"/>
  <c r="J14" i="11"/>
  <c r="AB14" i="11"/>
  <c r="V14" i="11"/>
  <c r="O130" i="11"/>
  <c r="AA130" i="11"/>
  <c r="I94" i="11"/>
  <c r="J94" i="11" s="1"/>
  <c r="U94" i="11"/>
  <c r="V94" i="11" s="1"/>
  <c r="U130" i="11"/>
  <c r="AA94" i="11"/>
  <c r="AB94" i="11" s="1"/>
  <c r="I130" i="11"/>
  <c r="O94" i="11"/>
  <c r="P94" i="11" s="1"/>
  <c r="O18" i="10"/>
  <c r="P18" i="10" s="1"/>
  <c r="P20" i="10" s="1"/>
  <c r="AA18" i="10"/>
  <c r="AB18" i="10" s="1"/>
  <c r="AB20" i="10" s="1"/>
  <c r="I18" i="10"/>
  <c r="J18" i="10" s="1"/>
  <c r="J20" i="10" s="1"/>
  <c r="U18" i="10"/>
  <c r="V18" i="10" s="1"/>
  <c r="V20" i="10" s="1"/>
  <c r="O57" i="11"/>
  <c r="P57" i="11" s="1"/>
  <c r="P59" i="11" s="1"/>
  <c r="AA57" i="11"/>
  <c r="AB57" i="11" s="1"/>
  <c r="AB59" i="11" s="1"/>
  <c r="U57" i="11"/>
  <c r="V57" i="11" s="1"/>
  <c r="V59" i="11" s="1"/>
  <c r="I57" i="11"/>
  <c r="J57" i="11" s="1"/>
  <c r="J59" i="11" s="1"/>
  <c r="U20" i="11"/>
  <c r="V20" i="11" s="1"/>
  <c r="AA20" i="11"/>
  <c r="AB20" i="11" s="1"/>
  <c r="O20" i="11"/>
  <c r="P20" i="11" s="1"/>
  <c r="J20" i="11"/>
  <c r="E55" i="12"/>
  <c r="E56" i="12" s="1"/>
  <c r="E32" i="12"/>
  <c r="L30" i="12" l="1"/>
  <c r="N30" i="12" s="1"/>
  <c r="L29" i="12"/>
  <c r="N29" i="12" s="1"/>
  <c r="J56" i="10"/>
  <c r="J57" i="10" s="1"/>
  <c r="P56" i="10"/>
  <c r="P57" i="10" s="1"/>
  <c r="V46" i="10"/>
  <c r="V47" i="10" s="1"/>
  <c r="V48" i="10" s="1"/>
  <c r="V55" i="10" s="1"/>
  <c r="AB46" i="10"/>
  <c r="AB47" i="10" s="1"/>
  <c r="AB48" i="10" s="1"/>
  <c r="AB55" i="10" s="1"/>
  <c r="V22" i="10"/>
  <c r="V23" i="10" s="1"/>
  <c r="AB15" i="10"/>
  <c r="AB22" i="10" s="1"/>
  <c r="P15" i="10"/>
  <c r="P22" i="10" s="1"/>
  <c r="J130" i="11"/>
  <c r="J132" i="11" s="1"/>
  <c r="J134" i="11" s="1"/>
  <c r="V130" i="11"/>
  <c r="V132" i="11" s="1"/>
  <c r="V134" i="11" s="1"/>
  <c r="AB130" i="11"/>
  <c r="AB132" i="11" s="1"/>
  <c r="AB134" i="11" s="1"/>
  <c r="P130" i="11"/>
  <c r="P132" i="11" s="1"/>
  <c r="P134" i="11" s="1"/>
  <c r="J96" i="11"/>
  <c r="V96" i="11"/>
  <c r="P96" i="11"/>
  <c r="AB96" i="11"/>
  <c r="AB90" i="11"/>
  <c r="V90" i="11"/>
  <c r="P90" i="11"/>
  <c r="J90" i="11"/>
  <c r="AB61" i="11"/>
  <c r="AB62" i="11" s="1"/>
  <c r="AB63" i="11" s="1"/>
  <c r="AB64" i="11" s="1"/>
  <c r="J61" i="11"/>
  <c r="P61" i="11"/>
  <c r="V52" i="11"/>
  <c r="V53" i="11" s="1"/>
  <c r="V61" i="11" s="1"/>
  <c r="J22" i="11"/>
  <c r="AB22" i="11"/>
  <c r="P22" i="11"/>
  <c r="V22" i="11"/>
  <c r="P15" i="11"/>
  <c r="P16" i="11" s="1"/>
  <c r="V15" i="11"/>
  <c r="V16" i="11" s="1"/>
  <c r="AB15" i="11"/>
  <c r="AB16" i="11" s="1"/>
  <c r="J15" i="11"/>
  <c r="E36" i="12"/>
  <c r="F36" i="12" s="1"/>
  <c r="E33" i="12"/>
  <c r="V56" i="10" l="1"/>
  <c r="V57" i="10" s="1"/>
  <c r="AB56" i="10"/>
  <c r="AB57" i="10" s="1"/>
  <c r="V24" i="10"/>
  <c r="V25" i="10" s="1"/>
  <c r="P23" i="10"/>
  <c r="P24" i="10" s="1"/>
  <c r="P25" i="10" s="1"/>
  <c r="P26" i="10" s="1"/>
  <c r="AB23" i="10"/>
  <c r="AB24" i="10" s="1"/>
  <c r="AB25" i="10" s="1"/>
  <c r="P98" i="11"/>
  <c r="P99" i="11" s="1"/>
  <c r="P100" i="11" s="1"/>
  <c r="P101" i="11" s="1"/>
  <c r="P103" i="11" s="1"/>
  <c r="AB98" i="11"/>
  <c r="AB99" i="11" s="1"/>
  <c r="AB100" i="11" s="1"/>
  <c r="AB101" i="11" s="1"/>
  <c r="P135" i="11"/>
  <c r="P136" i="11" s="1"/>
  <c r="P137" i="11" s="1"/>
  <c r="AB135" i="11"/>
  <c r="V135" i="11"/>
  <c r="V136" i="11"/>
  <c r="J135" i="11"/>
  <c r="J136" i="11" s="1"/>
  <c r="J137" i="11" s="1"/>
  <c r="J98" i="11"/>
  <c r="J99" i="11" s="1"/>
  <c r="V98" i="11"/>
  <c r="V99" i="11" s="1"/>
  <c r="V62" i="11"/>
  <c r="V63" i="11" s="1"/>
  <c r="V64" i="11" s="1"/>
  <c r="V74" i="11" s="1"/>
  <c r="P62" i="11"/>
  <c r="P63" i="11" s="1"/>
  <c r="J62" i="11"/>
  <c r="J63" i="11" s="1"/>
  <c r="AB65" i="11"/>
  <c r="AB74" i="11"/>
  <c r="AB66" i="11"/>
  <c r="AB73" i="11"/>
  <c r="AB72" i="11"/>
  <c r="AB71" i="11"/>
  <c r="AB70" i="11"/>
  <c r="AB69" i="11"/>
  <c r="AB68" i="11"/>
  <c r="AB67" i="11"/>
  <c r="AB24" i="11"/>
  <c r="AB25" i="11" s="1"/>
  <c r="AB26" i="11" s="1"/>
  <c r="V24" i="11"/>
  <c r="P24" i="11"/>
  <c r="J16" i="11"/>
  <c r="J24" i="11" s="1"/>
  <c r="L28" i="12"/>
  <c r="N28" i="12" s="1"/>
  <c r="J58" i="10"/>
  <c r="J65" i="10" s="1"/>
  <c r="H44" i="12"/>
  <c r="H43" i="12"/>
  <c r="H39" i="12"/>
  <c r="H42" i="12"/>
  <c r="H38" i="12"/>
  <c r="H40" i="12"/>
  <c r="H45" i="12"/>
  <c r="H37" i="12"/>
  <c r="H41" i="12"/>
  <c r="V28" i="10" l="1"/>
  <c r="V35" i="10"/>
  <c r="AB29" i="10"/>
  <c r="AB34" i="10"/>
  <c r="AB33" i="10"/>
  <c r="AB35" i="10"/>
  <c r="AB27" i="10"/>
  <c r="AB26" i="10"/>
  <c r="AB30" i="10"/>
  <c r="AB28" i="10"/>
  <c r="AB31" i="10"/>
  <c r="AB32" i="10"/>
  <c r="V137" i="11"/>
  <c r="AB136" i="11"/>
  <c r="AB137" i="11" s="1"/>
  <c r="V100" i="11"/>
  <c r="V101" i="11" s="1"/>
  <c r="J100" i="11"/>
  <c r="J101" i="11" s="1"/>
  <c r="P108" i="11"/>
  <c r="P111" i="11"/>
  <c r="P110" i="11"/>
  <c r="P109" i="11"/>
  <c r="P105" i="11"/>
  <c r="P104" i="11"/>
  <c r="P106" i="11"/>
  <c r="P107" i="11"/>
  <c r="J64" i="11"/>
  <c r="J71" i="11" s="1"/>
  <c r="P64" i="11"/>
  <c r="P66" i="11" s="1"/>
  <c r="V65" i="11"/>
  <c r="V67" i="11"/>
  <c r="V66" i="11"/>
  <c r="V73" i="11"/>
  <c r="V72" i="11"/>
  <c r="V71" i="11"/>
  <c r="V70" i="11"/>
  <c r="V68" i="11"/>
  <c r="V69" i="11"/>
  <c r="AB27" i="11"/>
  <c r="AB31" i="11" s="1"/>
  <c r="J25" i="11"/>
  <c r="J26" i="11" s="1"/>
  <c r="V25" i="11"/>
  <c r="V26" i="11" s="1"/>
  <c r="P25" i="11"/>
  <c r="P26" i="11" s="1"/>
  <c r="V29" i="10"/>
  <c r="V58" i="10"/>
  <c r="V67" i="10" s="1"/>
  <c r="V26" i="10"/>
  <c r="J66" i="10"/>
  <c r="J67" i="10"/>
  <c r="P58" i="10"/>
  <c r="P59" i="10" s="1"/>
  <c r="J60" i="10"/>
  <c r="J68" i="10"/>
  <c r="J63" i="10"/>
  <c r="J61" i="10"/>
  <c r="AB58" i="10"/>
  <c r="J64" i="10"/>
  <c r="J62" i="10"/>
  <c r="V31" i="10"/>
  <c r="V34" i="10"/>
  <c r="V32" i="10"/>
  <c r="V33" i="10"/>
  <c r="V27" i="10"/>
  <c r="V30" i="10"/>
  <c r="P31" i="10"/>
  <c r="P29" i="10"/>
  <c r="P27" i="10"/>
  <c r="P33" i="10"/>
  <c r="P28" i="10"/>
  <c r="P35" i="10"/>
  <c r="P34" i="10"/>
  <c r="P30" i="10"/>
  <c r="P32" i="10"/>
  <c r="J142" i="11"/>
  <c r="J141" i="11"/>
  <c r="J140" i="11"/>
  <c r="J144" i="11"/>
  <c r="J147" i="11"/>
  <c r="J139" i="11"/>
  <c r="J146" i="11"/>
  <c r="J145" i="11"/>
  <c r="J143" i="11"/>
  <c r="P141" i="11"/>
  <c r="P140" i="11"/>
  <c r="P147" i="11"/>
  <c r="P139" i="11"/>
  <c r="P146" i="11"/>
  <c r="P142" i="11"/>
  <c r="P145" i="11"/>
  <c r="P144" i="11"/>
  <c r="P143" i="11"/>
  <c r="J138" i="11"/>
  <c r="P138" i="11"/>
  <c r="V141" i="11" l="1"/>
  <c r="V147" i="11"/>
  <c r="V143" i="11"/>
  <c r="V146" i="11"/>
  <c r="V145" i="11"/>
  <c r="V142" i="11"/>
  <c r="V144" i="11"/>
  <c r="V140" i="11"/>
  <c r="V62" i="10"/>
  <c r="J109" i="11"/>
  <c r="J106" i="11"/>
  <c r="J107" i="11"/>
  <c r="J105" i="11"/>
  <c r="J108" i="11"/>
  <c r="J111" i="11"/>
  <c r="J110" i="11"/>
  <c r="J104" i="11"/>
  <c r="J103" i="11"/>
  <c r="J102" i="11"/>
  <c r="J67" i="11"/>
  <c r="J68" i="11"/>
  <c r="P71" i="11"/>
  <c r="J69" i="11"/>
  <c r="P74" i="11"/>
  <c r="J72" i="11"/>
  <c r="J73" i="11"/>
  <c r="P69" i="11"/>
  <c r="J66" i="11"/>
  <c r="J70" i="11"/>
  <c r="J65" i="11"/>
  <c r="J74" i="11"/>
  <c r="P73" i="11"/>
  <c r="P67" i="11"/>
  <c r="P70" i="11"/>
  <c r="P68" i="11"/>
  <c r="P65" i="11"/>
  <c r="P72" i="11"/>
  <c r="AB32" i="11"/>
  <c r="AB30" i="11"/>
  <c r="AB35" i="11"/>
  <c r="AB36" i="11"/>
  <c r="AB34" i="11"/>
  <c r="AB33" i="11"/>
  <c r="AB29" i="11"/>
  <c r="AB37" i="11"/>
  <c r="J27" i="11"/>
  <c r="J29" i="11" s="1"/>
  <c r="P27" i="11"/>
  <c r="P34" i="11" s="1"/>
  <c r="V27" i="11"/>
  <c r="V59" i="10"/>
  <c r="V63" i="10"/>
  <c r="V61" i="10"/>
  <c r="V68" i="10"/>
  <c r="V64" i="10"/>
  <c r="V65" i="10"/>
  <c r="V60" i="10"/>
  <c r="V66" i="10"/>
  <c r="P60" i="10"/>
  <c r="P62" i="10"/>
  <c r="P68" i="10"/>
  <c r="P61" i="10"/>
  <c r="P66" i="10"/>
  <c r="P65" i="10"/>
  <c r="P67" i="10"/>
  <c r="P63" i="10"/>
  <c r="P64" i="10"/>
  <c r="AB63" i="10"/>
  <c r="AB64" i="10"/>
  <c r="AB59" i="10"/>
  <c r="AB67" i="10"/>
  <c r="AB65" i="10"/>
  <c r="AB61" i="10"/>
  <c r="AB66" i="10"/>
  <c r="AB60" i="10"/>
  <c r="AB62" i="10"/>
  <c r="AB68" i="10"/>
  <c r="V139" i="11"/>
  <c r="AB147" i="11"/>
  <c r="AB139" i="11"/>
  <c r="AB146" i="11"/>
  <c r="AB141" i="11"/>
  <c r="AB145" i="11"/>
  <c r="AB140" i="11"/>
  <c r="AB144" i="11"/>
  <c r="AB143" i="11"/>
  <c r="AB142" i="11"/>
  <c r="V102" i="11"/>
  <c r="V108" i="11"/>
  <c r="V107" i="11"/>
  <c r="V106" i="11"/>
  <c r="V109" i="11"/>
  <c r="V105" i="11"/>
  <c r="V104" i="11"/>
  <c r="V110" i="11"/>
  <c r="V111" i="11"/>
  <c r="V103" i="11"/>
  <c r="P102" i="11"/>
  <c r="V138" i="11"/>
  <c r="J59" i="10"/>
  <c r="AB28" i="11"/>
  <c r="AB138" i="11"/>
  <c r="N39" i="28" l="1"/>
  <c r="P39" i="28" s="1"/>
  <c r="P37" i="11"/>
  <c r="P33" i="11"/>
  <c r="P28" i="11"/>
  <c r="P32" i="11"/>
  <c r="P31" i="11"/>
  <c r="P36" i="11"/>
  <c r="P35" i="11"/>
  <c r="P30" i="11"/>
  <c r="P29" i="11"/>
  <c r="J35" i="11"/>
  <c r="J31" i="11"/>
  <c r="J36" i="11"/>
  <c r="J33" i="11"/>
  <c r="J32" i="11"/>
  <c r="J34" i="11"/>
  <c r="J28" i="11"/>
  <c r="J37" i="11"/>
  <c r="J30" i="11"/>
  <c r="V31" i="11"/>
  <c r="V30" i="11"/>
  <c r="V37" i="11"/>
  <c r="V36" i="11"/>
  <c r="V29" i="11"/>
  <c r="V33" i="11"/>
  <c r="V34" i="11"/>
  <c r="V28" i="11"/>
  <c r="V32" i="11"/>
  <c r="V35" i="11"/>
  <c r="AB107" i="11"/>
  <c r="AB106" i="11"/>
  <c r="AB105" i="11"/>
  <c r="AB104" i="11"/>
  <c r="AB111" i="11"/>
  <c r="AB103" i="11"/>
  <c r="AB110" i="11"/>
  <c r="AB109" i="11"/>
  <c r="AB108" i="11"/>
  <c r="AB102" i="11"/>
  <c r="J11" i="10"/>
  <c r="J13" i="10" s="1"/>
  <c r="J14" i="10" s="1"/>
  <c r="Q39" i="28" l="1"/>
  <c r="J15" i="10"/>
  <c r="J22" i="10" s="1"/>
  <c r="R39" i="28" l="1"/>
  <c r="J23" i="10"/>
  <c r="J24" i="10" s="1"/>
  <c r="J25" i="10" s="1"/>
  <c r="J31" i="10" l="1"/>
  <c r="J27" i="10"/>
  <c r="J30" i="10"/>
  <c r="J29" i="10"/>
  <c r="J33" i="10"/>
  <c r="J28" i="10"/>
  <c r="J35" i="10"/>
  <c r="J34" i="10"/>
  <c r="J32" i="10"/>
  <c r="J26" i="10"/>
  <c r="N42" i="28" l="1"/>
  <c r="P42" i="28" s="1"/>
  <c r="Q42" i="28" s="1"/>
  <c r="R42" i="28" s="1"/>
  <c r="N41" i="28"/>
  <c r="P41" i="28" s="1"/>
  <c r="I34" i="18"/>
  <c r="Q41" i="28" l="1"/>
  <c r="P43" i="28"/>
  <c r="P47" i="28" s="1"/>
  <c r="R41" i="28" l="1"/>
  <c r="Q43" i="28"/>
  <c r="R43" i="28" s="1"/>
  <c r="R69" i="28"/>
  <c r="T69" i="28" s="1"/>
  <c r="U69" i="28" s="1"/>
  <c r="S47" i="28"/>
  <c r="S50" i="28" s="1"/>
  <c r="Q47" i="28"/>
  <c r="Q50" i="28" s="1"/>
  <c r="R68" i="28"/>
  <c r="T68" i="28" s="1"/>
  <c r="U68" i="28" s="1"/>
  <c r="R4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D5722CBF-F053-4289-A3E6-993EBB0C526E}">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A39DAB49-69A4-42B2-8D48-80C7A4E1BA31}">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tc={0F7F0EC2-2E2A-439E-A0A8-6DDD6599A4B8}</author>
  </authors>
  <commentList>
    <comment ref="F78" authorId="0" shapeId="0" xr:uid="{0F7F0EC2-2E2A-439E-A0A8-6DDD6599A4B8}">
      <text>
        <t>[Threaded comment]
Your version of Excel allows you to read this threaded comment; however, any edits to it will get removed if the file is opened in a newer version of Excel. Learn more: https://go.microsoft.com/fwlink/?linkid=870924
Comment:
    Updated BLS data, combined with lower T&amp;F and CAF, moved the rate down to 37.06</t>
      </text>
    </comment>
  </commentList>
</comments>
</file>

<file path=xl/sharedStrings.xml><?xml version="1.0" encoding="utf-8"?>
<sst xmlns="http://schemas.openxmlformats.org/spreadsheetml/2006/main" count="3350" uniqueCount="695">
  <si>
    <t>Source:</t>
  </si>
  <si>
    <t>BLS / OES</t>
  </si>
  <si>
    <t>Position</t>
  </si>
  <si>
    <t>Common model titles (not all inclusive)</t>
  </si>
  <si>
    <t>Minimum Education and/or certification/Training/Experience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</si>
  <si>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</si>
  <si>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</si>
  <si>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</si>
  <si>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</si>
  <si>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</si>
  <si>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</si>
  <si>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</si>
  <si>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</si>
  <si>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</si>
  <si>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</si>
  <si>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</si>
  <si>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</si>
  <si>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</si>
  <si>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</si>
  <si>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</si>
  <si>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</si>
  <si>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</si>
  <si>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</si>
  <si>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</si>
  <si>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</si>
  <si>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</si>
  <si>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Program Management (hourly)</t>
  </si>
  <si>
    <t>BA Level w/ 3+ years related work experience</t>
  </si>
  <si>
    <t>Program Management (annual)</t>
  </si>
  <si>
    <t>Clinical w/ Independent licensure (hourly)</t>
  </si>
  <si>
    <t>LPHA, LICSW, LMHC, LBHA, BCBA</t>
  </si>
  <si>
    <t xml:space="preserve">Masters with Licensure in Related Discipline </t>
  </si>
  <si>
    <t>Clinical w/ Independent licensure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</si>
  <si>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</si>
  <si>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</si>
  <si>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</si>
  <si>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</si>
  <si>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</si>
  <si>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</si>
  <si>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</si>
  <si>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</si>
  <si>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</si>
  <si>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</si>
  <si>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</si>
  <si>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Admin Allocation</t>
  </si>
  <si>
    <t>C.257 Benchmark</t>
  </si>
  <si>
    <t>CAF</t>
  </si>
  <si>
    <t>PROVIDER LEASED</t>
  </si>
  <si>
    <t>Master Look-Up Data</t>
  </si>
  <si>
    <t>Capacity Level A</t>
  </si>
  <si>
    <t>Capacity Level B</t>
  </si>
  <si>
    <t>Capacity Level C</t>
  </si>
  <si>
    <t>Capacity Level D</t>
  </si>
  <si>
    <t>Relief Assumptions:</t>
  </si>
  <si>
    <t>Days</t>
  </si>
  <si>
    <t>Hours</t>
  </si>
  <si>
    <t>Consumers:</t>
  </si>
  <si>
    <t>12-14</t>
  </si>
  <si>
    <t>Days:</t>
  </si>
  <si>
    <t>15-17</t>
  </si>
  <si>
    <t>18-22</t>
  </si>
  <si>
    <t>23-26</t>
  </si>
  <si>
    <t>vacation</t>
  </si>
  <si>
    <t>sick/ personal</t>
  </si>
  <si>
    <t>holidays</t>
  </si>
  <si>
    <t>Client to Staff Ratio</t>
  </si>
  <si>
    <t>Salary</t>
  </si>
  <si>
    <t>FTE</t>
  </si>
  <si>
    <t>Expense</t>
  </si>
  <si>
    <t>training</t>
  </si>
  <si>
    <t>Direct Mgmt Staffing</t>
  </si>
  <si>
    <t>Total Hours per FTE:</t>
  </si>
  <si>
    <t>% of FTE</t>
  </si>
  <si>
    <t>Direct Care</t>
  </si>
  <si>
    <t xml:space="preserve">Direct Care </t>
  </si>
  <si>
    <t>Direct Care Support Staffing</t>
  </si>
  <si>
    <t>Clinical Director</t>
  </si>
  <si>
    <t>Expenses</t>
  </si>
  <si>
    <t>Unit Cost</t>
  </si>
  <si>
    <t>Clinical (LICSW)</t>
  </si>
  <si>
    <t>Taxes &amp; Fringe</t>
  </si>
  <si>
    <t>Total Compensation</t>
  </si>
  <si>
    <t>Relief</t>
  </si>
  <si>
    <t>Occupancy</t>
  </si>
  <si>
    <t>Capacity:</t>
  </si>
  <si>
    <t>23-30</t>
  </si>
  <si>
    <t xml:space="preserve">Other Exp. </t>
  </si>
  <si>
    <t>Clinical</t>
  </si>
  <si>
    <t>Total Reimb. Exp. excl. M &amp; G</t>
  </si>
  <si>
    <t xml:space="preserve">Admin. Alloc. </t>
  </si>
  <si>
    <t>Co-located State-Owned Facilities</t>
  </si>
  <si>
    <t>TOTAL</t>
  </si>
  <si>
    <t>All other programs:</t>
  </si>
  <si>
    <t>RATE:</t>
  </si>
  <si>
    <t>FTE Ratio</t>
  </si>
  <si>
    <t>Utilization RATE:</t>
  </si>
  <si>
    <t>Direct Care Staffing</t>
  </si>
  <si>
    <t>.</t>
  </si>
  <si>
    <t>Provider Leased Facilities</t>
  </si>
  <si>
    <t>Provider Owned Facilities</t>
  </si>
  <si>
    <t>State Owned Facilities</t>
  </si>
  <si>
    <t>PROVIDER OWNED</t>
  </si>
  <si>
    <t>STATE OWNED - SEPARATE</t>
  </si>
  <si>
    <t>STATE OWNED - COLOCATED</t>
  </si>
  <si>
    <t>Intensive Trans. Indep. Living (Program A)</t>
  </si>
  <si>
    <t>5-11</t>
  </si>
  <si>
    <t>Direct Care III</t>
  </si>
  <si>
    <t>(20/80 split)</t>
  </si>
  <si>
    <t>Independent Living (Program B)</t>
  </si>
  <si>
    <t>5-9</t>
  </si>
  <si>
    <t>10-14</t>
  </si>
  <si>
    <t>SAL</t>
  </si>
  <si>
    <t>EXP</t>
  </si>
  <si>
    <t>Teacher</t>
  </si>
  <si>
    <t>Teacher / Ed. Coordinator</t>
  </si>
  <si>
    <t>Summer Teacher Salary / FTE</t>
  </si>
  <si>
    <t>Taxes and Fringe</t>
  </si>
  <si>
    <t>Summer Teacher Coord. Salary / FTE</t>
  </si>
  <si>
    <t>Administrative Overhead</t>
  </si>
  <si>
    <t>WITH CAF:</t>
  </si>
  <si>
    <t>Utilization</t>
  </si>
  <si>
    <t xml:space="preserve">Clinical Director ADD-ON RATE </t>
  </si>
  <si>
    <t>Consumer Days</t>
  </si>
  <si>
    <t>Avg Consumer</t>
  </si>
  <si>
    <t xml:space="preserve">FTE: </t>
  </si>
  <si>
    <t>Position - Add-on</t>
  </si>
  <si>
    <t>Unit</t>
  </si>
  <si>
    <t>Rate</t>
  </si>
  <si>
    <t>Per Youth, Per Day</t>
  </si>
  <si>
    <t>Clinician (LICSW)</t>
  </si>
  <si>
    <t>Per Youth Per Day</t>
  </si>
  <si>
    <t>ADD-ON RATE:</t>
  </si>
  <si>
    <t xml:space="preserve">Clinician (LICSW)  ADD-ON RATE </t>
  </si>
  <si>
    <t>Direct Care  ADD-ON RATE</t>
  </si>
  <si>
    <t>floor</t>
  </si>
  <si>
    <t>ceiling</t>
  </si>
  <si>
    <t>average</t>
  </si>
  <si>
    <t>weighted average</t>
  </si>
  <si>
    <t>17E</t>
  </si>
  <si>
    <t>22E</t>
  </si>
  <si>
    <t>28E</t>
  </si>
  <si>
    <t>29E</t>
  </si>
  <si>
    <t>33E</t>
  </si>
  <si>
    <t>OrganizationName</t>
  </si>
  <si>
    <t>Sum of FTE</t>
  </si>
  <si>
    <t>Total Occupancy</t>
  </si>
  <si>
    <t>Staff Training 204</t>
  </si>
  <si>
    <t>Incidental Medical /Medicine/Pharmacy 209</t>
  </si>
  <si>
    <t>Client Personal Allowances 211</t>
  </si>
  <si>
    <t>Program Supplies &amp; Materials 215</t>
  </si>
  <si>
    <t>NFI Massachusetts, Inc</t>
  </si>
  <si>
    <t>Sum of Actual</t>
  </si>
  <si>
    <t>Old Colony Y</t>
  </si>
  <si>
    <t>Roxbury Youthworks Inc.</t>
  </si>
  <si>
    <t>Seven Hills Foundation and Affiliates</t>
  </si>
  <si>
    <t>Avg Staff * Occ per Staff</t>
  </si>
  <si>
    <t>Prov Leased</t>
  </si>
  <si>
    <t>Provider Owned</t>
  </si>
  <si>
    <t>State Owned</t>
  </si>
  <si>
    <t>Massachusetts Economic Indicators</t>
  </si>
  <si>
    <t>Prepared by Michael Lynch, 781-301-9129</t>
  </si>
  <si>
    <t>FY21</t>
  </si>
  <si>
    <t>FY23</t>
  </si>
  <si>
    <t>FY24</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</si>
  <si>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</si>
  <si>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</si>
  <si>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</si>
  <si>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</si>
  <si>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</si>
  <si>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</si>
  <si>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</si>
  <si>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</si>
  <si>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</si>
  <si>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</si>
  <si>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</si>
  <si>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</si>
  <si>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</si>
  <si>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</si>
  <si>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</si>
  <si>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</si>
  <si>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</si>
  <si>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</si>
  <si>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</si>
  <si>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</si>
  <si>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</si>
  <si>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</si>
  <si>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</si>
  <si>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</si>
  <si>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</si>
  <si>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</si>
  <si>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</si>
  <si>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</si>
  <si>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</si>
  <si>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</si>
  <si>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</si>
  <si>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</si>
  <si>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</si>
  <si>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</si>
  <si>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</si>
  <si>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</si>
  <si>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</si>
  <si>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</si>
  <si>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</si>
  <si>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</si>
  <si>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</si>
  <si>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</si>
  <si>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</si>
  <si>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</si>
  <si>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</si>
  <si>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</si>
  <si>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</si>
  <si>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</si>
  <si>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</si>
  <si>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</si>
  <si>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</si>
  <si>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</si>
  <si>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</si>
  <si>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</si>
  <si>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</si>
  <si>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</si>
  <si>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</si>
  <si>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</si>
  <si>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</si>
  <si>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</si>
  <si>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</si>
  <si>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</si>
  <si>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</si>
  <si>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</si>
  <si>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</si>
  <si>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</si>
  <si>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</si>
  <si>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</si>
  <si>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</si>
  <si>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</si>
  <si>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</si>
  <si>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</si>
  <si>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</si>
  <si>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</si>
  <si>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</si>
  <si>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</si>
  <si>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</si>
  <si>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</si>
  <si>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</si>
  <si>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</si>
  <si>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</si>
  <si>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</si>
  <si>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</si>
  <si>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</si>
  <si>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</si>
  <si>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</si>
  <si>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</si>
  <si>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</si>
  <si>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</si>
  <si>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</si>
  <si>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</si>
  <si>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</si>
  <si>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</si>
  <si>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</si>
  <si>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</si>
  <si>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</si>
  <si>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</si>
  <si>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</si>
  <si>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CAF:</t>
  </si>
  <si>
    <t>Master Data Look-up Table</t>
  </si>
  <si>
    <t>Western Region</t>
  </si>
  <si>
    <t>Northeast Region</t>
  </si>
  <si>
    <t>Benchmark Salaries</t>
  </si>
  <si>
    <t>Source</t>
  </si>
  <si>
    <t>Average Clients</t>
  </si>
  <si>
    <t>Client Days:</t>
  </si>
  <si>
    <t>Regional Management Oversight</t>
  </si>
  <si>
    <t>Days Open Per Year</t>
  </si>
  <si>
    <t>Regional Manager</t>
  </si>
  <si>
    <t xml:space="preserve">Community Clinical Coordinator (Clinical Director) </t>
  </si>
  <si>
    <t>Regional Staff</t>
  </si>
  <si>
    <t xml:space="preserve">Family Engagement Specialist </t>
  </si>
  <si>
    <t xml:space="preserve">Youth Service Coordinator    </t>
  </si>
  <si>
    <t>FTEs</t>
  </si>
  <si>
    <t>20:1</t>
  </si>
  <si>
    <t xml:space="preserve">Purchaser  Recommendation </t>
  </si>
  <si>
    <t>District Staff</t>
  </si>
  <si>
    <t>Youth Service Coordinator</t>
  </si>
  <si>
    <t xml:space="preserve">Youth Service Coordinator </t>
  </si>
  <si>
    <t>Benchmark Expenses</t>
  </si>
  <si>
    <t>Occupancy (Western Region)</t>
  </si>
  <si>
    <t>Occupancy (Northeast Region)</t>
  </si>
  <si>
    <t xml:space="preserve">Staff Training </t>
  </si>
  <si>
    <t>Occupancy (Southeast Region)</t>
  </si>
  <si>
    <t xml:space="preserve">Staff Mileage </t>
  </si>
  <si>
    <t>Occupancy (Central Region)</t>
  </si>
  <si>
    <t>Vehicle Expense</t>
  </si>
  <si>
    <t>Occupancy (Metro Boston Region)</t>
  </si>
  <si>
    <t>Program Supplies and Material</t>
  </si>
  <si>
    <t>Program Support</t>
  </si>
  <si>
    <t>Flex Funds</t>
  </si>
  <si>
    <t>Staff Mileage - Per region per month</t>
  </si>
  <si>
    <t>Program Supplies and Material Region (per client)</t>
  </si>
  <si>
    <t>Admin. Allocation</t>
  </si>
  <si>
    <t>Program Support (per client)</t>
  </si>
  <si>
    <t>Flex Funds (per client)</t>
  </si>
  <si>
    <t>Rate with CAF</t>
  </si>
  <si>
    <t xml:space="preserve"> Rate with CAF</t>
  </si>
  <si>
    <t>Enrollment Day RATE:</t>
  </si>
  <si>
    <t>Southeast Region</t>
  </si>
  <si>
    <t>Boston Metro Region</t>
  </si>
  <si>
    <t>Central Regions</t>
  </si>
  <si>
    <t xml:space="preserve">Administrative Assistant / Transporter
</t>
  </si>
  <si>
    <t>Youth Service Coordinator /Direct Care III</t>
  </si>
  <si>
    <t>Occupancy Add-on</t>
  </si>
  <si>
    <t>Tax &amp; Fringe</t>
  </si>
  <si>
    <t>Total Tax &amp; Fringe</t>
  </si>
  <si>
    <t>READY
Formerlly know as Mass START</t>
  </si>
  <si>
    <t>Clients</t>
  </si>
  <si>
    <t>Substance Abuse Case Worker (BA Level Social Work)</t>
  </si>
  <si>
    <t>Capacity</t>
  </si>
  <si>
    <t>Purchaser recommendation</t>
  </si>
  <si>
    <t>Tax and fringe</t>
  </si>
  <si>
    <t>Per FTE. Includes Flex Funds, Training, Travel &amp; Occupancy (Purchaser Reccomendation)</t>
  </si>
  <si>
    <t>Program Supplies &amp; Materials</t>
  </si>
  <si>
    <t xml:space="preserve">Program Supplies, materials and support </t>
  </si>
  <si>
    <t>Admininstrative Allocation</t>
  </si>
  <si>
    <t>53 Percentile</t>
  </si>
  <si>
    <t>BLS Occupational Code(s)</t>
  </si>
  <si>
    <t>21-1094, 21-1015, 21-1018, 21-1023, 39-1022</t>
  </si>
  <si>
    <t>31-1131</t>
  </si>
  <si>
    <t>21-1021, 21-1099</t>
  </si>
  <si>
    <t>21-1021, 21-1019, 21-1022, 21-1029</t>
  </si>
  <si>
    <t>29-2061</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</si>
  <si>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</si>
  <si>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</si>
  <si>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</si>
  <si>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</si>
  <si>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</si>
  <si>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</si>
  <si>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</si>
  <si>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</si>
  <si>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Therapists</t>
  </si>
  <si>
    <t>Physical Therapist (hourly)</t>
  </si>
  <si>
    <t>Physical Therapists</t>
  </si>
  <si>
    <t>29-1129, 31-2021, 29-1123  (20%/20%/60%)</t>
  </si>
  <si>
    <t>Physical Therapist (annual)</t>
  </si>
  <si>
    <t>Clinical Manager / Psychologists (hourly)</t>
  </si>
  <si>
    <t>19-3033, 19-3034</t>
  </si>
  <si>
    <t>Clinical Manager /  Psychologists  (annual)</t>
  </si>
  <si>
    <t>29-1141</t>
  </si>
  <si>
    <t>29-1171</t>
  </si>
  <si>
    <t xml:space="preserve">Tax and Fringe =  </t>
  </si>
  <si>
    <t xml:space="preserve">Terminal leave, and  retirement.  Does include Paid Family Medical Leave tax.
Includes and additional 2% to be used at providers descretion for retirement and/or other benefits
</t>
  </si>
  <si>
    <t>Misc. BLS benchmarks</t>
  </si>
  <si>
    <t>Medical Director</t>
  </si>
  <si>
    <t>Physician Assistants</t>
  </si>
  <si>
    <t>Current Rate</t>
  </si>
  <si>
    <t>Management</t>
  </si>
  <si>
    <t>BLS Benchmark M2021 53rd percentile</t>
  </si>
  <si>
    <t>Direct Care Staff</t>
  </si>
  <si>
    <t>MA EOHHS C. 257 Benchmark</t>
  </si>
  <si>
    <t>CAF (temp)</t>
  </si>
  <si>
    <t>Total Reimbursable Exp. Excl. Admin.</t>
  </si>
  <si>
    <t>% diff</t>
  </si>
  <si>
    <t>FY24 and FY25</t>
  </si>
  <si>
    <t>19-22</t>
  </si>
  <si>
    <t>Admin Alloc</t>
  </si>
  <si>
    <t>CAF Rate Temp</t>
  </si>
  <si>
    <t>Proposed Rate</t>
  </si>
  <si>
    <t>CAF Temp</t>
  </si>
  <si>
    <t>average pre-exclusions</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</si>
  <si>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</si>
  <si>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average incl. zeroes</t>
  </si>
  <si>
    <t>Client days</t>
  </si>
  <si>
    <t>Up to 160 Client</t>
  </si>
  <si>
    <t>Occupancy Cost</t>
  </si>
  <si>
    <t>Occ Per Day</t>
  </si>
  <si>
    <t>clients</t>
  </si>
  <si>
    <t>Adjusted Occ Cost</t>
  </si>
  <si>
    <t>Central Region</t>
  </si>
  <si>
    <t>Metro Boston Region</t>
  </si>
  <si>
    <t>CAF temp</t>
  </si>
  <si>
    <t>Center for Human Development</t>
  </si>
  <si>
    <t>current</t>
  </si>
  <si>
    <t>101 CMR 420: Rates for Adult Long Term Residential Services</t>
  </si>
  <si>
    <t xml:space="preserve">101 CMR 411.00: Rates for Certain Placement and Support Services </t>
  </si>
  <si>
    <t>Proposed FY24 Monthly Rates (1.0 FTE)</t>
  </si>
  <si>
    <t>Proposed FY24 Monthly Rates (0.50FTE)</t>
  </si>
  <si>
    <t>S&amp;P Global Market Intelligence, Spring 2023 Forecast</t>
  </si>
  <si>
    <t>FY25</t>
  </si>
  <si>
    <t>FY26</t>
  </si>
  <si>
    <t>2026Q1</t>
  </si>
  <si>
    <t>2026Q2</t>
  </si>
  <si>
    <t>2026Q3</t>
  </si>
  <si>
    <t>2026Q4</t>
  </si>
  <si>
    <t>2027Q1</t>
  </si>
  <si>
    <t>2027Q2</t>
  </si>
  <si>
    <t>2027Q3</t>
  </si>
  <si>
    <t>2027Q4</t>
  </si>
  <si>
    <t>2028Q1</t>
  </si>
  <si>
    <t>2028Q2</t>
  </si>
  <si>
    <t>2028Q3</t>
  </si>
  <si>
    <t>2028Q4</t>
  </si>
  <si>
    <t>New Rates</t>
  </si>
  <si>
    <t>Assumption for new rates that are to be promulgated January 2024</t>
  </si>
  <si>
    <t>January 1, 2024 - December 31, 2025</t>
  </si>
  <si>
    <t>Communities For People, Inc.</t>
  </si>
  <si>
    <t>Eliot Community Human Services, Inc.</t>
  </si>
  <si>
    <t>Purchaser Recommendation + prior CAF</t>
  </si>
  <si>
    <t>.45/mile Avg. total cost for five regions + prior CAF</t>
  </si>
  <si>
    <t>FY21 UFR plus purchaser recommendation adjustments</t>
  </si>
  <si>
    <t xml:space="preserve">FY21 UFR data </t>
  </si>
  <si>
    <t xml:space="preserve">Org. </t>
  </si>
  <si>
    <t>DYS Region</t>
  </si>
  <si>
    <t xml:space="preserve">PROVIDER   </t>
  </si>
  <si>
    <t>Program Name</t>
  </si>
  <si>
    <t>Program Type</t>
  </si>
  <si>
    <t>Activity Code</t>
  </si>
  <si>
    <t>West</t>
  </si>
  <si>
    <t>CHD</t>
  </si>
  <si>
    <t>Hardware Secure Treatment</t>
  </si>
  <si>
    <t>CHD Short Term Treatment</t>
  </si>
  <si>
    <t>Staff Secure Treatment</t>
  </si>
  <si>
    <t>Central</t>
  </si>
  <si>
    <t>Spectrum</t>
  </si>
  <si>
    <t>REACH</t>
  </si>
  <si>
    <t>JRI</t>
  </si>
  <si>
    <t>NE</t>
  </si>
  <si>
    <t>RFK</t>
  </si>
  <si>
    <t>Metro</t>
  </si>
  <si>
    <t>Eliot</t>
  </si>
  <si>
    <t>Eliot Treatment Center</t>
  </si>
  <si>
    <t xml:space="preserve">Gandara </t>
  </si>
  <si>
    <t>Staff Secure Detention</t>
  </si>
  <si>
    <t>Hardware Secure Detention</t>
  </si>
  <si>
    <t>Carbone Hall</t>
  </si>
  <si>
    <t>NFI</t>
  </si>
  <si>
    <t>Girls Detention</t>
  </si>
  <si>
    <t xml:space="preserve">Eliot Boys Detention </t>
  </si>
  <si>
    <t>SE</t>
  </si>
  <si>
    <t>OCY</t>
  </si>
  <si>
    <t>RISE</t>
  </si>
  <si>
    <t>South Hadley Girls</t>
  </si>
  <si>
    <t>Harvard House</t>
  </si>
  <si>
    <t xml:space="preserve">S.T.R.I.V.E. </t>
  </si>
  <si>
    <t>Bright Futures</t>
  </si>
  <si>
    <t>Teamworks</t>
  </si>
  <si>
    <t>Douglass Academy</t>
  </si>
  <si>
    <t>Revocation</t>
  </si>
  <si>
    <t xml:space="preserve">Brockton Revocation </t>
  </si>
  <si>
    <t>TILP</t>
  </si>
  <si>
    <t>ADJUDICATED YOUTH RESIDENTIAL TREATMENT BASE RATES</t>
  </si>
  <si>
    <t>Utilization %</t>
  </si>
  <si>
    <t># of Clients:</t>
  </si>
  <si>
    <t>STATE OWNED – CO-LOCATED</t>
  </si>
  <si>
    <t>Intensive Trans. Indep. Living (A)</t>
  </si>
  <si>
    <t>Trans. Indep. Living (B)</t>
  </si>
  <si>
    <t>Indep Living A</t>
  </si>
  <si>
    <t>total bed days</t>
  </si>
  <si>
    <t>total units</t>
  </si>
  <si>
    <t>total occupancy per FTE</t>
  </si>
  <si>
    <t>18E</t>
  </si>
  <si>
    <t>19E</t>
  </si>
  <si>
    <t>20E</t>
  </si>
  <si>
    <t>21E</t>
  </si>
  <si>
    <t>23E</t>
  </si>
  <si>
    <t>24E</t>
  </si>
  <si>
    <t>25E</t>
  </si>
  <si>
    <t>26E</t>
  </si>
  <si>
    <t>27E</t>
  </si>
  <si>
    <t>30E</t>
  </si>
  <si>
    <t>31E</t>
  </si>
  <si>
    <t>32E</t>
  </si>
  <si>
    <t>34E</t>
  </si>
  <si>
    <t>35E</t>
  </si>
  <si>
    <t>36E</t>
  </si>
  <si>
    <t>Direct Care Consultant 201</t>
  </si>
  <si>
    <t>Temporary Help 202</t>
  </si>
  <si>
    <t>Clients and Caregivers Reimb./Stipends 203</t>
  </si>
  <si>
    <t>Subcontracted Direct Care 206</t>
  </si>
  <si>
    <t>Staff Mileage / Travel 205</t>
  </si>
  <si>
    <t>Meals 207</t>
  </si>
  <si>
    <t>Client Transportation 208</t>
  </si>
  <si>
    <t>Vehicle Expenses 208</t>
  </si>
  <si>
    <t>Vehicle Depreciation 208</t>
  </si>
  <si>
    <t>Provision Material Goods/Svs./Benefits 212</t>
  </si>
  <si>
    <t>Direct Client Wages 214</t>
  </si>
  <si>
    <t>Other Commercial Prod. &amp; Svs. 214</t>
  </si>
  <si>
    <t>Non Charitable Expenses</t>
  </si>
  <si>
    <t>Other Expense</t>
  </si>
  <si>
    <t>Total Other Program Expense</t>
  </si>
  <si>
    <r>
      <t xml:space="preserve">Outliers, average, and weighted average are calculated from </t>
    </r>
    <r>
      <rPr>
        <i/>
        <sz val="10"/>
        <color rgb="FFFF0000"/>
        <rFont val="Calibri"/>
        <family val="2"/>
        <scheme val="minor"/>
      </rPr>
      <t>only those reporting expense in this category</t>
    </r>
    <r>
      <rPr>
        <sz val="10"/>
        <color rgb="FFFF0000"/>
        <rFont val="Calibri"/>
        <family val="2"/>
        <scheme val="minor"/>
      </rPr>
      <t xml:space="preserve">. No zero values are incorporated in these calculations. </t>
    </r>
  </si>
  <si>
    <r>
      <rPr>
        <b/>
        <sz val="20"/>
        <color rgb="FFFF0000"/>
        <rFont val="Calibri"/>
        <family val="2"/>
        <scheme val="minor"/>
      </rPr>
      <t>**PLEASE SEE NOTE BELOW</t>
    </r>
    <r>
      <rPr>
        <sz val="20"/>
        <color theme="1"/>
        <rFont val="Calibri"/>
        <family val="2"/>
        <scheme val="minor"/>
      </rPr>
      <t xml:space="preserve">
21-1093, 31-1120, 31-2022, 31-9099</t>
    </r>
  </si>
  <si>
    <t>Developmental Specialist,  Triage Specialist, Medical Assistant</t>
  </si>
  <si>
    <t>Assistant Manager</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</si>
  <si>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</si>
  <si>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</si>
  <si>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</si>
  <si>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</si>
  <si>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</si>
  <si>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</si>
  <si>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</si>
  <si>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Benchmarked to FY23 (approved)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</si>
  <si>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</si>
  <si>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</si>
  <si>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</si>
  <si>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</si>
  <si>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</si>
  <si>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</si>
  <si>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</si>
  <si>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</si>
  <si>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</si>
  <si>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</si>
  <si>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</si>
  <si>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</si>
  <si>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</si>
  <si>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</si>
  <si>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</si>
  <si>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</si>
  <si>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</si>
  <si>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</si>
  <si>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</si>
  <si>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</si>
  <si>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</si>
  <si>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BLS Benchmark M2022 53rd percentile</t>
  </si>
  <si>
    <t>FY21 UFR Wtg Avg Data per FTE</t>
  </si>
  <si>
    <t>Justice Resource Institute, Inc.</t>
  </si>
  <si>
    <t>The Home for Little Wanderers</t>
  </si>
  <si>
    <t>total FTE</t>
  </si>
  <si>
    <t>UNITS</t>
  </si>
  <si>
    <t>The home for little wanderers</t>
  </si>
  <si>
    <t>TOTAL UNITS</t>
  </si>
  <si>
    <t>Current</t>
  </si>
  <si>
    <t>Add-on rates (DC &amp; Clinical)</t>
  </si>
  <si>
    <t>Community Service Network (CSN)/Ready</t>
  </si>
  <si>
    <t>West Region</t>
  </si>
  <si>
    <t>Rate per Client per Enrollment Day</t>
  </si>
  <si>
    <t>Community Service Network (CSN) Add-on Rates</t>
  </si>
  <si>
    <t>Monthly</t>
  </si>
  <si>
    <t>Administrative Assistant/Transporter</t>
  </si>
  <si>
    <t>Community Service Network (CSN) Add-on Rates READY</t>
  </si>
  <si>
    <t>READY Program</t>
  </si>
  <si>
    <t>Enrolled Day</t>
  </si>
  <si>
    <t>Total Staffing</t>
  </si>
  <si>
    <t>Total Salaries</t>
  </si>
  <si>
    <t>Non-Salary Expenses</t>
  </si>
  <si>
    <t>Total Non-Salary Expenses</t>
  </si>
  <si>
    <t>Proposed</t>
  </si>
  <si>
    <t>BLS Benchmark M2022 53rd percentile/benchmarked to clinical director</t>
  </si>
  <si>
    <t>Fiscal Impact</t>
  </si>
  <si>
    <t>MM Fund</t>
  </si>
  <si>
    <t>Rate Type</t>
  </si>
  <si>
    <t>Current Beds</t>
  </si>
  <si>
    <t>FY20 units</t>
  </si>
  <si>
    <t>FY20 Unit Rate</t>
  </si>
  <si>
    <t>Add-Ons</t>
  </si>
  <si>
    <t>Current FY20 Cost</t>
  </si>
  <si>
    <t>Proposed Unit Rate</t>
  </si>
  <si>
    <t>Total Proposed Cost</t>
  </si>
  <si>
    <t>Increase $</t>
  </si>
  <si>
    <t>Increase %</t>
  </si>
  <si>
    <t>Add On Cost</t>
  </si>
  <si>
    <t>STAFF REDUCTION SAVINGS</t>
  </si>
  <si>
    <t>FY 19 Utilization</t>
  </si>
  <si>
    <t>FY20 Utilization</t>
  </si>
  <si>
    <t>Utilization
Comments</t>
  </si>
  <si>
    <t>Short/Lease</t>
  </si>
  <si>
    <t>59% in Q4</t>
  </si>
  <si>
    <t>OVERNIGHT ARREST</t>
  </si>
  <si>
    <t xml:space="preserve">Terri Thomas </t>
  </si>
  <si>
    <t>Short Sep</t>
  </si>
  <si>
    <t xml:space="preserve">Brockton Girls </t>
  </si>
  <si>
    <t>Short/PO</t>
  </si>
  <si>
    <t xml:space="preserve">Brockton Boys </t>
  </si>
  <si>
    <t>Alternative Options</t>
  </si>
  <si>
    <t>75% Q4</t>
  </si>
  <si>
    <t>Lakeside</t>
  </si>
  <si>
    <t>64% in Q4</t>
  </si>
  <si>
    <t xml:space="preserve">Western Secure </t>
  </si>
  <si>
    <r>
      <t xml:space="preserve">Inter/Co  </t>
    </r>
    <r>
      <rPr>
        <b/>
        <sz val="10"/>
        <rFont val="Arial"/>
        <family val="2"/>
      </rPr>
      <t>HNR</t>
    </r>
  </si>
  <si>
    <r>
      <t xml:space="preserve">Inter/PO </t>
    </r>
    <r>
      <rPr>
        <b/>
        <sz val="10"/>
        <rFont val="Arial"/>
        <family val="2"/>
      </rPr>
      <t>HNR</t>
    </r>
  </si>
  <si>
    <r>
      <t xml:space="preserve">Inter/Lease  </t>
    </r>
    <r>
      <rPr>
        <b/>
        <sz val="10"/>
        <rFont val="Arial"/>
        <family val="2"/>
      </rPr>
      <t>HNR</t>
    </r>
  </si>
  <si>
    <t xml:space="preserve">Inter/Lease </t>
  </si>
  <si>
    <t>Short/Co</t>
  </si>
  <si>
    <t>66% Q3, 59% Q4</t>
  </si>
  <si>
    <r>
      <t xml:space="preserve">Inter/Sep </t>
    </r>
    <r>
      <rPr>
        <b/>
        <sz val="10"/>
        <rFont val="Arial"/>
        <family val="2"/>
      </rPr>
      <t>HNR</t>
    </r>
  </si>
  <si>
    <r>
      <t>Butler Center</t>
    </r>
    <r>
      <rPr>
        <b/>
        <sz val="10"/>
        <rFont val="Arial"/>
        <family val="2"/>
      </rPr>
      <t xml:space="preserve">  </t>
    </r>
  </si>
  <si>
    <r>
      <t xml:space="preserve">Inter/Co </t>
    </r>
    <r>
      <rPr>
        <b/>
        <sz val="10"/>
        <rFont val="Arial"/>
        <family val="2"/>
      </rPr>
      <t>HNR</t>
    </r>
  </si>
  <si>
    <t xml:space="preserve">Kennedy </t>
  </si>
  <si>
    <t>68% Q4</t>
  </si>
  <si>
    <t>76% Q4</t>
  </si>
  <si>
    <t xml:space="preserve">Pivot </t>
  </si>
  <si>
    <t>Inter/PO</t>
  </si>
  <si>
    <t>Nauset Academy</t>
  </si>
  <si>
    <r>
      <t xml:space="preserve">Inter/Sep  </t>
    </r>
    <r>
      <rPr>
        <b/>
        <sz val="10"/>
        <rFont val="Arial"/>
        <family val="2"/>
      </rPr>
      <t>HNR</t>
    </r>
  </si>
  <si>
    <t>61% Q4</t>
  </si>
  <si>
    <t>65% Q3, 56% Q4</t>
  </si>
  <si>
    <t>Total Mock Cost</t>
  </si>
  <si>
    <t>FY19 SPEND AMOUNT</t>
  </si>
  <si>
    <t>FY 20 Utilization</t>
  </si>
  <si>
    <t>INDEPENDENT LIVING B</t>
  </si>
  <si>
    <t>Independent Living</t>
  </si>
  <si>
    <t>Program B</t>
  </si>
  <si>
    <t>INDEPENDENT LIVING A</t>
  </si>
  <si>
    <t>SEIL</t>
  </si>
  <si>
    <t>Program A</t>
  </si>
  <si>
    <t>CFP</t>
  </si>
  <si>
    <t>LIFE</t>
  </si>
  <si>
    <t>Annual</t>
  </si>
  <si>
    <t>FY20 Project Total</t>
  </si>
  <si>
    <t>Annualized Total</t>
  </si>
  <si>
    <t>Variance</t>
  </si>
  <si>
    <t>1/2 year Var</t>
  </si>
  <si>
    <t xml:space="preserve">Jan - Jun </t>
  </si>
  <si>
    <t>Fiscal Impact (CSN)</t>
  </si>
  <si>
    <t>FY20 Open</t>
  </si>
  <si>
    <t>January - June 2020</t>
  </si>
  <si>
    <t>days</t>
  </si>
  <si>
    <t>rate</t>
  </si>
  <si>
    <t>Model</t>
  </si>
  <si>
    <t>Subtotal</t>
  </si>
  <si>
    <t># of Admin</t>
  </si>
  <si>
    <t>FY19 Spend</t>
  </si>
  <si>
    <t>Grand Total</t>
  </si>
  <si>
    <t>Western</t>
  </si>
  <si>
    <t>Northeast</t>
  </si>
  <si>
    <t>Southeast</t>
  </si>
  <si>
    <t>YOU</t>
  </si>
  <si>
    <t>RYW</t>
  </si>
  <si>
    <t>Metro Boston</t>
  </si>
  <si>
    <t>over FY19 spend</t>
  </si>
  <si>
    <t>Over opening of FY20 Spend</t>
  </si>
  <si>
    <t>READY (formerlly Mass START)</t>
  </si>
  <si>
    <t>Projected</t>
  </si>
  <si>
    <t xml:space="preserve">Annual </t>
  </si>
  <si>
    <t>1/2 Year</t>
  </si>
  <si>
    <t>Spend</t>
  </si>
  <si>
    <t>Impact</t>
  </si>
  <si>
    <t>FY Spend</t>
  </si>
  <si>
    <t>new rate</t>
  </si>
  <si>
    <t>variance</t>
  </si>
  <si>
    <t>New Spend</t>
  </si>
  <si>
    <t>Annual Variance</t>
  </si>
  <si>
    <t>Total all</t>
  </si>
  <si>
    <t>FY18 Spend</t>
  </si>
  <si>
    <t>YITS</t>
  </si>
  <si>
    <t>CSN &amp; Ready</t>
  </si>
  <si>
    <t>YSTS</t>
  </si>
  <si>
    <t>(this initiative $$ was not included in the FI for YITS but is in the master spreadsheet</t>
  </si>
  <si>
    <t>DYS FY23 RESIDENTIAL RATE PROPOSED RATE INCREASE</t>
  </si>
  <si>
    <t>FY23 units</t>
  </si>
  <si>
    <t>FY23 Unit Rate</t>
  </si>
  <si>
    <t>Total FY23 Cost</t>
  </si>
  <si>
    <t>S&amp;P Global Market Intelligence, Spring 2025</t>
  </si>
  <si>
    <t>FY27</t>
  </si>
  <si>
    <t>FY28</t>
  </si>
  <si>
    <t>2029Q1</t>
  </si>
  <si>
    <t>2029Q2</t>
  </si>
  <si>
    <t>2029Q3</t>
  </si>
  <si>
    <t>2029Q4</t>
  </si>
  <si>
    <t>2030Q1</t>
  </si>
  <si>
    <t>2030Q2</t>
  </si>
  <si>
    <t>2030Q3</t>
  </si>
  <si>
    <t>2030Q4</t>
  </si>
  <si>
    <t>Assumption for new rates that are to be promulgated January 1, 2026</t>
  </si>
  <si>
    <t>BASELINE SCENARIO</t>
  </si>
  <si>
    <t>Jan 1, 2026- Dec 31, 2027</t>
  </si>
  <si>
    <t>PROPOSED Rate Review Rates Effective 1/1/26- 12/31/27</t>
  </si>
  <si>
    <t>BLS Benchmark M2024 53rd percentile</t>
  </si>
  <si>
    <t>FY24 UFR Wtg Avg Data per FTE</t>
  </si>
  <si>
    <t>CAF Spring 2025</t>
  </si>
  <si>
    <t>Advocates, Inc.</t>
  </si>
  <si>
    <t>Child &amp; Family Services, Inc.</t>
  </si>
  <si>
    <r>
      <t xml:space="preserve">Outliers, average, and weighted average are calculated from </t>
    </r>
    <r>
      <rPr>
        <i/>
        <sz val="9"/>
        <color rgb="FFFF0000"/>
        <rFont val="Calibri"/>
        <family val="2"/>
        <scheme val="minor"/>
      </rPr>
      <t>only those reporting expense in this category</t>
    </r>
    <r>
      <rPr>
        <sz val="9"/>
        <color rgb="FFFF0000"/>
        <rFont val="Calibri"/>
        <family val="2"/>
        <scheme val="minor"/>
      </rPr>
      <t xml:space="preserve">. No zero values are incorporated in these calculations. </t>
    </r>
  </si>
  <si>
    <t xml:space="preserve">FY24 UFR data </t>
  </si>
  <si>
    <t>youth villages inc</t>
  </si>
  <si>
    <r>
      <t xml:space="preserve">Outliers, average, and weighted average are calculated from </t>
    </r>
    <r>
      <rPr>
        <i/>
        <sz val="8"/>
        <color rgb="FFFF0000"/>
        <rFont val="Calibri"/>
        <family val="2"/>
        <scheme val="minor"/>
      </rPr>
      <t>only those reporting expense in this category</t>
    </r>
    <r>
      <rPr>
        <sz val="8"/>
        <color rgb="FFFF0000"/>
        <rFont val="Calibri"/>
        <family val="2"/>
        <scheme val="minor"/>
      </rPr>
      <t xml:space="preserve">. No zero values are incorporated in these calculations. </t>
    </r>
  </si>
  <si>
    <t>Units</t>
  </si>
  <si>
    <t>check units w/agcy</t>
  </si>
  <si>
    <t xml:space="preserve">FY24 </t>
  </si>
  <si>
    <t>FY24 UFR plus purchaser recommendation adjustments</t>
  </si>
  <si>
    <t>CAF Rate</t>
  </si>
  <si>
    <t>Baseline period FY26</t>
  </si>
  <si>
    <t>101 CMR 411.00: Rates for Certain Placement and Support Services + prior CAF</t>
  </si>
  <si>
    <t>101 CMR 420: Rates for Adult Long Term Residential Services + prior CAF</t>
  </si>
  <si>
    <t>Proposed FY26 Monthly Rates (1.0 FTE)</t>
  </si>
  <si>
    <t>Proposed FY26 Monthly Rates (0.50FTE)</t>
  </si>
  <si>
    <t>01A</t>
  </si>
  <si>
    <t>02A</t>
  </si>
  <si>
    <t xml:space="preserve">Benchmarked to FY25 (approved) Commonwealth (office of the Comptroller) T&amp;F rate, less </t>
  </si>
  <si>
    <t>FY21 UFR plus purchaser recommendation adjustments + prior CAF</t>
  </si>
  <si>
    <t>Family Engagement Specialist (clinician)</t>
  </si>
  <si>
    <t>BLS Benchmark M2024 53rd percentile/benchmarked to licensed clinician</t>
  </si>
  <si>
    <t>CAF baseline</t>
  </si>
  <si>
    <t>Baseline FY26 and FY27</t>
  </si>
  <si>
    <t>Per FTE. Includes Flex Funds, Training, Travel &amp; Occupancy (Purchaser Reccomendation) + prior CAF</t>
  </si>
  <si>
    <t>5 to 11</t>
  </si>
  <si>
    <t>1 to 11</t>
  </si>
  <si>
    <t>1-11</t>
  </si>
  <si>
    <t>Prior AMT w prior CAF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</si>
</sst>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
    <numFmt numFmtId="168" formatCode="0.0"/>
    <numFmt numFmtId="169" formatCode="#,##0.0_);\(#,##0.0\)"/>
    <numFmt numFmtId="170" formatCode="0.0%"/>
    <numFmt numFmtId="171" formatCode="\$#,##0.00"/>
    <numFmt numFmtId="172" formatCode="_(* #,##0_);_(* \(#,##0\);_(* &quot;-&quot;??_);_(@_)"/>
    <numFmt numFmtId="173" formatCode="_(&quot;$&quot;* #,##0_);_(&quot;$&quot;* \(#,##0\);_(&quot;$&quot;* &quot;-&quot;??_);_(@_)"/>
    <numFmt numFmtId="174" formatCode="0.000"/>
  </numFmts>
  <fonts count="107"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1"/>
      <name val="Calibri"/>
      <family val="2"/>
      <scheme val="minor"/>
    </font>
    <font>
      <sz val="10"/>
      <name val="MS Sans Serif"/>
      <family val="2"/>
    </font>
    <font>
      <sz val="11"/>
      <name val="Arial"/>
      <family val="2"/>
    </font>
    <font>
      <b/>
      <sz val="10"/>
      <name val="Arial"/>
      <family val="2"/>
    </font>
    <font>
      <sz val="10"/>
      <name val="Arial"/>
      <family val="2"/>
    </font>
    <font>
      <sz val="10"/>
      <color rgb="FFFF0000"/>
      <name val="Arial"/>
      <family val="2"/>
    </font>
    <font>
      <sz val="10"/>
      <color indexed="8"/>
      <name val="Arial"/>
      <family val="2"/>
    </font>
    <font>
      <b/>
      <sz val="10"/>
      <color rgb="FFFF0000"/>
      <name val="Arial"/>
      <family val="2"/>
    </font>
    <font>
      <b/>
      <sz val="10"/>
      <color theme="1"/>
      <name val="Calibri"/>
      <family val="2"/>
      <scheme val="minor"/>
    </font>
    <font>
      <b/>
      <sz val="14"/>
      <name val="Arial"/>
      <family val="2"/>
    </font>
    <font>
      <b/>
      <sz val="12"/>
      <name val="Arial"/>
      <family val="2"/>
    </font>
    <font>
      <b/>
      <sz val="11"/>
      <name val="Arial"/>
      <family val="2"/>
    </font>
    <font>
      <sz val="10"/>
      <color theme="0"/>
      <name val="Arial"/>
      <family val="2"/>
    </font>
    <font>
      <b/>
      <u/>
      <sz val="10"/>
      <name val="Arial"/>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1"/>
      <color theme="1"/>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1"/>
      <color indexed="8"/>
      <name val="Calibri"/>
      <family val="2"/>
      <scheme val="minor"/>
    </font>
    <font>
      <sz val="10"/>
      <color theme="1"/>
      <name val="Tahoma"/>
      <family val="2"/>
    </font>
    <font>
      <b/>
      <sz val="11"/>
      <color indexed="63"/>
      <name val="Calibri"/>
      <family val="2"/>
    </font>
    <font>
      <b/>
      <sz val="12"/>
      <color indexed="30"/>
      <name val="Calibri"/>
      <family val="2"/>
    </font>
    <font>
      <b/>
      <sz val="18"/>
      <color indexed="56"/>
      <name val="Cambria"/>
      <family val="2"/>
    </font>
    <font>
      <b/>
      <sz val="11"/>
      <color indexed="8"/>
      <name val="Calibri"/>
      <family val="2"/>
    </font>
    <font>
      <sz val="11"/>
      <color indexed="10"/>
      <name val="Calibri"/>
      <family val="2"/>
    </font>
    <font>
      <sz val="11"/>
      <name val="Calibri"/>
      <family val="2"/>
      <scheme val="minor"/>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sz val="10"/>
      <color theme="1"/>
      <name val="Calibri"/>
      <family val="2"/>
      <scheme val="minor"/>
    </font>
    <font>
      <b/>
      <sz val="10"/>
      <name val="Calibri"/>
      <family val="2"/>
      <scheme val="minor"/>
    </font>
    <font>
      <sz val="10"/>
      <name val="Calibri"/>
      <family val="2"/>
      <scheme val="minor"/>
    </font>
    <font>
      <i/>
      <sz val="11"/>
      <color rgb="FFFF0000"/>
      <name val="Calibri"/>
      <family val="2"/>
      <scheme val="minor"/>
    </font>
    <font>
      <b/>
      <i/>
      <sz val="10"/>
      <name val="Calibri"/>
      <family val="2"/>
      <scheme val="minor"/>
    </font>
    <font>
      <b/>
      <u/>
      <sz val="10"/>
      <name val="Calibri"/>
      <family val="2"/>
      <scheme val="minor"/>
    </font>
    <font>
      <b/>
      <sz val="10"/>
      <color indexed="8"/>
      <name val="Calibri"/>
      <family val="2"/>
      <scheme val="minor"/>
    </font>
    <font>
      <sz val="10"/>
      <color indexed="8"/>
      <name val="Calibri"/>
      <family val="2"/>
      <scheme val="minor"/>
    </font>
    <font>
      <sz val="10"/>
      <color indexed="12"/>
      <name val="Calibri"/>
      <family val="2"/>
      <scheme val="minor"/>
    </font>
    <font>
      <b/>
      <sz val="10"/>
      <color indexed="12"/>
      <name val="Calibri"/>
      <family val="2"/>
      <scheme val="minor"/>
    </font>
    <font>
      <i/>
      <sz val="10"/>
      <name val="Calibri"/>
      <family val="2"/>
      <scheme val="minor"/>
    </font>
    <font>
      <strike/>
      <sz val="10"/>
      <color rgb="FFFF0000"/>
      <name val="Calibri"/>
      <family val="2"/>
      <scheme val="minor"/>
    </font>
    <font>
      <b/>
      <sz val="10"/>
      <color theme="0"/>
      <name val="Calibri"/>
      <family val="2"/>
      <scheme val="minor"/>
    </font>
    <font>
      <sz val="10"/>
      <color theme="1"/>
      <name val="Arial"/>
      <family val="2"/>
    </font>
    <font>
      <sz val="8"/>
      <name val="Arial"/>
      <family val="2"/>
    </font>
    <font>
      <b/>
      <sz val="8"/>
      <name val="Arial"/>
      <family val="2"/>
    </font>
    <font>
      <sz val="11"/>
      <name val="Times New Roman"/>
      <family val="1"/>
    </font>
    <font>
      <sz val="11"/>
      <color rgb="FF000000"/>
      <name val="Times New Roman"/>
      <family val="1"/>
    </font>
    <font>
      <sz val="12"/>
      <name val="Courier New"/>
      <family val="3"/>
    </font>
    <font>
      <sz val="11"/>
      <name val="Courier New"/>
      <family val="3"/>
    </font>
    <font>
      <sz val="10"/>
      <color rgb="FFFF0000"/>
      <name val="Calibri"/>
      <family val="2"/>
      <scheme val="minor"/>
    </font>
    <font>
      <i/>
      <sz val="10"/>
      <color rgb="FFFF0000"/>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b/>
      <sz val="11"/>
      <color rgb="FF000000"/>
      <name val="Times New Roman"/>
      <family val="1"/>
    </font>
    <font>
      <sz val="9"/>
      <color rgb="FF000000"/>
      <name val="Arial"/>
      <family val="2"/>
    </font>
    <font>
      <sz val="10"/>
      <color rgb="FF000000"/>
      <name val="Arial"/>
      <family val="2"/>
    </font>
    <font>
      <b/>
      <sz val="24"/>
      <name val="Arial"/>
      <family val="2"/>
    </font>
    <font>
      <b/>
      <sz val="9"/>
      <color theme="1"/>
      <name val="Calibri"/>
      <family val="2"/>
      <scheme val="minor"/>
    </font>
    <font>
      <sz val="9"/>
      <name val="Calibri"/>
      <family val="2"/>
      <scheme val="minor"/>
    </font>
    <font>
      <sz val="9"/>
      <color rgb="FFFF0000"/>
      <name val="Calibri"/>
      <family val="2"/>
      <scheme val="minor"/>
    </font>
    <font>
      <i/>
      <sz val="9"/>
      <color rgb="FFFF0000"/>
      <name val="Calibri"/>
      <family val="2"/>
      <scheme val="minor"/>
    </font>
    <font>
      <sz val="9"/>
      <color theme="1"/>
      <name val="Calibri"/>
      <family val="2"/>
      <scheme val="minor"/>
    </font>
    <font>
      <b/>
      <sz val="8"/>
      <color theme="1"/>
      <name val="Calibri"/>
      <family val="2"/>
      <scheme val="minor"/>
    </font>
    <font>
      <sz val="8"/>
      <color theme="1"/>
      <name val="Calibri"/>
      <family val="2"/>
    </font>
    <font>
      <sz val="8"/>
      <color rgb="FFFF0000"/>
      <name val="Calibri"/>
      <family val="2"/>
      <scheme val="minor"/>
    </font>
    <font>
      <i/>
      <sz val="8"/>
      <color rgb="FFFF0000"/>
      <name val="Calibri"/>
      <family val="2"/>
      <scheme val="minor"/>
    </font>
    <font>
      <sz val="8"/>
      <name val="Calibri"/>
      <family val="2"/>
      <scheme val="minor"/>
    </font>
    <font>
      <sz val="8"/>
      <color rgb="FFFF0000"/>
      <name val="Arial"/>
      <family val="2"/>
    </font>
    <font>
      <sz val="11"/>
      <color rgb="FFFF0000"/>
      <name val="Arial"/>
      <family val="2"/>
    </font>
    <font>
      <sz val="8"/>
      <name val="Arial"/>
      <family val="2"/>
    </font>
    <font>
      <b/>
      <sz val="10"/>
      <color rgb="FFFF0000"/>
      <name val="Calibri"/>
      <family val="2"/>
      <scheme val="minor"/>
    </font>
    <font>
      <b/>
      <sz val="8"/>
      <name val="Calibri"/>
      <family val="2"/>
      <scheme val="minor"/>
    </font>
    <font>
      <b/>
      <sz val="8"/>
      <color indexed="12"/>
      <name val="Calibri"/>
      <family val="2"/>
      <scheme val="minor"/>
    </font>
  </fonts>
  <fills count="47">
    <fill>
      <patternFill patternType="none"/>
    </fill>
    <fill>
      <patternFill patternType="gray125"/>
    </fill>
    <fill>
      <patternFill patternType="solid">
        <fgColor rgb="FFFFC7CE"/>
      </patternFill>
    </fill>
    <fill>
      <patternFill patternType="solid">
        <fgColor rgb="FFFFFFCC"/>
      </patternFill>
    </fill>
    <fill>
      <patternFill patternType="solid">
        <fgColor indexed="43"/>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2"/>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5117038483843"/>
        <bgColor indexed="64"/>
      </patternFill>
    </fill>
    <fill>
      <patternFill patternType="solid">
        <fgColor theme="2" tint="-0.499984740745262"/>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bgColor indexed="64"/>
      </patternFill>
    </fill>
  </fills>
  <borders count="10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bottom style="thin">
        <color indexed="64"/>
      </bottom>
      <diagonal/>
    </border>
    <border>
      <left/>
      <right/>
      <top/>
      <bottom style="thin">
        <color indexed="64"/>
      </bottom>
      <diagonal/>
    </border>
    <border>
      <left/>
      <right/>
      <top style="thin">
        <color indexed="58"/>
      </top>
      <bottom style="thin">
        <color indexed="58"/>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8"/>
      </top>
      <bottom style="double">
        <color indexed="58"/>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58"/>
      </top>
      <bottom style="thin">
        <color indexed="58"/>
      </bottom>
      <diagonal/>
    </border>
    <border>
      <left/>
      <right style="medium">
        <color indexed="64"/>
      </right>
      <top style="thin">
        <color indexed="58"/>
      </top>
      <bottom style="thin">
        <color indexed="58"/>
      </bottom>
      <diagonal/>
    </border>
    <border>
      <left style="medium">
        <color indexed="64"/>
      </left>
      <right/>
      <top style="thin">
        <color indexed="58"/>
      </top>
      <bottom style="double">
        <color indexed="58"/>
      </bottom>
      <diagonal/>
    </border>
    <border>
      <left/>
      <right style="medium">
        <color indexed="64"/>
      </right>
      <top style="thin">
        <color indexed="58"/>
      </top>
      <bottom style="double">
        <color indexed="58"/>
      </bottom>
      <diagonal/>
    </border>
    <border>
      <left style="medium">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58"/>
      </top>
      <bottom/>
      <diagonal/>
    </border>
    <border>
      <left/>
      <right style="medium">
        <color indexed="64"/>
      </right>
      <top style="thin">
        <color indexed="58"/>
      </top>
      <bottom/>
      <diagonal/>
    </border>
    <border>
      <left style="medium">
        <color indexed="64"/>
      </left>
      <right/>
      <top style="thin">
        <color indexed="58"/>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rgb="FFABABAB"/>
      </left>
      <right/>
      <top style="thin">
        <color rgb="FFABABAB"/>
      </top>
      <bottom/>
      <diagonal/>
    </border>
    <border>
      <left style="thin">
        <color rgb="FFABABAB"/>
      </left>
      <right/>
      <top/>
      <bottom/>
      <diagonal/>
    </border>
    <border>
      <left style="thin">
        <color indexed="65"/>
      </left>
      <right/>
      <top/>
      <bottom/>
      <diagonal/>
    </border>
    <border>
      <left/>
      <right/>
      <top style="thin">
        <color rgb="FFABABAB"/>
      </top>
      <bottom/>
      <diagonal/>
    </border>
    <border>
      <left style="thin">
        <color rgb="FFABABAB"/>
      </left>
      <right/>
      <top style="thin">
        <color indexed="65"/>
      </top>
      <bottom/>
      <diagonal/>
    </border>
    <border>
      <left style="thin">
        <color rgb="FFABABAB"/>
      </left>
      <right/>
      <top style="thin">
        <color indexed="64"/>
      </top>
      <bottom style="thin">
        <color indexed="64"/>
      </bottom>
      <diagonal/>
    </border>
    <border>
      <left style="thin">
        <color rgb="FFABABAB"/>
      </left>
      <right style="thin">
        <color indexed="64"/>
      </right>
      <top style="thin">
        <color indexed="64"/>
      </top>
      <bottom style="thin">
        <color indexed="64"/>
      </bottom>
      <diagonal/>
    </border>
    <border>
      <left style="thin">
        <color rgb="FFABABAB"/>
      </left>
      <right/>
      <top style="thin">
        <color indexed="64"/>
      </top>
      <bottom/>
      <diagonal/>
    </border>
    <border>
      <left style="thin">
        <color indexed="64"/>
      </left>
      <right/>
      <top style="thin">
        <color rgb="FFABABAB"/>
      </top>
      <bottom style="thin">
        <color indexed="64"/>
      </bottom>
      <diagonal/>
    </border>
    <border>
      <left style="thin">
        <color rgb="FFABABAB"/>
      </left>
      <right/>
      <top style="thin">
        <color rgb="FFABABAB"/>
      </top>
      <bottom style="thin">
        <color indexed="64"/>
      </bottom>
      <diagonal/>
    </border>
    <border>
      <left style="medium">
        <color indexed="64"/>
      </left>
      <right/>
      <top style="thin">
        <color indexed="8"/>
      </top>
      <bottom/>
      <diagonal/>
    </border>
  </borders>
  <cellStyleXfs count="325">
    <xf numFmtId="0" fontId="0" fillId="0" borderId="0"/>
    <xf numFmtId="43"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8" fillId="0" borderId="0"/>
    <xf numFmtId="9" fontId="18" fillId="0" borderId="0" applyFont="0" applyFill="0" applyBorder="0" applyAlignment="0" applyProtection="0"/>
    <xf numFmtId="0" fontId="19" fillId="0" borderId="0"/>
    <xf numFmtId="9" fontId="8" fillId="0" borderId="0" applyFont="0" applyFill="0" applyBorder="0" applyAlignment="0" applyProtection="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9"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7" borderId="0" applyNumberFormat="0" applyBorder="0" applyAlignment="0" applyProtection="0"/>
    <xf numFmtId="0" fontId="33" fillId="11" borderId="0" applyNumberFormat="0" applyBorder="0" applyAlignment="0" applyProtection="0"/>
    <xf numFmtId="0" fontId="34" fillId="2" borderId="0" applyNumberFormat="0" applyBorder="0" applyAlignment="0" applyProtection="0"/>
    <xf numFmtId="0" fontId="35" fillId="0" borderId="51" applyNumberFormat="0" applyFont="0" applyProtection="0">
      <alignment wrapText="1"/>
    </xf>
    <xf numFmtId="0" fontId="36" fillId="28" borderId="52" applyNumberFormat="0" applyAlignment="0" applyProtection="0"/>
    <xf numFmtId="0" fontId="36" fillId="28" borderId="52" applyNumberFormat="0" applyAlignment="0" applyProtection="0"/>
    <xf numFmtId="0" fontId="36" fillId="28" borderId="52" applyNumberFormat="0" applyAlignment="0" applyProtection="0"/>
    <xf numFmtId="0" fontId="37" fillId="29" borderId="53" applyNumberFormat="0" applyAlignment="0" applyProtection="0"/>
    <xf numFmtId="41" fontId="21" fillId="0" borderId="0" applyFont="0" applyFill="0" applyBorder="0" applyAlignment="0" applyProtection="0"/>
    <xf numFmtId="43" fontId="19"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19" fillId="0" borderId="0" applyFont="0" applyFill="0" applyBorder="0" applyAlignment="0" applyProtection="0"/>
    <xf numFmtId="43" fontId="31"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7" fillId="0" borderId="0" applyFont="0" applyFill="0" applyBorder="0" applyAlignment="0" applyProtection="0"/>
    <xf numFmtId="42" fontId="21"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21"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38"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38" fillId="0" borderId="0" applyFont="0" applyFill="0" applyBorder="0" applyAlignment="0" applyProtection="0"/>
    <xf numFmtId="44" fontId="19"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2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21" fillId="0" borderId="0" applyFont="0" applyFill="0" applyBorder="0" applyAlignment="0" applyProtection="0"/>
    <xf numFmtId="44" fontId="19"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7" fillId="0" borderId="0" applyFont="0" applyFill="0" applyBorder="0" applyAlignment="0" applyProtection="0"/>
    <xf numFmtId="44" fontId="3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7" fillId="0" borderId="0" applyFont="0" applyFill="0" applyBorder="0" applyAlignment="0" applyProtection="0"/>
    <xf numFmtId="44" fontId="38" fillId="0" borderId="0" applyFont="0" applyFill="0" applyBorder="0" applyAlignment="0" applyProtection="0"/>
    <xf numFmtId="44" fontId="31" fillId="0" borderId="0" applyFon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35" fillId="0" borderId="54" applyNumberFormat="0" applyProtection="0">
      <alignment wrapText="1"/>
    </xf>
    <xf numFmtId="0" fontId="40" fillId="12" borderId="0" applyNumberFormat="0" applyBorder="0" applyAlignment="0" applyProtection="0"/>
    <xf numFmtId="0" fontId="41" fillId="0" borderId="55" applyNumberFormat="0" applyProtection="0">
      <alignment wrapText="1"/>
    </xf>
    <xf numFmtId="0" fontId="42" fillId="0" borderId="56" applyNumberFormat="0" applyFill="0" applyAlignment="0" applyProtection="0"/>
    <xf numFmtId="0" fontId="10" fillId="0" borderId="1" applyNumberFormat="0" applyFill="0" applyAlignment="0" applyProtection="0"/>
    <xf numFmtId="0" fontId="42" fillId="0" borderId="56" applyNumberFormat="0" applyFill="0" applyAlignment="0" applyProtection="0"/>
    <xf numFmtId="0" fontId="43" fillId="0" borderId="57" applyNumberFormat="0" applyFill="0" applyAlignment="0" applyProtection="0"/>
    <xf numFmtId="0" fontId="11" fillId="0" borderId="2" applyNumberFormat="0" applyFill="0" applyAlignment="0" applyProtection="0"/>
    <xf numFmtId="0" fontId="43" fillId="0" borderId="57" applyNumberFormat="0" applyFill="0" applyAlignment="0" applyProtection="0"/>
    <xf numFmtId="0" fontId="44" fillId="0" borderId="58" applyNumberFormat="0" applyFill="0" applyAlignment="0" applyProtection="0"/>
    <xf numFmtId="0" fontId="12" fillId="0" borderId="3" applyNumberFormat="0" applyFill="0" applyAlignment="0" applyProtection="0"/>
    <xf numFmtId="0" fontId="44" fillId="0" borderId="58" applyNumberFormat="0" applyFill="0" applyAlignment="0" applyProtection="0"/>
    <xf numFmtId="0" fontId="44" fillId="0" borderId="0" applyNumberFormat="0" applyFill="0" applyBorder="0" applyAlignment="0" applyProtection="0"/>
    <xf numFmtId="0" fontId="12"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15" borderId="52" applyNumberFormat="0" applyAlignment="0" applyProtection="0"/>
    <xf numFmtId="0" fontId="46" fillId="15" borderId="52" applyNumberFormat="0" applyAlignment="0" applyProtection="0"/>
    <xf numFmtId="0" fontId="46" fillId="15" borderId="52" applyNumberFormat="0" applyAlignment="0" applyProtection="0"/>
    <xf numFmtId="0" fontId="47" fillId="0" borderId="59" applyNumberFormat="0" applyFill="0" applyAlignment="0" applyProtection="0"/>
    <xf numFmtId="0" fontId="13" fillId="0" borderId="4" applyNumberFormat="0" applyFill="0" applyAlignment="0" applyProtection="0"/>
    <xf numFmtId="0" fontId="47" fillId="0" borderId="59" applyNumberFormat="0" applyFill="0" applyAlignment="0" applyProtection="0"/>
    <xf numFmtId="0" fontId="48" fillId="30" borderId="0" applyNumberFormat="0" applyBorder="0" applyAlignment="0" applyProtection="0"/>
    <xf numFmtId="0" fontId="21"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21" fillId="0" borderId="0"/>
    <xf numFmtId="0" fontId="21" fillId="0" borderId="0"/>
    <xf numFmtId="0" fontId="7" fillId="0" borderId="0"/>
    <xf numFmtId="0" fontId="21" fillId="0" borderId="0"/>
    <xf numFmtId="0" fontId="7" fillId="0" borderId="0"/>
    <xf numFmtId="0" fontId="7" fillId="0" borderId="0"/>
    <xf numFmtId="0" fontId="19" fillId="0" borderId="0"/>
    <xf numFmtId="0" fontId="19" fillId="0" borderId="0"/>
    <xf numFmtId="0" fontId="7" fillId="0" borderId="0"/>
    <xf numFmtId="0" fontId="7" fillId="0" borderId="0"/>
    <xf numFmtId="0" fontId="21" fillId="0" borderId="0"/>
    <xf numFmtId="0" fontId="21" fillId="0" borderId="0"/>
    <xf numFmtId="0" fontId="21" fillId="0" borderId="0"/>
    <xf numFmtId="0" fontId="38" fillId="0" borderId="0"/>
    <xf numFmtId="0" fontId="21" fillId="0" borderId="0"/>
    <xf numFmtId="0" fontId="31" fillId="0" borderId="0"/>
    <xf numFmtId="0" fontId="38" fillId="0" borderId="0"/>
    <xf numFmtId="0" fontId="21" fillId="0" borderId="0"/>
    <xf numFmtId="0" fontId="38" fillId="0" borderId="0"/>
    <xf numFmtId="0" fontId="31" fillId="0" borderId="0"/>
    <xf numFmtId="0" fontId="31" fillId="0" borderId="0"/>
    <xf numFmtId="0" fontId="7" fillId="0" borderId="0"/>
    <xf numFmtId="0" fontId="7" fillId="0" borderId="0"/>
    <xf numFmtId="0" fontId="49" fillId="0" borderId="0"/>
    <xf numFmtId="0" fontId="21" fillId="0" borderId="0"/>
    <xf numFmtId="0" fontId="21" fillId="0" borderId="0"/>
    <xf numFmtId="0" fontId="21" fillId="0" borderId="0"/>
    <xf numFmtId="0" fontId="7" fillId="0" borderId="0"/>
    <xf numFmtId="0" fontId="50" fillId="0" borderId="0"/>
    <xf numFmtId="0" fontId="50" fillId="0" borderId="0"/>
    <xf numFmtId="0" fontId="7" fillId="0" borderId="0"/>
    <xf numFmtId="0" fontId="21" fillId="0" borderId="0"/>
    <xf numFmtId="0" fontId="7" fillId="0" borderId="0"/>
    <xf numFmtId="0" fontId="21" fillId="0" borderId="0"/>
    <xf numFmtId="0" fontId="23" fillId="0" borderId="0">
      <alignment vertical="top"/>
    </xf>
    <xf numFmtId="0" fontId="50" fillId="0" borderId="0"/>
    <xf numFmtId="0" fontId="7" fillId="0" borderId="0"/>
    <xf numFmtId="0" fontId="21" fillId="0" borderId="0"/>
    <xf numFmtId="0" fontId="7" fillId="0" borderId="0"/>
    <xf numFmtId="0" fontId="38" fillId="0" borderId="0"/>
    <xf numFmtId="0" fontId="21" fillId="0" borderId="0"/>
    <xf numFmtId="0" fontId="38" fillId="0" borderId="0"/>
    <xf numFmtId="0" fontId="7" fillId="0" borderId="0"/>
    <xf numFmtId="0" fontId="21" fillId="0" borderId="0"/>
    <xf numFmtId="0" fontId="38" fillId="0" borderId="0"/>
    <xf numFmtId="0" fontId="7" fillId="0" borderId="0"/>
    <xf numFmtId="0" fontId="7" fillId="0" borderId="0"/>
    <xf numFmtId="0" fontId="38" fillId="0" borderId="0"/>
    <xf numFmtId="0" fontId="21" fillId="0" borderId="0"/>
    <xf numFmtId="0" fontId="7" fillId="0" borderId="0"/>
    <xf numFmtId="0" fontId="21" fillId="0" borderId="0"/>
    <xf numFmtId="0" fontId="21" fillId="0" borderId="0"/>
    <xf numFmtId="0" fontId="7" fillId="0" borderId="0"/>
    <xf numFmtId="0" fontId="7" fillId="0" borderId="0"/>
    <xf numFmtId="0" fontId="21" fillId="0" borderId="0"/>
    <xf numFmtId="0" fontId="21"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3" borderId="5" applyNumberFormat="0" applyFont="0" applyAlignment="0" applyProtection="0"/>
    <xf numFmtId="0" fontId="21" fillId="31" borderId="60" applyNumberFormat="0" applyFont="0" applyAlignment="0" applyProtection="0"/>
    <xf numFmtId="0" fontId="21" fillId="31" borderId="60" applyNumberFormat="0" applyFont="0" applyAlignment="0" applyProtection="0"/>
    <xf numFmtId="0" fontId="51" fillId="28" borderId="61" applyNumberFormat="0" applyAlignment="0" applyProtection="0"/>
    <xf numFmtId="0" fontId="51" fillId="28" borderId="61" applyNumberFormat="0" applyAlignment="0" applyProtection="0"/>
    <xf numFmtId="0" fontId="51" fillId="28" borderId="61" applyNumberFormat="0" applyAlignment="0" applyProtection="0"/>
    <xf numFmtId="0" fontId="41" fillId="0" borderId="62" applyNumberFormat="0" applyProtection="0">
      <alignment wrapText="1"/>
    </xf>
    <xf numFmtId="9" fontId="31"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1"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9" fontId="31"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31" fillId="0" borderId="0" applyFont="0" applyFill="0" applyBorder="0" applyAlignment="0" applyProtection="0"/>
    <xf numFmtId="9" fontId="38" fillId="0" borderId="0" applyFont="0" applyFill="0" applyBorder="0" applyAlignment="0" applyProtection="0"/>
    <xf numFmtId="9" fontId="3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1"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52" fillId="0" borderId="0" applyNumberFormat="0" applyProtection="0">
      <alignment horizontal="left"/>
    </xf>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63" applyNumberFormat="0" applyFill="0" applyAlignment="0" applyProtection="0"/>
    <xf numFmtId="0" fontId="16" fillId="0" borderId="6" applyNumberFormat="0" applyFill="0" applyAlignment="0" applyProtection="0"/>
    <xf numFmtId="0" fontId="54" fillId="0" borderId="63" applyNumberFormat="0" applyFill="0" applyAlignment="0" applyProtection="0"/>
    <xf numFmtId="0" fontId="55" fillId="0" borderId="0" applyNumberFormat="0" applyFill="0" applyBorder="0" applyAlignment="0" applyProtection="0"/>
    <xf numFmtId="0" fontId="14" fillId="0" borderId="0" applyNumberFormat="0" applyFill="0" applyBorder="0" applyAlignment="0" applyProtection="0"/>
    <xf numFmtId="0" fontId="55" fillId="0" borderId="0" applyNumberFormat="0" applyFill="0" applyBorder="0" applyAlignment="0" applyProtection="0"/>
    <xf numFmtId="0" fontId="21" fillId="0" borderId="0"/>
    <xf numFmtId="9" fontId="21" fillId="0" borderId="0" applyFont="0" applyFill="0" applyBorder="0" applyAlignment="0" applyProtection="0"/>
    <xf numFmtId="0" fontId="6" fillId="0" borderId="0"/>
    <xf numFmtId="9" fontId="6" fillId="0" borderId="0" applyFont="0" applyFill="0" applyBorder="0" applyAlignment="0" applyProtection="0"/>
    <xf numFmtId="0" fontId="21" fillId="0" borderId="0"/>
    <xf numFmtId="0" fontId="6" fillId="0" borderId="0"/>
    <xf numFmtId="44" fontId="6" fillId="0" borderId="0" applyFont="0" applyFill="0" applyBorder="0" applyAlignment="0" applyProtection="0"/>
    <xf numFmtId="3" fontId="21" fillId="0" borderId="0">
      <alignment horizontal="left" vertical="top" wrapText="1"/>
    </xf>
    <xf numFmtId="0" fontId="74" fillId="0" borderId="0">
      <alignment horizontal="left" vertical="center" wrapText="1"/>
    </xf>
    <xf numFmtId="9" fontId="74"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0" fontId="21" fillId="0" borderId="0"/>
  </cellStyleXfs>
  <cellXfs count="1095">
    <xf numFmtId="0" fontId="0" fillId="0" borderId="0" xfId="0"/>
    <xf numFmtId="0" fontId="19" fillId="0" borderId="0" xfId="0" applyFont="1"/>
    <xf numFmtId="44" fontId="0" fillId="0" borderId="0" xfId="0" applyNumberFormat="1"/>
    <xf numFmtId="0" fontId="25" fillId="0" borderId="0" xfId="0" applyFont="1" applyAlignment="1">
      <alignment horizontal="right"/>
    </xf>
    <xf numFmtId="0" fontId="56" fillId="0" borderId="7" xfId="176" applyFont="1" applyBorder="1"/>
    <xf numFmtId="0" fontId="7" fillId="0" borderId="0" xfId="176"/>
    <xf numFmtId="0" fontId="56" fillId="0" borderId="7" xfId="176" applyFont="1" applyBorder="1" applyAlignment="1">
      <alignment horizontal="right"/>
    </xf>
    <xf numFmtId="166" fontId="56" fillId="0" borderId="10" xfId="176" applyNumberFormat="1" applyFont="1" applyBorder="1" applyAlignment="1">
      <alignment horizontal="center"/>
    </xf>
    <xf numFmtId="0" fontId="56" fillId="0" borderId="16" xfId="176" applyFont="1" applyBorder="1" applyAlignment="1">
      <alignment horizontal="right"/>
    </xf>
    <xf numFmtId="10" fontId="7" fillId="0" borderId="18" xfId="176" applyNumberFormat="1" applyBorder="1" applyAlignment="1">
      <alignment horizontal="center"/>
    </xf>
    <xf numFmtId="166" fontId="7" fillId="0" borderId="18" xfId="176" applyNumberFormat="1" applyBorder="1" applyAlignment="1">
      <alignment horizontal="center"/>
    </xf>
    <xf numFmtId="0" fontId="17" fillId="0" borderId="12" xfId="176" applyFont="1" applyBorder="1" applyAlignment="1">
      <alignment horizontal="right"/>
    </xf>
    <xf numFmtId="166" fontId="17" fillId="5" borderId="14" xfId="176" applyNumberFormat="1" applyFont="1" applyFill="1" applyBorder="1" applyAlignment="1">
      <alignment horizontal="center"/>
    </xf>
    <xf numFmtId="0" fontId="17" fillId="0" borderId="32" xfId="176" applyFont="1" applyBorder="1" applyAlignment="1">
      <alignment horizontal="right"/>
    </xf>
    <xf numFmtId="166" fontId="16" fillId="5" borderId="30" xfId="176" applyNumberFormat="1" applyFont="1" applyFill="1" applyBorder="1" applyAlignment="1">
      <alignment horizontal="center"/>
    </xf>
    <xf numFmtId="165" fontId="7" fillId="0" borderId="0" xfId="176" applyNumberFormat="1"/>
    <xf numFmtId="0" fontId="17" fillId="34" borderId="0" xfId="176" applyFont="1" applyFill="1" applyAlignment="1">
      <alignment wrapText="1"/>
    </xf>
    <xf numFmtId="0" fontId="17" fillId="34" borderId="30" xfId="176" applyFont="1" applyFill="1" applyBorder="1" applyAlignment="1">
      <alignment horizontal="center" wrapText="1"/>
    </xf>
    <xf numFmtId="0" fontId="17" fillId="34" borderId="20" xfId="176" applyFont="1" applyFill="1" applyBorder="1" applyAlignment="1">
      <alignment horizontal="center" wrapText="1"/>
    </xf>
    <xf numFmtId="166" fontId="56" fillId="0" borderId="11" xfId="176" applyNumberFormat="1" applyFont="1" applyBorder="1" applyAlignment="1">
      <alignment horizontal="center"/>
    </xf>
    <xf numFmtId="10" fontId="7" fillId="0" borderId="19" xfId="176" applyNumberFormat="1" applyBorder="1" applyAlignment="1">
      <alignment horizontal="center"/>
    </xf>
    <xf numFmtId="166" fontId="7" fillId="0" borderId="19" xfId="176" applyNumberFormat="1" applyBorder="1" applyAlignment="1">
      <alignment horizontal="center"/>
    </xf>
    <xf numFmtId="166" fontId="17" fillId="5" borderId="15" xfId="176" applyNumberFormat="1" applyFont="1" applyFill="1" applyBorder="1" applyAlignment="1">
      <alignment horizontal="center"/>
    </xf>
    <xf numFmtId="166" fontId="16" fillId="5" borderId="20" xfId="176" applyNumberFormat="1" applyFont="1" applyFill="1" applyBorder="1" applyAlignment="1">
      <alignment horizontal="center"/>
    </xf>
    <xf numFmtId="0" fontId="6" fillId="0" borderId="0" xfId="176" applyFont="1"/>
    <xf numFmtId="0" fontId="6" fillId="0" borderId="0" xfId="176" applyFont="1" applyAlignment="1">
      <alignment horizontal="right"/>
    </xf>
    <xf numFmtId="3" fontId="7" fillId="0" borderId="0" xfId="176" applyNumberFormat="1" applyAlignment="1">
      <alignment horizontal="center"/>
    </xf>
    <xf numFmtId="3" fontId="7" fillId="0" borderId="0" xfId="176" applyNumberFormat="1"/>
    <xf numFmtId="0" fontId="17" fillId="0" borderId="0" xfId="176" applyFont="1" applyAlignment="1">
      <alignment horizontal="right"/>
    </xf>
    <xf numFmtId="166" fontId="16" fillId="0" borderId="0" xfId="176" applyNumberFormat="1" applyFont="1" applyAlignment="1">
      <alignment horizontal="center"/>
    </xf>
    <xf numFmtId="0" fontId="61" fillId="35" borderId="18" xfId="0" applyFont="1" applyFill="1" applyBorder="1"/>
    <xf numFmtId="0" fontId="25" fillId="0" borderId="0" xfId="0" applyFont="1"/>
    <xf numFmtId="44" fontId="63" fillId="0" borderId="0" xfId="0" applyNumberFormat="1" applyFont="1"/>
    <xf numFmtId="0" fontId="63" fillId="0" borderId="0" xfId="0" applyFont="1"/>
    <xf numFmtId="0" fontId="63" fillId="0" borderId="0" xfId="0" applyFont="1" applyAlignment="1">
      <alignment wrapText="1"/>
    </xf>
    <xf numFmtId="0" fontId="63" fillId="0" borderId="40" xfId="0" applyFont="1" applyBorder="1"/>
    <xf numFmtId="0" fontId="63" fillId="0" borderId="13" xfId="0" applyFont="1" applyBorder="1"/>
    <xf numFmtId="44" fontId="63" fillId="0" borderId="0" xfId="2" applyFont="1"/>
    <xf numFmtId="2" fontId="63" fillId="0" borderId="0" xfId="0" applyNumberFormat="1" applyFont="1"/>
    <xf numFmtId="0" fontId="61" fillId="35" borderId="0" xfId="0" applyFont="1" applyFill="1"/>
    <xf numFmtId="167" fontId="63" fillId="35" borderId="78" xfId="193" applyNumberFormat="1" applyFont="1" applyFill="1" applyBorder="1"/>
    <xf numFmtId="0" fontId="61" fillId="35" borderId="25" xfId="0" applyFont="1" applyFill="1" applyBorder="1"/>
    <xf numFmtId="0" fontId="56" fillId="0" borderId="0" xfId="0" applyFont="1"/>
    <xf numFmtId="0" fontId="56" fillId="39" borderId="0" xfId="0" applyFont="1" applyFill="1"/>
    <xf numFmtId="0" fontId="56" fillId="0" borderId="0" xfId="0" applyFont="1" applyAlignment="1">
      <alignment wrapText="1"/>
    </xf>
    <xf numFmtId="0" fontId="56" fillId="39" borderId="0" xfId="0" applyFont="1" applyFill="1" applyAlignment="1">
      <alignment wrapText="1"/>
    </xf>
    <xf numFmtId="0" fontId="56" fillId="39" borderId="75" xfId="0" applyFont="1" applyFill="1" applyBorder="1"/>
    <xf numFmtId="0" fontId="0" fillId="0" borderId="0" xfId="0" applyAlignment="1">
      <alignment horizontal="center"/>
    </xf>
    <xf numFmtId="3" fontId="0" fillId="0" borderId="0" xfId="0" applyNumberFormat="1"/>
    <xf numFmtId="4" fontId="0" fillId="0" borderId="0" xfId="0" applyNumberFormat="1"/>
    <xf numFmtId="10" fontId="0" fillId="0" borderId="0" xfId="0" applyNumberFormat="1"/>
    <xf numFmtId="0" fontId="16" fillId="0" borderId="0" xfId="182" applyFont="1"/>
    <xf numFmtId="44" fontId="0" fillId="0" borderId="0" xfId="67" applyFont="1"/>
    <xf numFmtId="0" fontId="7" fillId="0" borderId="0" xfId="182"/>
    <xf numFmtId="43" fontId="0" fillId="0" borderId="0" xfId="50" applyFont="1" applyAlignment="1">
      <alignment horizontal="center"/>
    </xf>
    <xf numFmtId="3" fontId="0" fillId="0" borderId="0" xfId="0" applyNumberFormat="1" applyAlignment="1">
      <alignment horizontal="center"/>
    </xf>
    <xf numFmtId="44" fontId="63" fillId="39" borderId="75" xfId="2" applyFont="1" applyFill="1" applyBorder="1"/>
    <xf numFmtId="0" fontId="61" fillId="35" borderId="18" xfId="0" applyFont="1" applyFill="1" applyBorder="1" applyAlignment="1">
      <alignment horizontal="left" vertical="center"/>
    </xf>
    <xf numFmtId="0" fontId="63" fillId="0" borderId="0" xfId="196" applyFont="1"/>
    <xf numFmtId="0" fontId="63" fillId="0" borderId="0" xfId="196" applyFont="1" applyAlignment="1">
      <alignment horizontal="right"/>
    </xf>
    <xf numFmtId="0" fontId="63" fillId="0" borderId="0" xfId="196" applyFont="1" applyAlignment="1">
      <alignment horizontal="center"/>
    </xf>
    <xf numFmtId="43" fontId="63" fillId="0" borderId="0" xfId="50" applyFont="1"/>
    <xf numFmtId="0" fontId="62" fillId="0" borderId="0" xfId="311" applyFont="1" applyAlignment="1">
      <alignment horizontal="center"/>
    </xf>
    <xf numFmtId="0" fontId="63" fillId="0" borderId="0" xfId="196" applyFont="1" applyAlignment="1">
      <alignment horizontal="left" vertical="center"/>
    </xf>
    <xf numFmtId="0" fontId="62" fillId="0" borderId="16" xfId="311" applyFont="1" applyBorder="1" applyAlignment="1">
      <alignment vertical="center"/>
    </xf>
    <xf numFmtId="0" fontId="62" fillId="0" borderId="0" xfId="311" applyFont="1" applyAlignment="1">
      <alignment horizontal="left" vertical="center"/>
    </xf>
    <xf numFmtId="0" fontId="62" fillId="0" borderId="0" xfId="311" applyFont="1" applyAlignment="1">
      <alignment vertical="center"/>
    </xf>
    <xf numFmtId="0" fontId="62" fillId="0" borderId="0" xfId="311" applyFont="1" applyAlignment="1">
      <alignment horizontal="right" vertical="center"/>
    </xf>
    <xf numFmtId="3" fontId="62" fillId="0" borderId="18" xfId="196" applyNumberFormat="1" applyFont="1" applyBorder="1" applyAlignment="1">
      <alignment vertical="center"/>
    </xf>
    <xf numFmtId="0" fontId="63" fillId="0" borderId="0" xfId="196" applyFont="1" applyAlignment="1">
      <alignment vertical="center"/>
    </xf>
    <xf numFmtId="0" fontId="63" fillId="0" borderId="0" xfId="196" applyFont="1" applyAlignment="1">
      <alignment horizontal="right" vertical="center"/>
    </xf>
    <xf numFmtId="167" fontId="63" fillId="0" borderId="16" xfId="196" applyNumberFormat="1" applyFont="1" applyBorder="1" applyAlignment="1">
      <alignment horizontal="left"/>
    </xf>
    <xf numFmtId="0" fontId="63" fillId="0" borderId="0" xfId="196" applyFont="1" applyAlignment="1">
      <alignment horizontal="left"/>
    </xf>
    <xf numFmtId="0" fontId="62" fillId="0" borderId="16" xfId="196" applyFont="1" applyBorder="1"/>
    <xf numFmtId="0" fontId="62" fillId="0" borderId="0" xfId="196" quotePrefix="1" applyFont="1" applyAlignment="1">
      <alignment horizontal="left"/>
    </xf>
    <xf numFmtId="0" fontId="63" fillId="0" borderId="18" xfId="196" applyFont="1" applyBorder="1"/>
    <xf numFmtId="0" fontId="62" fillId="0" borderId="22" xfId="196" applyFont="1" applyBorder="1"/>
    <xf numFmtId="0" fontId="62" fillId="0" borderId="23" xfId="196" applyFont="1" applyBorder="1" applyAlignment="1">
      <alignment horizontal="left"/>
    </xf>
    <xf numFmtId="0" fontId="62" fillId="0" borderId="23" xfId="196" applyFont="1" applyBorder="1" applyAlignment="1">
      <alignment horizontal="center"/>
    </xf>
    <xf numFmtId="0" fontId="62" fillId="0" borderId="25" xfId="196" applyFont="1" applyBorder="1" applyAlignment="1">
      <alignment horizontal="right"/>
    </xf>
    <xf numFmtId="0" fontId="63" fillId="0" borderId="0" xfId="196" applyFont="1" applyAlignment="1">
      <alignment horizontal="left" wrapText="1"/>
    </xf>
    <xf numFmtId="0" fontId="65" fillId="0" borderId="16" xfId="196" applyFont="1" applyBorder="1"/>
    <xf numFmtId="0" fontId="62" fillId="0" borderId="0" xfId="196" applyFont="1"/>
    <xf numFmtId="0" fontId="62" fillId="0" borderId="0" xfId="196" applyFont="1" applyAlignment="1">
      <alignment horizontal="center"/>
    </xf>
    <xf numFmtId="0" fontId="62" fillId="0" borderId="18" xfId="196" applyFont="1" applyBorder="1" applyAlignment="1">
      <alignment horizontal="center"/>
    </xf>
    <xf numFmtId="167" fontId="63" fillId="0" borderId="16" xfId="196" applyNumberFormat="1" applyFont="1" applyBorder="1"/>
    <xf numFmtId="166" fontId="63" fillId="0" borderId="0" xfId="196" applyNumberFormat="1" applyFont="1"/>
    <xf numFmtId="4" fontId="63" fillId="0" borderId="0" xfId="196" applyNumberFormat="1" applyFont="1" applyAlignment="1">
      <alignment horizontal="center"/>
    </xf>
    <xf numFmtId="166" fontId="63" fillId="0" borderId="18" xfId="196" applyNumberFormat="1" applyFont="1" applyBorder="1"/>
    <xf numFmtId="167" fontId="63" fillId="0" borderId="22" xfId="196" applyNumberFormat="1" applyFont="1" applyBorder="1" applyAlignment="1">
      <alignment horizontal="center"/>
    </xf>
    <xf numFmtId="167" fontId="63" fillId="0" borderId="16" xfId="196" applyNumberFormat="1" applyFont="1" applyBorder="1" applyAlignment="1">
      <alignment wrapText="1"/>
    </xf>
    <xf numFmtId="167" fontId="62" fillId="0" borderId="65" xfId="196" applyNumberFormat="1" applyFont="1" applyBorder="1" applyAlignment="1">
      <alignment horizontal="left"/>
    </xf>
    <xf numFmtId="167" fontId="63" fillId="0" borderId="22" xfId="196" applyNumberFormat="1" applyFont="1" applyBorder="1"/>
    <xf numFmtId="0" fontId="63" fillId="0" borderId="23" xfId="196" applyFont="1" applyBorder="1"/>
    <xf numFmtId="166" fontId="63" fillId="0" borderId="23" xfId="196" applyNumberFormat="1" applyFont="1" applyBorder="1"/>
    <xf numFmtId="4" fontId="63" fillId="0" borderId="23" xfId="196" applyNumberFormat="1" applyFont="1" applyBorder="1" applyAlignment="1">
      <alignment horizontal="center"/>
    </xf>
    <xf numFmtId="166" fontId="63" fillId="0" borderId="25" xfId="196" applyNumberFormat="1" applyFont="1" applyBorder="1"/>
    <xf numFmtId="167" fontId="65" fillId="0" borderId="16" xfId="196" applyNumberFormat="1" applyFont="1" applyBorder="1"/>
    <xf numFmtId="0" fontId="62" fillId="0" borderId="32" xfId="196" applyFont="1" applyBorder="1"/>
    <xf numFmtId="166" fontId="62" fillId="0" borderId="30" xfId="196" applyNumberFormat="1" applyFont="1" applyBorder="1"/>
    <xf numFmtId="167" fontId="63" fillId="0" borderId="22" xfId="196" applyNumberFormat="1" applyFont="1" applyBorder="1" applyAlignment="1">
      <alignment horizontal="left"/>
    </xf>
    <xf numFmtId="0" fontId="63" fillId="0" borderId="66" xfId="196" applyFont="1" applyBorder="1"/>
    <xf numFmtId="0" fontId="63" fillId="0" borderId="21" xfId="196" applyFont="1" applyBorder="1"/>
    <xf numFmtId="166" fontId="63" fillId="0" borderId="67" xfId="196" applyNumberFormat="1" applyFont="1" applyBorder="1"/>
    <xf numFmtId="0" fontId="62" fillId="0" borderId="31" xfId="196" applyFont="1" applyBorder="1" applyAlignment="1">
      <alignment horizontal="left"/>
    </xf>
    <xf numFmtId="0" fontId="62" fillId="0" borderId="21" xfId="196" applyFont="1" applyBorder="1"/>
    <xf numFmtId="166" fontId="62" fillId="0" borderId="67" xfId="196" applyNumberFormat="1" applyFont="1" applyBorder="1"/>
    <xf numFmtId="0" fontId="63" fillId="0" borderId="16" xfId="196" applyFont="1" applyBorder="1" applyAlignment="1">
      <alignment horizontal="left"/>
    </xf>
    <xf numFmtId="0" fontId="63" fillId="0" borderId="16" xfId="196" applyFont="1" applyBorder="1"/>
    <xf numFmtId="44" fontId="62" fillId="0" borderId="0" xfId="196" applyNumberFormat="1" applyFont="1" applyAlignment="1">
      <alignment horizontal="center"/>
    </xf>
    <xf numFmtId="166" fontId="63" fillId="0" borderId="0" xfId="196" applyNumberFormat="1" applyFont="1" applyAlignment="1">
      <alignment horizontal="center"/>
    </xf>
    <xf numFmtId="166" fontId="63" fillId="0" borderId="21" xfId="196" applyNumberFormat="1" applyFont="1" applyBorder="1" applyAlignment="1">
      <alignment horizontal="center"/>
    </xf>
    <xf numFmtId="0" fontId="62" fillId="0" borderId="21" xfId="196" applyFont="1" applyBorder="1" applyAlignment="1">
      <alignment horizontal="center"/>
    </xf>
    <xf numFmtId="0" fontId="63" fillId="0" borderId="40" xfId="196" applyFont="1" applyBorder="1"/>
    <xf numFmtId="0" fontId="63" fillId="0" borderId="40" xfId="196" applyFont="1" applyBorder="1" applyAlignment="1">
      <alignment horizontal="center"/>
    </xf>
    <xf numFmtId="0" fontId="63" fillId="0" borderId="12" xfId="196" applyFont="1" applyBorder="1" applyAlignment="1">
      <alignment horizontal="left"/>
    </xf>
    <xf numFmtId="165" fontId="66" fillId="0" borderId="18" xfId="196" applyNumberFormat="1" applyFont="1" applyBorder="1" applyAlignment="1">
      <alignment horizontal="right"/>
    </xf>
    <xf numFmtId="167" fontId="63" fillId="0" borderId="0" xfId="196" applyNumberFormat="1" applyFont="1" applyAlignment="1">
      <alignment horizontal="left"/>
    </xf>
    <xf numFmtId="0" fontId="63" fillId="0" borderId="12" xfId="196" applyFont="1" applyBorder="1"/>
    <xf numFmtId="0" fontId="63" fillId="0" borderId="13" xfId="196" applyFont="1" applyBorder="1"/>
    <xf numFmtId="165" fontId="63" fillId="0" borderId="13" xfId="312" applyNumberFormat="1" applyFont="1" applyFill="1" applyBorder="1" applyAlignment="1">
      <alignment horizontal="center"/>
    </xf>
    <xf numFmtId="165" fontId="63" fillId="5" borderId="14" xfId="312" applyNumberFormat="1" applyFont="1" applyFill="1" applyBorder="1"/>
    <xf numFmtId="0" fontId="63" fillId="0" borderId="0" xfId="196" applyFont="1" applyAlignment="1">
      <alignment wrapText="1"/>
    </xf>
    <xf numFmtId="9" fontId="63" fillId="0" borderId="0" xfId="196" applyNumberFormat="1" applyFont="1"/>
    <xf numFmtId="165" fontId="63" fillId="0" borderId="0" xfId="196" applyNumberFormat="1" applyFont="1" applyAlignment="1">
      <alignment horizontal="center"/>
    </xf>
    <xf numFmtId="165" fontId="63" fillId="0" borderId="0" xfId="196" applyNumberFormat="1" applyFont="1"/>
    <xf numFmtId="10" fontId="63" fillId="0" borderId="0" xfId="259" applyNumberFormat="1" applyFont="1"/>
    <xf numFmtId="44" fontId="63" fillId="0" borderId="0" xfId="196" applyNumberFormat="1" applyFont="1"/>
    <xf numFmtId="10" fontId="63" fillId="0" borderId="0" xfId="259" applyNumberFormat="1" applyFont="1" applyAlignment="1">
      <alignment horizontal="right"/>
    </xf>
    <xf numFmtId="0" fontId="62" fillId="0" borderId="25" xfId="196" applyFont="1" applyBorder="1" applyAlignment="1">
      <alignment horizontal="center"/>
    </xf>
    <xf numFmtId="167" fontId="63" fillId="0" borderId="0" xfId="196" applyNumberFormat="1" applyFont="1" applyAlignment="1">
      <alignment horizontal="center"/>
    </xf>
    <xf numFmtId="167" fontId="62" fillId="0" borderId="0" xfId="196" applyNumberFormat="1" applyFont="1" applyAlignment="1">
      <alignment horizontal="left"/>
    </xf>
    <xf numFmtId="42" fontId="62" fillId="0" borderId="67" xfId="196" applyNumberFormat="1" applyFont="1" applyBorder="1"/>
    <xf numFmtId="0" fontId="62" fillId="0" borderId="0" xfId="196" applyFont="1" applyAlignment="1">
      <alignment horizontal="left"/>
    </xf>
    <xf numFmtId="42" fontId="63" fillId="0" borderId="18" xfId="196" applyNumberFormat="1" applyFont="1" applyBorder="1"/>
    <xf numFmtId="0" fontId="66" fillId="0" borderId="18" xfId="196" applyFont="1" applyBorder="1" applyAlignment="1">
      <alignment horizontal="right"/>
    </xf>
    <xf numFmtId="44" fontId="63" fillId="5" borderId="14" xfId="312" applyFont="1" applyFill="1" applyBorder="1"/>
    <xf numFmtId="44" fontId="63" fillId="0" borderId="0" xfId="67" applyFont="1"/>
    <xf numFmtId="10" fontId="19" fillId="0" borderId="0" xfId="259" applyNumberFormat="1" applyFont="1" applyFill="1"/>
    <xf numFmtId="0" fontId="63" fillId="0" borderId="18" xfId="0" applyFont="1" applyBorder="1"/>
    <xf numFmtId="0" fontId="62" fillId="0" borderId="82" xfId="196" applyFont="1" applyBorder="1" applyAlignment="1">
      <alignment horizontal="center" vertical="center"/>
    </xf>
    <xf numFmtId="0" fontId="63" fillId="0" borderId="18" xfId="196" applyFont="1" applyBorder="1" applyAlignment="1">
      <alignment horizontal="left"/>
    </xf>
    <xf numFmtId="0" fontId="63" fillId="0" borderId="25" xfId="196" applyFont="1" applyBorder="1" applyAlignment="1">
      <alignment horizontal="left"/>
    </xf>
    <xf numFmtId="0" fontId="63" fillId="0" borderId="27" xfId="196" applyFont="1" applyBorder="1" applyAlignment="1">
      <alignment horizontal="left"/>
    </xf>
    <xf numFmtId="0" fontId="63" fillId="0" borderId="33" xfId="196" applyFont="1" applyBorder="1" applyAlignment="1">
      <alignment horizontal="left"/>
    </xf>
    <xf numFmtId="0" fontId="63" fillId="0" borderId="14" xfId="196" applyFont="1" applyBorder="1" applyAlignment="1">
      <alignment horizontal="left"/>
    </xf>
    <xf numFmtId="167" fontId="63" fillId="0" borderId="18" xfId="196" applyNumberFormat="1" applyFont="1" applyBorder="1" applyAlignment="1">
      <alignment horizontal="right"/>
    </xf>
    <xf numFmtId="1" fontId="62" fillId="0" borderId="25" xfId="196" applyNumberFormat="1" applyFont="1" applyBorder="1" applyAlignment="1">
      <alignment horizontal="right"/>
    </xf>
    <xf numFmtId="20" fontId="62" fillId="0" borderId="27" xfId="196" quotePrefix="1" applyNumberFormat="1" applyFont="1" applyBorder="1" applyAlignment="1">
      <alignment horizontal="right"/>
    </xf>
    <xf numFmtId="2" fontId="63" fillId="0" borderId="18" xfId="196" applyNumberFormat="1" applyFont="1" applyBorder="1" applyAlignment="1">
      <alignment horizontal="right"/>
    </xf>
    <xf numFmtId="2" fontId="63" fillId="0" borderId="25" xfId="196" applyNumberFormat="1" applyFont="1" applyBorder="1" applyAlignment="1">
      <alignment horizontal="right"/>
    </xf>
    <xf numFmtId="171" fontId="63" fillId="0" borderId="18" xfId="196" applyNumberFormat="1" applyFont="1" applyBorder="1" applyAlignment="1">
      <alignment horizontal="right"/>
    </xf>
    <xf numFmtId="10" fontId="63" fillId="0" borderId="18" xfId="196" applyNumberFormat="1" applyFont="1" applyBorder="1" applyAlignment="1">
      <alignment horizontal="right" vertical="center"/>
    </xf>
    <xf numFmtId="166" fontId="63" fillId="0" borderId="18" xfId="96" applyNumberFormat="1" applyFont="1" applyFill="1" applyBorder="1" applyAlignment="1">
      <alignment horizontal="right" vertical="center"/>
    </xf>
    <xf numFmtId="10" fontId="63" fillId="0" borderId="14" xfId="259" applyNumberFormat="1" applyFont="1" applyFill="1" applyBorder="1" applyAlignment="1">
      <alignment horizontal="right"/>
    </xf>
    <xf numFmtId="167" fontId="63" fillId="0" borderId="16" xfId="0" applyNumberFormat="1" applyFont="1" applyBorder="1" applyAlignment="1">
      <alignment horizontal="left"/>
    </xf>
    <xf numFmtId="10" fontId="63" fillId="0" borderId="0" xfId="3" applyNumberFormat="1" applyFont="1"/>
    <xf numFmtId="0" fontId="63" fillId="0" borderId="22" xfId="196" applyFont="1" applyBorder="1" applyAlignment="1">
      <alignment horizontal="left"/>
    </xf>
    <xf numFmtId="10" fontId="63" fillId="0" borderId="25" xfId="196" applyNumberFormat="1" applyFont="1" applyBorder="1" applyAlignment="1">
      <alignment horizontal="right" vertical="center"/>
    </xf>
    <xf numFmtId="10" fontId="63" fillId="0" borderId="0" xfId="3" applyNumberFormat="1" applyFont="1" applyAlignment="1">
      <alignment horizontal="right"/>
    </xf>
    <xf numFmtId="172" fontId="63" fillId="0" borderId="18" xfId="1" applyNumberFormat="1" applyFont="1" applyBorder="1"/>
    <xf numFmtId="3" fontId="7" fillId="0" borderId="74" xfId="2" applyNumberFormat="1" applyFont="1" applyBorder="1" applyAlignment="1">
      <alignment horizontal="center"/>
    </xf>
    <xf numFmtId="3" fontId="7" fillId="0" borderId="67" xfId="3" applyNumberFormat="1" applyFont="1" applyBorder="1" applyAlignment="1">
      <alignment horizontal="center"/>
    </xf>
    <xf numFmtId="10" fontId="7" fillId="0" borderId="0" xfId="3" applyNumberFormat="1" applyFont="1" applyAlignment="1">
      <alignment horizontal="center"/>
    </xf>
    <xf numFmtId="5" fontId="56" fillId="0" borderId="0" xfId="79" applyNumberFormat="1" applyFont="1"/>
    <xf numFmtId="0" fontId="61" fillId="0" borderId="0" xfId="196" applyFont="1"/>
    <xf numFmtId="0" fontId="61" fillId="0" borderId="0" xfId="196" applyFont="1" applyAlignment="1">
      <alignment horizontal="center"/>
    </xf>
    <xf numFmtId="0" fontId="61" fillId="0" borderId="0" xfId="196" applyFont="1" applyAlignment="1">
      <alignment horizontal="right"/>
    </xf>
    <xf numFmtId="0" fontId="67" fillId="0" borderId="0" xfId="210" applyFont="1" applyAlignment="1">
      <alignment horizontal="center"/>
    </xf>
    <xf numFmtId="0" fontId="61" fillId="0" borderId="0" xfId="196" applyFont="1" applyAlignment="1">
      <alignment horizontal="left" vertical="center"/>
    </xf>
    <xf numFmtId="0" fontId="67" fillId="0" borderId="16" xfId="210" applyFont="1" applyBorder="1" applyAlignment="1">
      <alignment vertical="center"/>
    </xf>
    <xf numFmtId="3" fontId="67" fillId="0" borderId="18" xfId="196" applyNumberFormat="1" applyFont="1" applyBorder="1" applyAlignment="1">
      <alignment vertical="center"/>
    </xf>
    <xf numFmtId="0" fontId="61" fillId="0" borderId="0" xfId="196" applyFont="1" applyAlignment="1">
      <alignment vertical="center"/>
    </xf>
    <xf numFmtId="0" fontId="61" fillId="0" borderId="0" xfId="196" applyFont="1" applyAlignment="1">
      <alignment horizontal="left"/>
    </xf>
    <xf numFmtId="0" fontId="67" fillId="0" borderId="16" xfId="196" applyFont="1" applyBorder="1"/>
    <xf numFmtId="0" fontId="68" fillId="0" borderId="18" xfId="196" applyFont="1" applyBorder="1"/>
    <xf numFmtId="0" fontId="67" fillId="0" borderId="23" xfId="196" applyFont="1" applyBorder="1" applyAlignment="1">
      <alignment horizontal="left"/>
    </xf>
    <xf numFmtId="0" fontId="67" fillId="0" borderId="23" xfId="196" applyFont="1" applyBorder="1" applyAlignment="1">
      <alignment horizontal="center"/>
    </xf>
    <xf numFmtId="0" fontId="67" fillId="0" borderId="25" xfId="196" applyFont="1" applyBorder="1" applyAlignment="1">
      <alignment horizontal="right"/>
    </xf>
    <xf numFmtId="0" fontId="67" fillId="0" borderId="22" xfId="196" applyFont="1" applyBorder="1"/>
    <xf numFmtId="0" fontId="61" fillId="0" borderId="0" xfId="196" applyFont="1" applyAlignment="1">
      <alignment horizontal="left" wrapText="1"/>
    </xf>
    <xf numFmtId="166" fontId="68" fillId="0" borderId="18" xfId="196" applyNumberFormat="1" applyFont="1" applyBorder="1"/>
    <xf numFmtId="10" fontId="61" fillId="0" borderId="23" xfId="196" applyNumberFormat="1" applyFont="1" applyBorder="1" applyAlignment="1">
      <alignment horizontal="center"/>
    </xf>
    <xf numFmtId="0" fontId="67" fillId="0" borderId="12" xfId="196" applyFont="1" applyBorder="1"/>
    <xf numFmtId="0" fontId="68" fillId="0" borderId="13" xfId="196" applyFont="1" applyBorder="1"/>
    <xf numFmtId="165" fontId="68" fillId="0" borderId="13" xfId="114" applyNumberFormat="1" applyFont="1" applyBorder="1" applyAlignment="1">
      <alignment horizontal="center"/>
    </xf>
    <xf numFmtId="9" fontId="61" fillId="0" borderId="0" xfId="196" applyNumberFormat="1" applyFont="1"/>
    <xf numFmtId="165" fontId="63" fillId="0" borderId="0" xfId="114" applyNumberFormat="1" applyFont="1" applyFill="1" applyBorder="1" applyAlignment="1">
      <alignment horizontal="center"/>
    </xf>
    <xf numFmtId="165" fontId="61" fillId="0" borderId="0" xfId="196" applyNumberFormat="1" applyFont="1"/>
    <xf numFmtId="10" fontId="61" fillId="0" borderId="0" xfId="258" applyNumberFormat="1" applyFont="1"/>
    <xf numFmtId="167" fontId="62" fillId="6" borderId="0" xfId="0" applyNumberFormat="1" applyFont="1" applyFill="1"/>
    <xf numFmtId="0" fontId="63" fillId="6" borderId="0" xfId="0" applyFont="1" applyFill="1"/>
    <xf numFmtId="0" fontId="69" fillId="6" borderId="0" xfId="0" applyFont="1" applyFill="1"/>
    <xf numFmtId="167" fontId="62" fillId="6" borderId="0" xfId="0" applyNumberFormat="1" applyFont="1" applyFill="1" applyAlignment="1">
      <alignment horizontal="center"/>
    </xf>
    <xf numFmtId="1" fontId="62" fillId="6" borderId="0" xfId="0" applyNumberFormat="1" applyFont="1" applyFill="1"/>
    <xf numFmtId="167" fontId="62" fillId="0" borderId="0" xfId="0" applyNumberFormat="1" applyFont="1"/>
    <xf numFmtId="167" fontId="63" fillId="6" borderId="0" xfId="0" applyNumberFormat="1" applyFont="1" applyFill="1"/>
    <xf numFmtId="0" fontId="62" fillId="6" borderId="0" xfId="0" applyFont="1" applyFill="1" applyAlignment="1">
      <alignment horizontal="right"/>
    </xf>
    <xf numFmtId="0" fontId="70" fillId="6" borderId="0" xfId="0" applyFont="1" applyFill="1"/>
    <xf numFmtId="167" fontId="62" fillId="6" borderId="0" xfId="0" applyNumberFormat="1" applyFont="1" applyFill="1" applyAlignment="1">
      <alignment horizontal="right"/>
    </xf>
    <xf numFmtId="1" fontId="70" fillId="6" borderId="0" xfId="0" applyNumberFormat="1" applyFont="1" applyFill="1"/>
    <xf numFmtId="3" fontId="62" fillId="0" borderId="0" xfId="0" applyNumberFormat="1" applyFont="1"/>
    <xf numFmtId="0" fontId="62" fillId="6" borderId="0" xfId="0" applyFont="1" applyFill="1"/>
    <xf numFmtId="3" fontId="62" fillId="6" borderId="0" xfId="0" applyNumberFormat="1" applyFont="1" applyFill="1"/>
    <xf numFmtId="167" fontId="62" fillId="0" borderId="0" xfId="0" applyNumberFormat="1" applyFont="1" applyAlignment="1">
      <alignment horizontal="right"/>
    </xf>
    <xf numFmtId="3" fontId="63" fillId="6" borderId="0" xfId="0" applyNumberFormat="1" applyFont="1" applyFill="1"/>
    <xf numFmtId="171" fontId="63" fillId="6" borderId="0" xfId="0" applyNumberFormat="1" applyFont="1" applyFill="1"/>
    <xf numFmtId="0" fontId="63" fillId="6" borderId="0" xfId="0" applyFont="1" applyFill="1" applyAlignment="1">
      <alignment horizontal="center"/>
    </xf>
    <xf numFmtId="0" fontId="63" fillId="0" borderId="0" xfId="0" applyFont="1" applyAlignment="1">
      <alignment horizontal="center"/>
    </xf>
    <xf numFmtId="0" fontId="63" fillId="6" borderId="0" xfId="0" applyFont="1" applyFill="1" applyAlignment="1">
      <alignment horizontal="right"/>
    </xf>
    <xf numFmtId="44" fontId="63" fillId="6" borderId="0" xfId="2" applyFont="1" applyFill="1" applyBorder="1" applyAlignment="1">
      <alignment horizontal="center" wrapText="1"/>
    </xf>
    <xf numFmtId="39" fontId="63" fillId="6" borderId="0" xfId="2" applyNumberFormat="1" applyFont="1" applyFill="1" applyBorder="1" applyAlignment="1">
      <alignment horizontal="right" wrapText="1"/>
    </xf>
    <xf numFmtId="44" fontId="63" fillId="6" borderId="0" xfId="0" applyNumberFormat="1" applyFont="1" applyFill="1"/>
    <xf numFmtId="0" fontId="63" fillId="6" borderId="16" xfId="8" applyFont="1" applyFill="1" applyBorder="1" applyAlignment="1">
      <alignment horizontal="left" wrapText="1"/>
    </xf>
    <xf numFmtId="44" fontId="63" fillId="6" borderId="18" xfId="2" applyFont="1" applyFill="1" applyBorder="1" applyAlignment="1">
      <alignment horizontal="center" wrapText="1"/>
    </xf>
    <xf numFmtId="10" fontId="63" fillId="6" borderId="0" xfId="3" applyNumberFormat="1" applyFont="1" applyFill="1"/>
    <xf numFmtId="44" fontId="71" fillId="6" borderId="0" xfId="0" applyNumberFormat="1" applyFont="1" applyFill="1"/>
    <xf numFmtId="0" fontId="63" fillId="6" borderId="12" xfId="8" applyFont="1" applyFill="1" applyBorder="1" applyAlignment="1">
      <alignment horizontal="left" wrapText="1"/>
    </xf>
    <xf numFmtId="44" fontId="63" fillId="6" borderId="14" xfId="2" applyFont="1" applyFill="1" applyBorder="1" applyAlignment="1">
      <alignment horizontal="center" wrapText="1"/>
    </xf>
    <xf numFmtId="0" fontId="63" fillId="6" borderId="26" xfId="0" applyFont="1" applyFill="1" applyBorder="1" applyAlignment="1">
      <alignment horizontal="right"/>
    </xf>
    <xf numFmtId="0" fontId="63" fillId="6" borderId="26" xfId="0" applyFont="1" applyFill="1" applyBorder="1"/>
    <xf numFmtId="44" fontId="63" fillId="0" borderId="26" xfId="0" applyNumberFormat="1" applyFont="1" applyBorder="1"/>
    <xf numFmtId="44" fontId="63" fillId="6" borderId="26" xfId="0" applyNumberFormat="1" applyFont="1" applyFill="1" applyBorder="1"/>
    <xf numFmtId="44" fontId="62" fillId="0" borderId="0" xfId="2" applyFont="1" applyFill="1" applyBorder="1"/>
    <xf numFmtId="3" fontId="62" fillId="6" borderId="0" xfId="0" applyNumberFormat="1" applyFont="1" applyFill="1" applyAlignment="1">
      <alignment horizontal="center"/>
    </xf>
    <xf numFmtId="0" fontId="62" fillId="6" borderId="0" xfId="0" applyFont="1" applyFill="1" applyAlignment="1">
      <alignment horizontal="center"/>
    </xf>
    <xf numFmtId="44" fontId="62" fillId="6" borderId="0" xfId="2" applyFont="1" applyFill="1" applyBorder="1"/>
    <xf numFmtId="10" fontId="62" fillId="6" borderId="0" xfId="0" quotePrefix="1" applyNumberFormat="1" applyFont="1" applyFill="1"/>
    <xf numFmtId="44" fontId="62" fillId="6" borderId="0" xfId="2" applyFont="1" applyFill="1"/>
    <xf numFmtId="9" fontId="63" fillId="6" borderId="0" xfId="3" quotePrefix="1" applyFont="1" applyFill="1" applyBorder="1"/>
    <xf numFmtId="44" fontId="72" fillId="6" borderId="0" xfId="2" applyFont="1" applyFill="1" applyBorder="1"/>
    <xf numFmtId="0" fontId="56" fillId="6" borderId="0" xfId="0" applyFont="1" applyFill="1"/>
    <xf numFmtId="9" fontId="62" fillId="0" borderId="0" xfId="3" quotePrefix="1" applyFont="1" applyFill="1" applyBorder="1"/>
    <xf numFmtId="44" fontId="63" fillId="0" borderId="0" xfId="2" applyFont="1" applyFill="1" applyBorder="1"/>
    <xf numFmtId="0" fontId="62" fillId="4" borderId="20" xfId="0" applyFont="1" applyFill="1" applyBorder="1"/>
    <xf numFmtId="0" fontId="62" fillId="0" borderId="9" xfId="0" applyFont="1" applyBorder="1"/>
    <xf numFmtId="172" fontId="62" fillId="0" borderId="9" xfId="1" applyNumberFormat="1" applyFont="1" applyBorder="1" applyAlignment="1">
      <alignment horizontal="right" vertical="center"/>
    </xf>
    <xf numFmtId="1" fontId="62" fillId="0" borderId="9" xfId="0" applyNumberFormat="1" applyFont="1" applyBorder="1"/>
    <xf numFmtId="167" fontId="62" fillId="0" borderId="10" xfId="0" applyNumberFormat="1" applyFont="1" applyBorder="1"/>
    <xf numFmtId="167" fontId="63" fillId="0" borderId="0" xfId="0" applyNumberFormat="1" applyFont="1"/>
    <xf numFmtId="0" fontId="62" fillId="0" borderId="0" xfId="0" applyFont="1" applyAlignment="1">
      <alignment horizontal="center"/>
    </xf>
    <xf numFmtId="0" fontId="63" fillId="0" borderId="16" xfId="0" applyFont="1" applyBorder="1"/>
    <xf numFmtId="0" fontId="62" fillId="0" borderId="0" xfId="0" applyFont="1"/>
    <xf numFmtId="172" fontId="62" fillId="0" borderId="0" xfId="1" applyNumberFormat="1" applyFont="1" applyBorder="1" applyAlignment="1">
      <alignment horizontal="right" vertical="center"/>
    </xf>
    <xf numFmtId="1" fontId="70" fillId="0" borderId="0" xfId="0" applyNumberFormat="1" applyFont="1"/>
    <xf numFmtId="3" fontId="63" fillId="0" borderId="0" xfId="0" applyNumberFormat="1" applyFont="1"/>
    <xf numFmtId="0" fontId="62" fillId="0" borderId="0" xfId="0" applyFont="1" applyAlignment="1">
      <alignment horizontal="right"/>
    </xf>
    <xf numFmtId="168" fontId="62" fillId="0" borderId="0" xfId="0" applyNumberFormat="1" applyFont="1" applyAlignment="1">
      <alignment horizontal="right" vertical="center"/>
    </xf>
    <xf numFmtId="1" fontId="63" fillId="0" borderId="0" xfId="0" applyNumberFormat="1" applyFont="1"/>
    <xf numFmtId="0" fontId="62" fillId="0" borderId="32" xfId="0" applyFont="1" applyBorder="1" applyAlignment="1">
      <alignment horizontal="center"/>
    </xf>
    <xf numFmtId="0" fontId="62" fillId="0" borderId="40" xfId="0" applyFont="1" applyBorder="1" applyAlignment="1">
      <alignment horizontal="center"/>
    </xf>
    <xf numFmtId="0" fontId="62" fillId="0" borderId="30" xfId="0" applyFont="1" applyBorder="1" applyAlignment="1">
      <alignment horizontal="center"/>
    </xf>
    <xf numFmtId="0" fontId="62" fillId="0" borderId="16" xfId="0" applyFont="1" applyBorder="1"/>
    <xf numFmtId="0" fontId="62" fillId="0" borderId="18" xfId="0" applyFont="1" applyBorder="1" applyAlignment="1">
      <alignment horizontal="center"/>
    </xf>
    <xf numFmtId="0" fontId="63" fillId="0" borderId="34" xfId="0" applyFont="1" applyBorder="1" applyAlignment="1">
      <alignment horizontal="center"/>
    </xf>
    <xf numFmtId="0" fontId="63" fillId="0" borderId="41" xfId="0" applyFont="1" applyBorder="1" applyAlignment="1">
      <alignment horizontal="center"/>
    </xf>
    <xf numFmtId="8" fontId="63" fillId="0" borderId="35" xfId="0" applyNumberFormat="1" applyFont="1" applyBorder="1" applyAlignment="1">
      <alignment horizontal="center"/>
    </xf>
    <xf numFmtId="8" fontId="63" fillId="0" borderId="0" xfId="0" applyNumberFormat="1" applyFont="1" applyAlignment="1">
      <alignment horizontal="center"/>
    </xf>
    <xf numFmtId="0" fontId="62" fillId="0" borderId="16" xfId="0" applyFont="1" applyBorder="1" applyAlignment="1">
      <alignment horizontal="right"/>
    </xf>
    <xf numFmtId="173" fontId="63" fillId="0" borderId="0" xfId="2" applyNumberFormat="1" applyFont="1" applyFill="1" applyBorder="1" applyAlignment="1">
      <alignment horizontal="center" wrapText="1"/>
    </xf>
    <xf numFmtId="169" fontId="63" fillId="0" borderId="0" xfId="2" applyNumberFormat="1" applyFont="1" applyFill="1" applyBorder="1" applyAlignment="1">
      <alignment horizontal="center" wrapText="1"/>
    </xf>
    <xf numFmtId="166" fontId="63" fillId="0" borderId="18" xfId="0" applyNumberFormat="1" applyFont="1" applyBorder="1"/>
    <xf numFmtId="0" fontId="63" fillId="0" borderId="42" xfId="0" applyFont="1" applyBorder="1" applyAlignment="1">
      <alignment horizontal="center"/>
    </xf>
    <xf numFmtId="0" fontId="63" fillId="0" borderId="29" xfId="0" applyFont="1" applyBorder="1" applyAlignment="1">
      <alignment horizontal="center"/>
    </xf>
    <xf numFmtId="8" fontId="63" fillId="0" borderId="43" xfId="0" applyNumberFormat="1" applyFont="1" applyBorder="1" applyAlignment="1">
      <alignment horizontal="center"/>
    </xf>
    <xf numFmtId="10" fontId="63" fillId="0" borderId="0" xfId="3" applyNumberFormat="1" applyFont="1" applyBorder="1"/>
    <xf numFmtId="0" fontId="63" fillId="0" borderId="36" xfId="0" applyFont="1" applyBorder="1" applyAlignment="1">
      <alignment horizontal="center"/>
    </xf>
    <xf numFmtId="0" fontId="63" fillId="0" borderId="44" xfId="0" applyFont="1" applyBorder="1" applyAlignment="1">
      <alignment horizontal="center"/>
    </xf>
    <xf numFmtId="8" fontId="63" fillId="0" borderId="37" xfId="0" applyNumberFormat="1" applyFont="1" applyBorder="1" applyAlignment="1">
      <alignment horizontal="center"/>
    </xf>
    <xf numFmtId="0" fontId="63" fillId="0" borderId="0" xfId="0" applyFont="1" applyAlignment="1">
      <alignment horizontal="right"/>
    </xf>
    <xf numFmtId="0" fontId="62" fillId="0" borderId="65" xfId="0" applyFont="1" applyBorder="1" applyAlignment="1">
      <alignment horizontal="right"/>
    </xf>
    <xf numFmtId="0" fontId="63" fillId="0" borderId="26" xfId="0" applyFont="1" applyBorder="1"/>
    <xf numFmtId="166" fontId="63" fillId="0" borderId="27" xfId="0" applyNumberFormat="1" applyFont="1" applyBorder="1"/>
    <xf numFmtId="0" fontId="62" fillId="0" borderId="12" xfId="0" applyFont="1" applyBorder="1" applyAlignment="1">
      <alignment horizontal="right"/>
    </xf>
    <xf numFmtId="10" fontId="63" fillId="0" borderId="13" xfId="0" quotePrefix="1" applyNumberFormat="1" applyFont="1" applyBorder="1"/>
    <xf numFmtId="167" fontId="62" fillId="0" borderId="13" xfId="0" applyNumberFormat="1" applyFont="1" applyBorder="1" applyAlignment="1">
      <alignment horizontal="right"/>
    </xf>
    <xf numFmtId="9" fontId="73" fillId="0" borderId="13" xfId="3" applyFont="1" applyBorder="1" applyAlignment="1">
      <alignment horizontal="right"/>
    </xf>
    <xf numFmtId="165" fontId="62" fillId="0" borderId="14" xfId="0" applyNumberFormat="1" applyFont="1" applyBorder="1"/>
    <xf numFmtId="9" fontId="63" fillId="0" borderId="0" xfId="3" quotePrefix="1" applyFont="1" applyFill="1" applyBorder="1"/>
    <xf numFmtId="16" fontId="62" fillId="0" borderId="0" xfId="0" quotePrefix="1" applyNumberFormat="1" applyFont="1"/>
    <xf numFmtId="165" fontId="63" fillId="0" borderId="0" xfId="2" applyNumberFormat="1" applyFont="1" applyFill="1" applyBorder="1"/>
    <xf numFmtId="0" fontId="69" fillId="0" borderId="0" xfId="0" applyFont="1"/>
    <xf numFmtId="167" fontId="63" fillId="0" borderId="0" xfId="0" applyNumberFormat="1" applyFont="1" applyAlignment="1">
      <alignment horizontal="right"/>
    </xf>
    <xf numFmtId="1" fontId="69" fillId="0" borderId="0" xfId="0" applyNumberFormat="1" applyFont="1"/>
    <xf numFmtId="165" fontId="63" fillId="0" borderId="0" xfId="0" applyNumberFormat="1" applyFont="1"/>
    <xf numFmtId="0" fontId="62" fillId="6" borderId="0" xfId="0" applyFont="1" applyFill="1" applyAlignment="1">
      <alignment horizontal="left"/>
    </xf>
    <xf numFmtId="1" fontId="69" fillId="6" borderId="0" xfId="0" applyNumberFormat="1" applyFont="1" applyFill="1"/>
    <xf numFmtId="165" fontId="62" fillId="0" borderId="0" xfId="0" applyNumberFormat="1" applyFont="1"/>
    <xf numFmtId="44" fontId="63" fillId="6" borderId="0" xfId="2" applyFont="1" applyFill="1" applyBorder="1"/>
    <xf numFmtId="165" fontId="62" fillId="0" borderId="10" xfId="0" applyNumberFormat="1" applyFont="1" applyBorder="1"/>
    <xf numFmtId="165" fontId="63" fillId="0" borderId="18" xfId="0" applyNumberFormat="1" applyFont="1" applyBorder="1"/>
    <xf numFmtId="165" fontId="62" fillId="0" borderId="18" xfId="0" applyNumberFormat="1" applyFont="1" applyBorder="1"/>
    <xf numFmtId="169" fontId="63" fillId="0" borderId="0" xfId="2" applyNumberFormat="1" applyFont="1" applyFill="1" applyBorder="1" applyAlignment="1">
      <alignment horizontal="right" wrapText="1"/>
    </xf>
    <xf numFmtId="167" fontId="62" fillId="0" borderId="0" xfId="0" applyNumberFormat="1" applyFont="1" applyAlignment="1">
      <alignment horizontal="center"/>
    </xf>
    <xf numFmtId="1" fontId="62" fillId="0" borderId="0" xfId="0" applyNumberFormat="1" applyFont="1"/>
    <xf numFmtId="0" fontId="63" fillId="0" borderId="9" xfId="0" applyFont="1" applyBorder="1"/>
    <xf numFmtId="165" fontId="63" fillId="0" borderId="10" xfId="0" applyNumberFormat="1" applyFont="1" applyBorder="1"/>
    <xf numFmtId="0" fontId="62" fillId="0" borderId="7" xfId="0" applyFont="1" applyBorder="1"/>
    <xf numFmtId="0" fontId="62" fillId="0" borderId="9" xfId="0" applyFont="1" applyBorder="1" applyAlignment="1">
      <alignment horizontal="center"/>
    </xf>
    <xf numFmtId="167" fontId="62" fillId="0" borderId="10" xfId="0" applyNumberFormat="1" applyFont="1" applyBorder="1" applyAlignment="1">
      <alignment horizontal="center"/>
    </xf>
    <xf numFmtId="0" fontId="62" fillId="0" borderId="32" xfId="0" applyFont="1" applyBorder="1" applyAlignment="1">
      <alignment horizontal="left"/>
    </xf>
    <xf numFmtId="167" fontId="62" fillId="0" borderId="40" xfId="0" applyNumberFormat="1" applyFont="1" applyBorder="1" applyAlignment="1">
      <alignment horizontal="right"/>
    </xf>
    <xf numFmtId="1" fontId="62" fillId="0" borderId="40" xfId="0" applyNumberFormat="1" applyFont="1" applyBorder="1"/>
    <xf numFmtId="3" fontId="62" fillId="0" borderId="30" xfId="0" applyNumberFormat="1" applyFont="1" applyBorder="1"/>
    <xf numFmtId="0" fontId="62" fillId="0" borderId="16" xfId="0" applyFont="1" applyBorder="1" applyAlignment="1">
      <alignment horizontal="left"/>
    </xf>
    <xf numFmtId="3" fontId="62" fillId="0" borderId="18" xfId="0" applyNumberFormat="1" applyFont="1" applyBorder="1"/>
    <xf numFmtId="167" fontId="63" fillId="0" borderId="16" xfId="0" applyNumberFormat="1" applyFont="1" applyBorder="1"/>
    <xf numFmtId="167" fontId="63" fillId="0" borderId="18" xfId="0" applyNumberFormat="1" applyFont="1" applyBorder="1"/>
    <xf numFmtId="0" fontId="63" fillId="0" borderId="18" xfId="0" applyFont="1" applyBorder="1" applyAlignment="1">
      <alignment horizontal="center"/>
    </xf>
    <xf numFmtId="168" fontId="63" fillId="0" borderId="0" xfId="0" applyNumberFormat="1" applyFont="1"/>
    <xf numFmtId="0" fontId="62" fillId="0" borderId="0" xfId="0" applyFont="1" applyAlignment="1">
      <alignment horizontal="center" wrapText="1"/>
    </xf>
    <xf numFmtId="1" fontId="62" fillId="0" borderId="0" xfId="0" applyNumberFormat="1" applyFont="1" applyAlignment="1">
      <alignment horizontal="center"/>
    </xf>
    <xf numFmtId="167" fontId="62" fillId="0" borderId="18" xfId="0" applyNumberFormat="1" applyFont="1" applyBorder="1" applyAlignment="1">
      <alignment horizontal="center"/>
    </xf>
    <xf numFmtId="0" fontId="56" fillId="0" borderId="0" xfId="0" applyFont="1" applyAlignment="1">
      <alignment horizontal="center"/>
    </xf>
    <xf numFmtId="169" fontId="63" fillId="0" borderId="0" xfId="2" quotePrefix="1" applyNumberFormat="1" applyFont="1" applyFill="1" applyBorder="1"/>
    <xf numFmtId="168" fontId="63" fillId="0" borderId="16" xfId="0" applyNumberFormat="1" applyFont="1" applyBorder="1"/>
    <xf numFmtId="0" fontId="63" fillId="0" borderId="22" xfId="0" applyFont="1" applyBorder="1"/>
    <xf numFmtId="0" fontId="63" fillId="0" borderId="23" xfId="0" applyFont="1" applyBorder="1" applyAlignment="1">
      <alignment horizontal="center"/>
    </xf>
    <xf numFmtId="0" fontId="63" fillId="0" borderId="25" xfId="0" applyFont="1" applyBorder="1" applyAlignment="1">
      <alignment horizontal="center"/>
    </xf>
    <xf numFmtId="168" fontId="63" fillId="0" borderId="16" xfId="0" applyNumberFormat="1" applyFont="1" applyBorder="1" applyAlignment="1">
      <alignment horizontal="left"/>
    </xf>
    <xf numFmtId="2" fontId="63" fillId="0" borderId="0" xfId="0" applyNumberFormat="1" applyFont="1" applyAlignment="1">
      <alignment horizontal="right"/>
    </xf>
    <xf numFmtId="0" fontId="63" fillId="0" borderId="12" xfId="0" applyFont="1" applyBorder="1" applyAlignment="1">
      <alignment horizontal="center"/>
    </xf>
    <xf numFmtId="0" fontId="63" fillId="0" borderId="13" xfId="0" applyFont="1" applyBorder="1" applyAlignment="1">
      <alignment horizontal="center"/>
    </xf>
    <xf numFmtId="170" fontId="63" fillId="0" borderId="14" xfId="3" applyNumberFormat="1" applyFont="1" applyFill="1" applyBorder="1" applyAlignment="1">
      <alignment horizontal="center"/>
    </xf>
    <xf numFmtId="171" fontId="63" fillId="0" borderId="0" xfId="0" applyNumberFormat="1" applyFont="1"/>
    <xf numFmtId="167" fontId="63" fillId="0" borderId="32" xfId="0" applyNumberFormat="1" applyFont="1" applyBorder="1"/>
    <xf numFmtId="167" fontId="63" fillId="0" borderId="40" xfId="0" applyNumberFormat="1" applyFont="1" applyBorder="1"/>
    <xf numFmtId="0" fontId="62" fillId="0" borderId="40" xfId="0" applyFont="1" applyBorder="1"/>
    <xf numFmtId="0" fontId="62" fillId="0" borderId="0" xfId="0" quotePrefix="1" applyFont="1" applyAlignment="1">
      <alignment horizontal="center"/>
    </xf>
    <xf numFmtId="1" fontId="62" fillId="0" borderId="18" xfId="0" applyNumberFormat="1" applyFont="1" applyBorder="1" applyAlignment="1">
      <alignment horizontal="center"/>
    </xf>
    <xf numFmtId="167" fontId="62" fillId="0" borderId="24" xfId="0" applyNumberFormat="1" applyFont="1" applyBorder="1"/>
    <xf numFmtId="2" fontId="62" fillId="0" borderId="24" xfId="0" applyNumberFormat="1" applyFont="1" applyBorder="1"/>
    <xf numFmtId="167" fontId="62" fillId="0" borderId="71" xfId="0" applyNumberFormat="1" applyFont="1" applyBorder="1"/>
    <xf numFmtId="167" fontId="62" fillId="0" borderId="16" xfId="0" applyNumberFormat="1" applyFont="1" applyBorder="1"/>
    <xf numFmtId="2" fontId="63" fillId="0" borderId="0" xfId="0" applyNumberFormat="1" applyFont="1" applyAlignment="1">
      <alignment horizontal="center"/>
    </xf>
    <xf numFmtId="2" fontId="63" fillId="0" borderId="18" xfId="0" applyNumberFormat="1" applyFont="1" applyBorder="1" applyAlignment="1">
      <alignment horizontal="center"/>
    </xf>
    <xf numFmtId="167" fontId="62" fillId="0" borderId="18" xfId="0" applyNumberFormat="1" applyFont="1" applyBorder="1"/>
    <xf numFmtId="0" fontId="63" fillId="0" borderId="32" xfId="0" applyFont="1" applyBorder="1"/>
    <xf numFmtId="2" fontId="62" fillId="0" borderId="40" xfId="0" applyNumberFormat="1" applyFont="1" applyBorder="1" applyAlignment="1">
      <alignment horizontal="center"/>
    </xf>
    <xf numFmtId="2" fontId="62" fillId="0" borderId="30" xfId="0" applyNumberFormat="1" applyFont="1" applyBorder="1" applyAlignment="1">
      <alignment horizontal="center"/>
    </xf>
    <xf numFmtId="167" fontId="62" fillId="0" borderId="22" xfId="0" applyNumberFormat="1" applyFont="1" applyBorder="1"/>
    <xf numFmtId="167" fontId="63" fillId="0" borderId="23" xfId="0" applyNumberFormat="1" applyFont="1" applyBorder="1"/>
    <xf numFmtId="2" fontId="63" fillId="0" borderId="23" xfId="0" applyNumberFormat="1" applyFont="1" applyBorder="1" applyAlignment="1">
      <alignment horizontal="center"/>
    </xf>
    <xf numFmtId="2" fontId="63" fillId="0" borderId="25" xfId="0" applyNumberFormat="1" applyFont="1" applyBorder="1" applyAlignment="1">
      <alignment horizontal="center"/>
    </xf>
    <xf numFmtId="2" fontId="62" fillId="0" borderId="18" xfId="0" applyNumberFormat="1" applyFont="1" applyBorder="1" applyAlignment="1">
      <alignment horizontal="center"/>
    </xf>
    <xf numFmtId="4" fontId="63" fillId="0" borderId="18" xfId="0" applyNumberFormat="1" applyFont="1" applyBorder="1" applyAlignment="1">
      <alignment horizontal="center"/>
    </xf>
    <xf numFmtId="10" fontId="63" fillId="0" borderId="0" xfId="0" applyNumberFormat="1" applyFont="1"/>
    <xf numFmtId="167" fontId="62" fillId="0" borderId="40" xfId="0" applyNumberFormat="1" applyFont="1" applyBorder="1" applyAlignment="1">
      <alignment horizontal="center"/>
    </xf>
    <xf numFmtId="0" fontId="62" fillId="0" borderId="72" xfId="0" applyFont="1" applyBorder="1"/>
    <xf numFmtId="0" fontId="62" fillId="0" borderId="28" xfId="0" applyFont="1" applyBorder="1"/>
    <xf numFmtId="167" fontId="62" fillId="0" borderId="28" xfId="0" applyNumberFormat="1" applyFont="1" applyBorder="1"/>
    <xf numFmtId="2" fontId="62" fillId="0" borderId="28" xfId="0" applyNumberFormat="1" applyFont="1" applyBorder="1"/>
    <xf numFmtId="167" fontId="62" fillId="0" borderId="73" xfId="0" applyNumberFormat="1" applyFont="1" applyBorder="1"/>
    <xf numFmtId="2" fontId="62" fillId="0" borderId="0" xfId="0" applyNumberFormat="1" applyFont="1"/>
    <xf numFmtId="168" fontId="62" fillId="0" borderId="22" xfId="0" applyNumberFormat="1" applyFont="1" applyBorder="1"/>
    <xf numFmtId="171" fontId="63" fillId="0" borderId="16" xfId="0" applyNumberFormat="1" applyFont="1" applyBorder="1"/>
    <xf numFmtId="10" fontId="56" fillId="0" borderId="0" xfId="3" applyNumberFormat="1" applyFont="1"/>
    <xf numFmtId="10" fontId="62" fillId="0" borderId="0" xfId="3" applyNumberFormat="1" applyFont="1"/>
    <xf numFmtId="0" fontId="62" fillId="0" borderId="18" xfId="0" applyFont="1" applyBorder="1"/>
    <xf numFmtId="171" fontId="63" fillId="0" borderId="7" xfId="0" applyNumberFormat="1" applyFont="1" applyBorder="1"/>
    <xf numFmtId="9" fontId="63" fillId="0" borderId="9" xfId="0" applyNumberFormat="1" applyFont="1" applyBorder="1"/>
    <xf numFmtId="167" fontId="63" fillId="0" borderId="9" xfId="0" applyNumberFormat="1" applyFont="1" applyBorder="1"/>
    <xf numFmtId="171" fontId="63" fillId="0" borderId="10" xfId="0" applyNumberFormat="1" applyFont="1" applyBorder="1"/>
    <xf numFmtId="171" fontId="62" fillId="0" borderId="0" xfId="0" applyNumberFormat="1" applyFont="1"/>
    <xf numFmtId="9" fontId="63" fillId="0" borderId="0" xfId="0" applyNumberFormat="1" applyFont="1"/>
    <xf numFmtId="44" fontId="63" fillId="0" borderId="0" xfId="2" applyFont="1" applyFill="1" applyBorder="1" applyAlignment="1">
      <alignment horizontal="center"/>
    </xf>
    <xf numFmtId="0" fontId="63" fillId="0" borderId="23" xfId="0" applyFont="1" applyBorder="1"/>
    <xf numFmtId="10" fontId="63" fillId="0" borderId="23" xfId="3" applyNumberFormat="1" applyFont="1" applyBorder="1" applyAlignment="1">
      <alignment horizontal="center"/>
    </xf>
    <xf numFmtId="0" fontId="63" fillId="0" borderId="25" xfId="0" applyFont="1" applyBorder="1"/>
    <xf numFmtId="0" fontId="63" fillId="0" borderId="12" xfId="0" applyFont="1" applyBorder="1"/>
    <xf numFmtId="10" fontId="62" fillId="0" borderId="13" xfId="0" applyNumberFormat="1" applyFont="1" applyBorder="1"/>
    <xf numFmtId="0" fontId="56" fillId="0" borderId="13" xfId="0" applyFont="1" applyBorder="1"/>
    <xf numFmtId="0" fontId="56" fillId="0" borderId="14" xfId="0" applyFont="1" applyBorder="1"/>
    <xf numFmtId="171" fontId="63" fillId="0" borderId="12" xfId="0" applyNumberFormat="1" applyFont="1" applyBorder="1"/>
    <xf numFmtId="9" fontId="63" fillId="0" borderId="13" xfId="0" applyNumberFormat="1" applyFont="1" applyBorder="1"/>
    <xf numFmtId="167" fontId="63" fillId="0" borderId="13" xfId="0" applyNumberFormat="1" applyFont="1" applyBorder="1"/>
    <xf numFmtId="171" fontId="63" fillId="0" borderId="30" xfId="0" applyNumberFormat="1" applyFont="1" applyBorder="1"/>
    <xf numFmtId="0" fontId="62" fillId="0" borderId="32" xfId="0" applyFont="1" applyBorder="1" applyAlignment="1">
      <alignment horizontal="right"/>
    </xf>
    <xf numFmtId="0" fontId="62" fillId="0" borderId="16" xfId="0" applyFont="1" applyBorder="1" applyAlignment="1">
      <alignment horizontal="center"/>
    </xf>
    <xf numFmtId="167" fontId="63" fillId="0" borderId="12" xfId="0" applyNumberFormat="1" applyFont="1" applyBorder="1"/>
    <xf numFmtId="167" fontId="63" fillId="0" borderId="13" xfId="0" applyNumberFormat="1" applyFont="1" applyBorder="1" applyAlignment="1">
      <alignment horizontal="center"/>
    </xf>
    <xf numFmtId="167" fontId="63" fillId="0" borderId="14" xfId="0" applyNumberFormat="1" applyFont="1" applyBorder="1"/>
    <xf numFmtId="1" fontId="62" fillId="0" borderId="30" xfId="0" applyNumberFormat="1" applyFont="1" applyBorder="1"/>
    <xf numFmtId="2" fontId="56" fillId="0" borderId="0" xfId="0" applyNumberFormat="1" applyFont="1" applyAlignment="1">
      <alignment horizontal="center"/>
    </xf>
    <xf numFmtId="0" fontId="62" fillId="0" borderId="64" xfId="0" applyFont="1" applyBorder="1"/>
    <xf numFmtId="167" fontId="63" fillId="0" borderId="8" xfId="0" applyNumberFormat="1" applyFont="1" applyBorder="1" applyAlignment="1">
      <alignment horizontal="right"/>
    </xf>
    <xf numFmtId="0" fontId="62" fillId="0" borderId="8" xfId="0" quotePrefix="1" applyFont="1" applyBorder="1" applyAlignment="1">
      <alignment horizontal="center"/>
    </xf>
    <xf numFmtId="0" fontId="62" fillId="0" borderId="23" xfId="0" quotePrefix="1" applyFont="1" applyBorder="1" applyAlignment="1">
      <alignment horizontal="center"/>
    </xf>
    <xf numFmtId="0" fontId="63" fillId="0" borderId="13" xfId="0" applyFont="1" applyBorder="1" applyAlignment="1">
      <alignment horizontal="right"/>
    </xf>
    <xf numFmtId="167" fontId="62" fillId="0" borderId="31" xfId="0" applyNumberFormat="1" applyFont="1" applyBorder="1"/>
    <xf numFmtId="167" fontId="63" fillId="0" borderId="17" xfId="0" applyNumberFormat="1" applyFont="1" applyBorder="1"/>
    <xf numFmtId="2" fontId="63" fillId="0" borderId="17" xfId="0" applyNumberFormat="1" applyFont="1" applyBorder="1" applyAlignment="1">
      <alignment horizontal="center"/>
    </xf>
    <xf numFmtId="0" fontId="63" fillId="0" borderId="17" xfId="0" applyFont="1" applyBorder="1"/>
    <xf numFmtId="0" fontId="63" fillId="0" borderId="33" xfId="0" applyFont="1" applyBorder="1"/>
    <xf numFmtId="2" fontId="62" fillId="0" borderId="40" xfId="0" applyNumberFormat="1" applyFont="1" applyBorder="1"/>
    <xf numFmtId="2" fontId="62" fillId="0" borderId="30" xfId="0" applyNumberFormat="1" applyFont="1" applyBorder="1"/>
    <xf numFmtId="167" fontId="63" fillId="0" borderId="22" xfId="0" applyNumberFormat="1" applyFont="1" applyBorder="1"/>
    <xf numFmtId="167" fontId="63" fillId="0" borderId="23" xfId="0" applyNumberFormat="1" applyFont="1" applyBorder="1" applyAlignment="1">
      <alignment horizontal="right"/>
    </xf>
    <xf numFmtId="168" fontId="62" fillId="0" borderId="65" xfId="0" applyNumberFormat="1" applyFont="1" applyBorder="1"/>
    <xf numFmtId="167" fontId="63" fillId="0" borderId="26" xfId="0" applyNumberFormat="1" applyFont="1" applyBorder="1"/>
    <xf numFmtId="4" fontId="63" fillId="0" borderId="26" xfId="0" applyNumberFormat="1" applyFont="1" applyBorder="1" applyAlignment="1">
      <alignment horizontal="center"/>
    </xf>
    <xf numFmtId="4" fontId="63" fillId="0" borderId="27" xfId="0" applyNumberFormat="1" applyFont="1" applyBorder="1" applyAlignment="1">
      <alignment horizontal="center"/>
    </xf>
    <xf numFmtId="165" fontId="56" fillId="0" borderId="0" xfId="0" applyNumberFormat="1" applyFont="1"/>
    <xf numFmtId="10" fontId="56" fillId="0" borderId="0" xfId="3" applyNumberFormat="1" applyFont="1" applyFill="1" applyBorder="1"/>
    <xf numFmtId="0" fontId="62" fillId="33" borderId="11" xfId="0" applyFont="1" applyFill="1" applyBorder="1"/>
    <xf numFmtId="167" fontId="62" fillId="0" borderId="0" xfId="0" applyNumberFormat="1" applyFont="1" applyAlignment="1">
      <alignment horizontal="left" vertical="center"/>
    </xf>
    <xf numFmtId="0" fontId="63" fillId="33" borderId="32" xfId="0" applyFont="1" applyFill="1" applyBorder="1"/>
    <xf numFmtId="0" fontId="63" fillId="33" borderId="40" xfId="0" applyFont="1" applyFill="1" applyBorder="1"/>
    <xf numFmtId="167" fontId="62" fillId="33" borderId="40" xfId="0" applyNumberFormat="1" applyFont="1" applyFill="1" applyBorder="1" applyAlignment="1">
      <alignment horizontal="center"/>
    </xf>
    <xf numFmtId="1" fontId="62" fillId="33" borderId="40" xfId="0" applyNumberFormat="1" applyFont="1" applyFill="1" applyBorder="1"/>
    <xf numFmtId="167" fontId="62" fillId="33" borderId="30" xfId="0" applyNumberFormat="1" applyFont="1" applyFill="1" applyBorder="1"/>
    <xf numFmtId="0" fontId="62" fillId="0" borderId="0" xfId="0" quotePrefix="1" applyFont="1"/>
    <xf numFmtId="167" fontId="63" fillId="0" borderId="7" xfId="0" applyNumberFormat="1" applyFont="1" applyBorder="1"/>
    <xf numFmtId="0" fontId="63" fillId="0" borderId="10" xfId="0" applyFont="1" applyBorder="1"/>
    <xf numFmtId="168" fontId="62" fillId="0" borderId="0" xfId="0" applyNumberFormat="1" applyFont="1" applyAlignment="1">
      <alignment horizontal="right"/>
    </xf>
    <xf numFmtId="0" fontId="63" fillId="0" borderId="16" xfId="0" applyFont="1" applyBorder="1" applyAlignment="1">
      <alignment horizontal="left"/>
    </xf>
    <xf numFmtId="0" fontId="62" fillId="0" borderId="32" xfId="0" applyFont="1" applyBorder="1"/>
    <xf numFmtId="167" fontId="62" fillId="0" borderId="40" xfId="0" quotePrefix="1" applyNumberFormat="1" applyFont="1" applyBorder="1" applyAlignment="1">
      <alignment horizontal="center"/>
    </xf>
    <xf numFmtId="0" fontId="62" fillId="0" borderId="40" xfId="0" quotePrefix="1" applyFont="1" applyBorder="1" applyAlignment="1">
      <alignment horizontal="center"/>
    </xf>
    <xf numFmtId="171" fontId="62" fillId="0" borderId="40" xfId="0" quotePrefix="1" applyNumberFormat="1" applyFont="1" applyBorder="1" applyAlignment="1">
      <alignment horizontal="center"/>
    </xf>
    <xf numFmtId="0" fontId="62" fillId="0" borderId="30" xfId="0" quotePrefix="1" applyFont="1" applyBorder="1" applyAlignment="1">
      <alignment horizontal="center"/>
    </xf>
    <xf numFmtId="172" fontId="63" fillId="0" borderId="0" xfId="1" applyNumberFormat="1" applyFont="1"/>
    <xf numFmtId="167" fontId="62" fillId="0" borderId="26" xfId="0" applyNumberFormat="1" applyFont="1" applyBorder="1"/>
    <xf numFmtId="2" fontId="62" fillId="0" borderId="26" xfId="0" applyNumberFormat="1" applyFont="1" applyBorder="1"/>
    <xf numFmtId="167" fontId="62" fillId="0" borderId="27" xfId="0" applyNumberFormat="1" applyFont="1" applyBorder="1"/>
    <xf numFmtId="171" fontId="63" fillId="0" borderId="14" xfId="0" applyNumberFormat="1" applyFont="1" applyBorder="1"/>
    <xf numFmtId="10" fontId="63" fillId="0" borderId="0" xfId="3" applyNumberFormat="1" applyFont="1" applyAlignment="1">
      <alignment horizontal="left"/>
    </xf>
    <xf numFmtId="171" fontId="63" fillId="0" borderId="77" xfId="0" applyNumberFormat="1" applyFont="1" applyBorder="1"/>
    <xf numFmtId="10" fontId="63" fillId="0" borderId="23" xfId="0" applyNumberFormat="1" applyFont="1" applyBorder="1"/>
    <xf numFmtId="0" fontId="62" fillId="0" borderId="23" xfId="0" applyFont="1" applyBorder="1"/>
    <xf numFmtId="10" fontId="63" fillId="0" borderId="13" xfId="0" applyNumberFormat="1" applyFont="1" applyBorder="1"/>
    <xf numFmtId="0" fontId="62" fillId="0" borderId="13" xfId="0" applyFont="1" applyBorder="1"/>
    <xf numFmtId="0" fontId="63" fillId="0" borderId="14" xfId="0" applyFont="1" applyBorder="1"/>
    <xf numFmtId="171" fontId="63" fillId="0" borderId="78" xfId="0" applyNumberFormat="1" applyFont="1" applyBorder="1"/>
    <xf numFmtId="10" fontId="63" fillId="0" borderId="0" xfId="3" applyNumberFormat="1" applyFont="1" applyAlignment="1"/>
    <xf numFmtId="1" fontId="62" fillId="0" borderId="0" xfId="0" applyNumberFormat="1" applyFont="1" applyAlignment="1">
      <alignment horizontal="right"/>
    </xf>
    <xf numFmtId="1" fontId="63" fillId="0" borderId="0" xfId="0" applyNumberFormat="1" applyFont="1" applyAlignment="1">
      <alignment horizontal="right"/>
    </xf>
    <xf numFmtId="167" fontId="63" fillId="0" borderId="16" xfId="0" applyNumberFormat="1" applyFont="1" applyBorder="1" applyAlignment="1">
      <alignment horizontal="right"/>
    </xf>
    <xf numFmtId="168" fontId="63" fillId="0" borderId="16" xfId="0" applyNumberFormat="1" applyFont="1" applyBorder="1" applyAlignment="1">
      <alignment horizontal="right"/>
    </xf>
    <xf numFmtId="167" fontId="62" fillId="0" borderId="69" xfId="0" applyNumberFormat="1" applyFont="1" applyBorder="1"/>
    <xf numFmtId="10" fontId="62" fillId="0" borderId="0" xfId="0" applyNumberFormat="1" applyFont="1"/>
    <xf numFmtId="0" fontId="61" fillId="0" borderId="18" xfId="0" applyFont="1" applyBorder="1" applyAlignment="1">
      <alignment horizontal="left" vertical="center"/>
    </xf>
    <xf numFmtId="0" fontId="61" fillId="0" borderId="16" xfId="196" applyFont="1" applyBorder="1"/>
    <xf numFmtId="166" fontId="61" fillId="0" borderId="0" xfId="196" applyNumberFormat="1" applyFont="1" applyAlignment="1">
      <alignment horizontal="center"/>
    </xf>
    <xf numFmtId="0" fontId="61" fillId="0" borderId="18" xfId="196" applyFont="1" applyBorder="1"/>
    <xf numFmtId="2" fontId="61" fillId="0" borderId="0" xfId="196" applyNumberFormat="1" applyFont="1" applyAlignment="1">
      <alignment horizontal="center"/>
    </xf>
    <xf numFmtId="10" fontId="61" fillId="0" borderId="0" xfId="196" applyNumberFormat="1" applyFont="1" applyAlignment="1">
      <alignment horizontal="center"/>
    </xf>
    <xf numFmtId="0" fontId="61" fillId="0" borderId="16" xfId="196" applyFont="1" applyBorder="1" applyAlignment="1">
      <alignment horizontal="left" vertical="center"/>
    </xf>
    <xf numFmtId="166" fontId="61" fillId="0" borderId="0" xfId="196" applyNumberFormat="1" applyFont="1" applyAlignment="1">
      <alignment horizontal="center" vertical="center"/>
    </xf>
    <xf numFmtId="0" fontId="61" fillId="0" borderId="22" xfId="196" applyFont="1" applyBorder="1"/>
    <xf numFmtId="0" fontId="61" fillId="0" borderId="12" xfId="196" applyFont="1" applyBorder="1"/>
    <xf numFmtId="10" fontId="61" fillId="0" borderId="13" xfId="196" applyNumberFormat="1" applyFont="1" applyBorder="1" applyAlignment="1">
      <alignment horizontal="center"/>
    </xf>
    <xf numFmtId="0" fontId="61" fillId="0" borderId="14" xfId="196" applyFont="1" applyBorder="1" applyAlignment="1">
      <alignment wrapText="1"/>
    </xf>
    <xf numFmtId="0" fontId="61" fillId="0" borderId="18" xfId="196" applyFont="1" applyBorder="1" applyAlignment="1">
      <alignment horizontal="left" wrapText="1"/>
    </xf>
    <xf numFmtId="0" fontId="62" fillId="0" borderId="0" xfId="210" applyFont="1" applyAlignment="1">
      <alignment horizontal="left" vertical="center"/>
    </xf>
    <xf numFmtId="0" fontId="67" fillId="0" borderId="0" xfId="210" applyFont="1" applyAlignment="1">
      <alignment vertical="center"/>
    </xf>
    <xf numFmtId="0" fontId="67" fillId="0" borderId="0" xfId="210" applyFont="1" applyAlignment="1">
      <alignment horizontal="right" vertical="center"/>
    </xf>
    <xf numFmtId="0" fontId="68" fillId="0" borderId="0" xfId="196" applyFont="1"/>
    <xf numFmtId="0" fontId="68" fillId="0" borderId="0" xfId="196" applyFont="1" applyAlignment="1">
      <alignment horizontal="center"/>
    </xf>
    <xf numFmtId="0" fontId="67" fillId="0" borderId="0" xfId="196" applyFont="1"/>
    <xf numFmtId="166" fontId="63" fillId="0" borderId="0" xfId="196" applyNumberFormat="1" applyFont="1" applyAlignment="1">
      <alignment horizontal="right"/>
    </xf>
    <xf numFmtId="0" fontId="68" fillId="0" borderId="22" xfId="196" applyFont="1" applyBorder="1"/>
    <xf numFmtId="0" fontId="68" fillId="0" borderId="23" xfId="196" applyFont="1" applyBorder="1"/>
    <xf numFmtId="166" fontId="68" fillId="0" borderId="23" xfId="196" applyNumberFormat="1" applyFont="1" applyBorder="1"/>
    <xf numFmtId="165" fontId="68" fillId="0" borderId="23" xfId="196" applyNumberFormat="1" applyFont="1" applyBorder="1" applyAlignment="1">
      <alignment horizontal="center"/>
    </xf>
    <xf numFmtId="166" fontId="68" fillId="0" borderId="25" xfId="196" applyNumberFormat="1" applyFont="1" applyBorder="1"/>
    <xf numFmtId="165" fontId="67" fillId="5" borderId="14" xfId="114" applyNumberFormat="1" applyFont="1" applyFill="1" applyBorder="1"/>
    <xf numFmtId="0" fontId="21" fillId="0" borderId="0" xfId="175"/>
    <xf numFmtId="0" fontId="27" fillId="7" borderId="0" xfId="175" applyFont="1" applyFill="1"/>
    <xf numFmtId="0" fontId="20" fillId="7" borderId="18" xfId="175" applyFont="1" applyFill="1" applyBorder="1"/>
    <xf numFmtId="0" fontId="28" fillId="7" borderId="13" xfId="175" applyFont="1" applyFill="1" applyBorder="1"/>
    <xf numFmtId="0" fontId="20" fillId="7" borderId="14" xfId="175" applyFont="1" applyFill="1" applyBorder="1"/>
    <xf numFmtId="0" fontId="20" fillId="0" borderId="0" xfId="175" applyFont="1"/>
    <xf numFmtId="0" fontId="29" fillId="0" borderId="0" xfId="233" applyFont="1"/>
    <xf numFmtId="0" fontId="29" fillId="8" borderId="0" xfId="233" applyFont="1" applyFill="1"/>
    <xf numFmtId="3" fontId="29" fillId="9" borderId="0" xfId="313" applyFont="1" applyFill="1" applyAlignment="1">
      <alignment horizontal="center"/>
    </xf>
    <xf numFmtId="3" fontId="29" fillId="40" borderId="0" xfId="313" applyFont="1" applyFill="1" applyAlignment="1">
      <alignment horizontal="center"/>
    </xf>
    <xf numFmtId="3" fontId="29" fillId="41" borderId="0" xfId="313" applyFont="1" applyFill="1" applyAlignment="1">
      <alignment horizontal="center"/>
    </xf>
    <xf numFmtId="14" fontId="20" fillId="0" borderId="0" xfId="175" applyNumberFormat="1" applyFont="1"/>
    <xf numFmtId="174" fontId="21" fillId="0" borderId="0" xfId="175" applyNumberFormat="1"/>
    <xf numFmtId="2" fontId="21" fillId="0" borderId="0" xfId="175" applyNumberFormat="1"/>
    <xf numFmtId="0" fontId="20" fillId="0" borderId="0" xfId="314" applyFont="1" applyAlignment="1"/>
    <xf numFmtId="0" fontId="74" fillId="0" borderId="0" xfId="314" applyAlignment="1"/>
    <xf numFmtId="0" fontId="24" fillId="0" borderId="0" xfId="314" applyFont="1" applyAlignment="1"/>
    <xf numFmtId="0" fontId="22" fillId="0" borderId="0" xfId="314" applyFont="1" applyAlignment="1"/>
    <xf numFmtId="168" fontId="21" fillId="0" borderId="0" xfId="175" applyNumberFormat="1"/>
    <xf numFmtId="0" fontId="74" fillId="0" borderId="45" xfId="314" applyBorder="1" applyAlignment="1"/>
    <xf numFmtId="0" fontId="74" fillId="0" borderId="17" xfId="314" applyBorder="1" applyAlignment="1"/>
    <xf numFmtId="0" fontId="74" fillId="0" borderId="46" xfId="314" applyBorder="1" applyAlignment="1"/>
    <xf numFmtId="0" fontId="74" fillId="0" borderId="47" xfId="314" applyBorder="1" applyAlignment="1"/>
    <xf numFmtId="0" fontId="74" fillId="0" borderId="0" xfId="314" applyAlignment="1">
      <alignment horizontal="right"/>
    </xf>
    <xf numFmtId="0" fontId="20" fillId="0" borderId="0" xfId="314" applyFont="1" applyAlignment="1">
      <alignment horizontal="center"/>
    </xf>
    <xf numFmtId="0" fontId="74" fillId="0" borderId="48" xfId="314" applyBorder="1" applyAlignment="1"/>
    <xf numFmtId="3" fontId="20" fillId="0" borderId="0" xfId="313" applyFont="1" applyAlignment="1"/>
    <xf numFmtId="0" fontId="30" fillId="0" borderId="48" xfId="314" applyFont="1" applyBorder="1" applyAlignment="1">
      <alignment horizontal="center"/>
    </xf>
    <xf numFmtId="174" fontId="21" fillId="0" borderId="68" xfId="313" applyNumberFormat="1" applyBorder="1" applyAlignment="1"/>
    <xf numFmtId="174" fontId="21" fillId="0" borderId="0" xfId="313" applyNumberFormat="1" applyAlignment="1"/>
    <xf numFmtId="174" fontId="74" fillId="0" borderId="48" xfId="314" applyNumberFormat="1" applyBorder="1" applyAlignment="1">
      <alignment horizontal="center"/>
    </xf>
    <xf numFmtId="0" fontId="74" fillId="0" borderId="48" xfId="314" applyBorder="1" applyAlignment="1">
      <alignment horizontal="center"/>
    </xf>
    <xf numFmtId="0" fontId="74" fillId="0" borderId="47" xfId="314" applyBorder="1" applyAlignment="1">
      <alignment horizontal="right"/>
    </xf>
    <xf numFmtId="174" fontId="21" fillId="0" borderId="29" xfId="313" applyNumberFormat="1" applyBorder="1" applyAlignment="1"/>
    <xf numFmtId="0" fontId="20" fillId="5" borderId="0" xfId="314" applyFont="1" applyFill="1" applyAlignment="1">
      <alignment horizontal="right"/>
    </xf>
    <xf numFmtId="10" fontId="20" fillId="5" borderId="48" xfId="315" applyNumberFormat="1" applyFont="1" applyFill="1" applyBorder="1" applyAlignment="1">
      <alignment horizontal="center"/>
    </xf>
    <xf numFmtId="0" fontId="74" fillId="0" borderId="49" xfId="314" applyBorder="1" applyAlignment="1"/>
    <xf numFmtId="0" fontId="74" fillId="0" borderId="23" xfId="314" applyBorder="1" applyAlignment="1"/>
    <xf numFmtId="0" fontId="74" fillId="0" borderId="50" xfId="314" applyBorder="1" applyAlignment="1"/>
    <xf numFmtId="44" fontId="0" fillId="0" borderId="0" xfId="2" applyFont="1"/>
    <xf numFmtId="44" fontId="63" fillId="0" borderId="26" xfId="2" applyFont="1" applyBorder="1"/>
    <xf numFmtId="44" fontId="63" fillId="39" borderId="69" xfId="2" applyFont="1" applyFill="1" applyBorder="1"/>
    <xf numFmtId="44" fontId="63" fillId="0" borderId="23" xfId="2" applyFont="1" applyBorder="1"/>
    <xf numFmtId="44" fontId="63" fillId="39" borderId="81" xfId="2" applyFont="1" applyFill="1" applyBorder="1"/>
    <xf numFmtId="44" fontId="63" fillId="0" borderId="79" xfId="0" applyNumberFormat="1" applyFont="1" applyBorder="1"/>
    <xf numFmtId="44" fontId="63" fillId="0" borderId="75" xfId="0" applyNumberFormat="1" applyFont="1" applyBorder="1"/>
    <xf numFmtId="44" fontId="63" fillId="0" borderId="81" xfId="0" applyNumberFormat="1" applyFont="1" applyBorder="1"/>
    <xf numFmtId="0" fontId="0" fillId="0" borderId="0" xfId="0" applyAlignment="1">
      <alignment wrapText="1"/>
    </xf>
    <xf numFmtId="43" fontId="0" fillId="0" borderId="0" xfId="1" applyFont="1" applyFill="1" applyBorder="1"/>
    <xf numFmtId="173" fontId="0" fillId="0" borderId="0" xfId="2" applyNumberFormat="1" applyFont="1"/>
    <xf numFmtId="0" fontId="19" fillId="0" borderId="0" xfId="189"/>
    <xf numFmtId="173" fontId="20" fillId="0" borderId="0" xfId="2" applyNumberFormat="1" applyFont="1" applyFill="1" applyBorder="1" applyAlignment="1">
      <alignment horizontal="center" vertical="center" wrapText="1"/>
    </xf>
    <xf numFmtId="173" fontId="0" fillId="0" borderId="21" xfId="2" applyNumberFormat="1" applyFont="1" applyBorder="1"/>
    <xf numFmtId="173" fontId="28" fillId="0" borderId="0" xfId="2" applyNumberFormat="1" applyFont="1"/>
    <xf numFmtId="10" fontId="0" fillId="0" borderId="0" xfId="3" applyNumberFormat="1" applyFont="1"/>
    <xf numFmtId="0" fontId="63" fillId="0" borderId="7" xfId="0" applyFont="1" applyBorder="1"/>
    <xf numFmtId="44" fontId="63" fillId="39" borderId="75" xfId="0" applyNumberFormat="1" applyFont="1" applyFill="1" applyBorder="1"/>
    <xf numFmtId="44" fontId="63" fillId="0" borderId="10" xfId="0" applyNumberFormat="1" applyFont="1" applyBorder="1"/>
    <xf numFmtId="44" fontId="63" fillId="0" borderId="18" xfId="0" applyNumberFormat="1" applyFont="1" applyBorder="1"/>
    <xf numFmtId="44" fontId="63" fillId="5" borderId="14" xfId="2" applyFont="1" applyFill="1" applyBorder="1"/>
    <xf numFmtId="0" fontId="63" fillId="5" borderId="14" xfId="0" applyFont="1" applyFill="1" applyBorder="1"/>
    <xf numFmtId="0" fontId="63" fillId="0" borderId="0" xfId="231" applyFont="1"/>
    <xf numFmtId="0" fontId="61" fillId="0" borderId="0" xfId="230" applyFont="1"/>
    <xf numFmtId="44" fontId="63" fillId="39" borderId="76" xfId="0" applyNumberFormat="1" applyFont="1" applyFill="1" applyBorder="1"/>
    <xf numFmtId="44" fontId="63" fillId="39" borderId="80" xfId="0" applyNumberFormat="1" applyFont="1" applyFill="1" applyBorder="1"/>
    <xf numFmtId="44" fontId="63" fillId="0" borderId="14" xfId="0" applyNumberFormat="1" applyFont="1" applyBorder="1"/>
    <xf numFmtId="0" fontId="57" fillId="0" borderId="0" xfId="316" applyFont="1"/>
    <xf numFmtId="0" fontId="58" fillId="0" borderId="0" xfId="316" applyFont="1" applyAlignment="1">
      <alignment horizontal="center"/>
    </xf>
    <xf numFmtId="0" fontId="57" fillId="0" borderId="0" xfId="316" applyFont="1" applyAlignment="1">
      <alignment wrapText="1"/>
    </xf>
    <xf numFmtId="17" fontId="59" fillId="0" borderId="0" xfId="316" applyNumberFormat="1" applyFont="1" applyAlignment="1">
      <alignment horizontal="center"/>
    </xf>
    <xf numFmtId="164" fontId="60" fillId="0" borderId="0" xfId="316" applyNumberFormat="1" applyFont="1" applyAlignment="1">
      <alignment horizontal="left" vertical="top"/>
    </xf>
    <xf numFmtId="0" fontId="60" fillId="0" borderId="0" xfId="316" applyFont="1" applyAlignment="1">
      <alignment horizontal="center"/>
    </xf>
    <xf numFmtId="0" fontId="60" fillId="0" borderId="0" xfId="316" applyFont="1"/>
    <xf numFmtId="9" fontId="60" fillId="0" borderId="0" xfId="316" applyNumberFormat="1" applyFont="1" applyAlignment="1">
      <alignment horizontal="center" wrapText="1"/>
    </xf>
    <xf numFmtId="0" fontId="60" fillId="0" borderId="0" xfId="316" applyFont="1" applyAlignment="1">
      <alignment horizontal="left" wrapText="1"/>
    </xf>
    <xf numFmtId="0" fontId="83" fillId="0" borderId="7" xfId="316" applyFont="1" applyBorder="1"/>
    <xf numFmtId="165" fontId="57" fillId="0" borderId="8" xfId="316" applyNumberFormat="1" applyFont="1" applyBorder="1" applyAlignment="1">
      <alignment horizontal="center"/>
    </xf>
    <xf numFmtId="0" fontId="83" fillId="0" borderId="12" xfId="316" applyFont="1" applyBorder="1"/>
    <xf numFmtId="166" fontId="57" fillId="0" borderId="13" xfId="316" applyNumberFormat="1" applyFont="1" applyBorder="1" applyAlignment="1">
      <alignment horizontal="center"/>
    </xf>
    <xf numFmtId="0" fontId="57" fillId="0" borderId="7" xfId="316" applyFont="1" applyBorder="1"/>
    <xf numFmtId="0" fontId="57" fillId="0" borderId="9" xfId="316" applyFont="1" applyBorder="1"/>
    <xf numFmtId="0" fontId="57" fillId="0" borderId="16" xfId="316" applyFont="1" applyBorder="1"/>
    <xf numFmtId="166" fontId="57" fillId="0" borderId="0" xfId="316" applyNumberFormat="1" applyFont="1" applyAlignment="1">
      <alignment horizontal="center"/>
    </xf>
    <xf numFmtId="0" fontId="57" fillId="0" borderId="12" xfId="316" applyFont="1" applyBorder="1"/>
    <xf numFmtId="0" fontId="57" fillId="0" borderId="13" xfId="316" applyFont="1" applyBorder="1"/>
    <xf numFmtId="0" fontId="57" fillId="0" borderId="7" xfId="316" applyFont="1" applyBorder="1" applyAlignment="1">
      <alignment wrapText="1"/>
    </xf>
    <xf numFmtId="0" fontId="57" fillId="0" borderId="12" xfId="316" applyFont="1" applyBorder="1" applyAlignment="1">
      <alignment wrapText="1"/>
    </xf>
    <xf numFmtId="165" fontId="57" fillId="0" borderId="9" xfId="316" applyNumberFormat="1" applyFont="1" applyBorder="1" applyAlignment="1">
      <alignment horizontal="center"/>
    </xf>
    <xf numFmtId="165" fontId="57" fillId="0" borderId="0" xfId="316" applyNumberFormat="1" applyFont="1" applyAlignment="1">
      <alignment horizontal="center"/>
    </xf>
    <xf numFmtId="0" fontId="83" fillId="0" borderId="16" xfId="316" applyFont="1" applyBorder="1"/>
    <xf numFmtId="0" fontId="84" fillId="0" borderId="0" xfId="316" applyFont="1" applyAlignment="1">
      <alignment horizontal="right" wrapText="1"/>
    </xf>
    <xf numFmtId="0" fontId="57" fillId="0" borderId="0" xfId="316" applyFont="1" applyAlignment="1">
      <alignment horizontal="center"/>
    </xf>
    <xf numFmtId="0" fontId="57" fillId="0" borderId="0" xfId="316" applyFont="1" applyAlignment="1">
      <alignment horizontal="right"/>
    </xf>
    <xf numFmtId="10" fontId="57" fillId="0" borderId="0" xfId="317" applyNumberFormat="1" applyFont="1" applyAlignment="1">
      <alignment horizontal="center"/>
    </xf>
    <xf numFmtId="9" fontId="57" fillId="0" borderId="0" xfId="317" applyFont="1" applyAlignment="1">
      <alignment horizontal="center"/>
    </xf>
    <xf numFmtId="9" fontId="57" fillId="0" borderId="0" xfId="317" applyFont="1"/>
    <xf numFmtId="0" fontId="83" fillId="0" borderId="0" xfId="316" applyFont="1" applyAlignment="1">
      <alignment horizontal="right"/>
    </xf>
    <xf numFmtId="6" fontId="57" fillId="0" borderId="0" xfId="316" applyNumberFormat="1" applyFont="1" applyAlignment="1">
      <alignment horizontal="center"/>
    </xf>
    <xf numFmtId="0" fontId="60" fillId="0" borderId="0" xfId="316" applyFont="1" applyAlignment="1">
      <alignment horizontal="right"/>
    </xf>
    <xf numFmtId="0" fontId="60" fillId="0" borderId="0" xfId="316" applyFont="1" applyAlignment="1">
      <alignment horizontal="right" vertical="top"/>
    </xf>
    <xf numFmtId="0" fontId="61" fillId="35" borderId="48" xfId="0" applyFont="1" applyFill="1" applyBorder="1"/>
    <xf numFmtId="167" fontId="63" fillId="0" borderId="10" xfId="0" applyNumberFormat="1" applyFont="1" applyBorder="1"/>
    <xf numFmtId="44" fontId="63" fillId="5" borderId="18" xfId="0" applyNumberFormat="1" applyFont="1" applyFill="1" applyBorder="1"/>
    <xf numFmtId="0" fontId="61" fillId="0" borderId="18" xfId="0" applyFont="1" applyBorder="1"/>
    <xf numFmtId="0" fontId="61" fillId="0" borderId="0" xfId="0" applyFont="1"/>
    <xf numFmtId="0" fontId="63" fillId="39" borderId="0" xfId="0" applyFont="1" applyFill="1"/>
    <xf numFmtId="0" fontId="63" fillId="39" borderId="0" xfId="0" applyFont="1" applyFill="1" applyAlignment="1">
      <alignment wrapText="1"/>
    </xf>
    <xf numFmtId="43" fontId="63" fillId="0" borderId="0" xfId="1" applyFont="1"/>
    <xf numFmtId="43" fontId="63" fillId="39" borderId="75" xfId="1" applyFont="1" applyFill="1" applyBorder="1"/>
    <xf numFmtId="0" fontId="63" fillId="39" borderId="75" xfId="0" applyFont="1" applyFill="1" applyBorder="1"/>
    <xf numFmtId="43" fontId="63" fillId="0" borderId="0" xfId="0" applyNumberFormat="1" applyFont="1"/>
    <xf numFmtId="43" fontId="63" fillId="5" borderId="0" xfId="0" applyNumberFormat="1" applyFont="1" applyFill="1"/>
    <xf numFmtId="0" fontId="56" fillId="0" borderId="26" xfId="0" applyFont="1" applyBorder="1" applyAlignment="1">
      <alignment wrapText="1"/>
    </xf>
    <xf numFmtId="167" fontId="62" fillId="0" borderId="0" xfId="196" applyNumberFormat="1" applyFont="1" applyAlignment="1">
      <alignment horizontal="center" vertical="center"/>
    </xf>
    <xf numFmtId="0" fontId="62" fillId="0" borderId="0" xfId="311" applyFont="1" applyAlignment="1">
      <alignment horizontal="center" vertical="center"/>
    </xf>
    <xf numFmtId="10" fontId="56" fillId="0" borderId="0" xfId="319" applyNumberFormat="1" applyFont="1"/>
    <xf numFmtId="0" fontId="17" fillId="0" borderId="16" xfId="306" applyFont="1" applyBorder="1" applyAlignment="1">
      <alignment wrapText="1"/>
    </xf>
    <xf numFmtId="0" fontId="62" fillId="0" borderId="21" xfId="0" applyFont="1" applyBorder="1"/>
    <xf numFmtId="0" fontId="62" fillId="0" borderId="86" xfId="0" applyFont="1" applyBorder="1"/>
    <xf numFmtId="167" fontId="62" fillId="0" borderId="86" xfId="0" applyNumberFormat="1" applyFont="1" applyBorder="1"/>
    <xf numFmtId="2" fontId="62" fillId="0" borderId="86" xfId="0" applyNumberFormat="1" applyFont="1" applyBorder="1"/>
    <xf numFmtId="167" fontId="62" fillId="0" borderId="87" xfId="0" applyNumberFormat="1" applyFont="1" applyBorder="1"/>
    <xf numFmtId="0" fontId="62" fillId="0" borderId="88" xfId="0" applyFont="1" applyBorder="1"/>
    <xf numFmtId="0" fontId="17" fillId="0" borderId="66" xfId="306" applyFont="1" applyBorder="1" applyAlignment="1">
      <alignment wrapText="1"/>
    </xf>
    <xf numFmtId="0" fontId="17" fillId="0" borderId="65" xfId="201" applyFont="1" applyBorder="1" applyAlignment="1">
      <alignment wrapText="1"/>
    </xf>
    <xf numFmtId="167" fontId="62" fillId="0" borderId="84" xfId="0" applyNumberFormat="1" applyFont="1" applyBorder="1"/>
    <xf numFmtId="2" fontId="62" fillId="0" borderId="84" xfId="0" applyNumberFormat="1" applyFont="1" applyBorder="1"/>
    <xf numFmtId="167" fontId="62" fillId="0" borderId="85" xfId="0" applyNumberFormat="1" applyFont="1" applyBorder="1"/>
    <xf numFmtId="0" fontId="62" fillId="35" borderId="89" xfId="199" applyFont="1" applyFill="1" applyBorder="1" applyAlignment="1">
      <alignment vertical="top" wrapText="1"/>
    </xf>
    <xf numFmtId="0" fontId="56" fillId="0" borderId="90" xfId="0" applyFont="1" applyBorder="1" applyAlignment="1">
      <alignment wrapText="1"/>
    </xf>
    <xf numFmtId="167" fontId="62" fillId="0" borderId="90" xfId="0" applyNumberFormat="1" applyFont="1" applyBorder="1"/>
    <xf numFmtId="2" fontId="62" fillId="0" borderId="90" xfId="0" applyNumberFormat="1" applyFont="1" applyBorder="1"/>
    <xf numFmtId="167" fontId="62" fillId="0" borderId="91" xfId="0" applyNumberFormat="1" applyFont="1" applyBorder="1"/>
    <xf numFmtId="0" fontId="62" fillId="35" borderId="89" xfId="199" applyFont="1" applyFill="1" applyBorder="1" applyAlignment="1">
      <alignment wrapText="1"/>
    </xf>
    <xf numFmtId="171" fontId="63" fillId="5" borderId="14" xfId="0" applyNumberFormat="1" applyFont="1" applyFill="1" applyBorder="1"/>
    <xf numFmtId="171" fontId="63" fillId="5" borderId="18" xfId="0" applyNumberFormat="1" applyFont="1" applyFill="1" applyBorder="1"/>
    <xf numFmtId="2" fontId="63" fillId="0" borderId="0" xfId="0" applyNumberFormat="1" applyFont="1" applyAlignment="1">
      <alignment vertical="center"/>
    </xf>
    <xf numFmtId="0" fontId="0" fillId="0" borderId="16" xfId="0" applyBorder="1" applyAlignment="1">
      <alignment wrapText="1"/>
    </xf>
    <xf numFmtId="167" fontId="62" fillId="0" borderId="67" xfId="0" applyNumberFormat="1" applyFont="1" applyBorder="1"/>
    <xf numFmtId="167" fontId="63" fillId="35" borderId="0" xfId="193" applyNumberFormat="1" applyFont="1" applyFill="1"/>
    <xf numFmtId="0" fontId="62" fillId="35" borderId="16" xfId="199" applyFont="1" applyFill="1" applyBorder="1" applyAlignment="1">
      <alignment vertical="top" wrapText="1"/>
    </xf>
    <xf numFmtId="0" fontId="56" fillId="0" borderId="0" xfId="0" applyFont="1" applyAlignment="1">
      <alignment horizontal="left"/>
    </xf>
    <xf numFmtId="0" fontId="62" fillId="0" borderId="20" xfId="0" applyFont="1" applyBorder="1" applyAlignment="1">
      <alignment horizontal="center" vertical="center"/>
    </xf>
    <xf numFmtId="0" fontId="62" fillId="0" borderId="20" xfId="0" applyFont="1" applyBorder="1" applyAlignment="1">
      <alignment horizontal="center"/>
    </xf>
    <xf numFmtId="1" fontId="62" fillId="0" borderId="40" xfId="0" quotePrefix="1" applyNumberFormat="1" applyFont="1" applyBorder="1" applyAlignment="1">
      <alignment horizontal="center"/>
    </xf>
    <xf numFmtId="0" fontId="67" fillId="0" borderId="0" xfId="0" applyFont="1" applyAlignment="1">
      <alignment horizontal="center" wrapText="1"/>
    </xf>
    <xf numFmtId="167" fontId="67" fillId="0" borderId="0" xfId="0" applyNumberFormat="1" applyFont="1" applyAlignment="1">
      <alignment horizontal="center"/>
    </xf>
    <xf numFmtId="1" fontId="67" fillId="0" borderId="0" xfId="0" applyNumberFormat="1" applyFont="1" applyAlignment="1">
      <alignment horizontal="center"/>
    </xf>
    <xf numFmtId="167" fontId="67" fillId="0" borderId="18" xfId="0" applyNumberFormat="1" applyFont="1" applyBorder="1" applyAlignment="1">
      <alignment horizontal="center"/>
    </xf>
    <xf numFmtId="0" fontId="67" fillId="0" borderId="0" xfId="0" applyFont="1" applyAlignment="1">
      <alignment horizontal="center"/>
    </xf>
    <xf numFmtId="168" fontId="63" fillId="0" borderId="0" xfId="0" applyNumberFormat="1" applyFont="1" applyAlignment="1">
      <alignment horizontal="right"/>
    </xf>
    <xf numFmtId="10" fontId="63" fillId="0" borderId="0" xfId="3" applyNumberFormat="1" applyFont="1" applyFill="1" applyBorder="1"/>
    <xf numFmtId="0" fontId="62" fillId="0" borderId="70" xfId="0" applyFont="1" applyBorder="1"/>
    <xf numFmtId="0" fontId="62" fillId="0" borderId="24" xfId="0" applyFont="1" applyBorder="1"/>
    <xf numFmtId="0" fontId="67" fillId="0" borderId="72" xfId="0" applyFont="1" applyBorder="1"/>
    <xf numFmtId="0" fontId="67" fillId="0" borderId="28" xfId="0" applyFont="1" applyBorder="1"/>
    <xf numFmtId="167" fontId="67" fillId="0" borderId="28" xfId="0" applyNumberFormat="1" applyFont="1" applyBorder="1"/>
    <xf numFmtId="2" fontId="67" fillId="0" borderId="28" xfId="0" applyNumberFormat="1" applyFont="1" applyBorder="1"/>
    <xf numFmtId="0" fontId="67" fillId="0" borderId="0" xfId="0" applyFont="1"/>
    <xf numFmtId="171" fontId="68" fillId="0" borderId="16" xfId="0" applyNumberFormat="1" applyFont="1" applyBorder="1"/>
    <xf numFmtId="171" fontId="68" fillId="0" borderId="0" xfId="0" applyNumberFormat="1" applyFont="1"/>
    <xf numFmtId="10" fontId="68" fillId="0" borderId="0" xfId="3" applyNumberFormat="1" applyFont="1" applyFill="1"/>
    <xf numFmtId="171" fontId="68" fillId="0" borderId="7" xfId="0" applyNumberFormat="1" applyFont="1" applyBorder="1"/>
    <xf numFmtId="171" fontId="68" fillId="0" borderId="12" xfId="0" applyNumberFormat="1" applyFont="1" applyBorder="1"/>
    <xf numFmtId="0" fontId="69" fillId="37" borderId="32" xfId="0" applyFont="1" applyFill="1" applyBorder="1"/>
    <xf numFmtId="0" fontId="69" fillId="37" borderId="40" xfId="0" applyFont="1" applyFill="1" applyBorder="1"/>
    <xf numFmtId="167" fontId="62" fillId="37" borderId="40" xfId="0" applyNumberFormat="1" applyFont="1" applyFill="1" applyBorder="1" applyAlignment="1">
      <alignment horizontal="center"/>
    </xf>
    <xf numFmtId="1" fontId="62" fillId="37" borderId="40" xfId="0" applyNumberFormat="1" applyFont="1" applyFill="1" applyBorder="1"/>
    <xf numFmtId="167" fontId="62" fillId="37" borderId="30" xfId="0" applyNumberFormat="1" applyFont="1" applyFill="1" applyBorder="1"/>
    <xf numFmtId="0" fontId="62" fillId="35" borderId="31" xfId="199" applyFont="1" applyFill="1" applyBorder="1" applyAlignment="1">
      <alignment vertical="top" wrapText="1"/>
    </xf>
    <xf numFmtId="0" fontId="56" fillId="0" borderId="17" xfId="0" applyFont="1" applyBorder="1" applyAlignment="1">
      <alignment wrapText="1"/>
    </xf>
    <xf numFmtId="16" fontId="62" fillId="0" borderId="40" xfId="0" quotePrefix="1" applyNumberFormat="1" applyFont="1" applyBorder="1" applyAlignment="1">
      <alignment horizontal="center"/>
    </xf>
    <xf numFmtId="2" fontId="63" fillId="0" borderId="86" xfId="0" applyNumberFormat="1" applyFont="1" applyBorder="1" applyAlignment="1">
      <alignment horizontal="center"/>
    </xf>
    <xf numFmtId="166" fontId="62" fillId="0" borderId="18" xfId="196" applyNumberFormat="1" applyFont="1" applyBorder="1"/>
    <xf numFmtId="42" fontId="62" fillId="0" borderId="18" xfId="196" applyNumberFormat="1" applyFont="1" applyBorder="1"/>
    <xf numFmtId="0" fontId="62" fillId="0" borderId="7" xfId="0" applyFont="1" applyBorder="1" applyAlignment="1">
      <alignment horizontal="right"/>
    </xf>
    <xf numFmtId="167" fontId="62" fillId="0" borderId="9" xfId="0" applyNumberFormat="1" applyFont="1" applyBorder="1" applyAlignment="1">
      <alignment horizontal="right"/>
    </xf>
    <xf numFmtId="3" fontId="62" fillId="0" borderId="10" xfId="0" applyNumberFormat="1" applyFont="1" applyBorder="1"/>
    <xf numFmtId="0" fontId="56" fillId="0" borderId="16" xfId="0" applyFont="1" applyBorder="1"/>
    <xf numFmtId="0" fontId="62" fillId="0" borderId="30" xfId="0" applyFont="1" applyBorder="1"/>
    <xf numFmtId="167" fontId="63" fillId="0" borderId="0" xfId="0" applyNumberFormat="1" applyFont="1" applyAlignment="1">
      <alignment horizontal="center"/>
    </xf>
    <xf numFmtId="0" fontId="62" fillId="0" borderId="18" xfId="0" quotePrefix="1" applyFont="1" applyBorder="1" applyAlignment="1">
      <alignment horizontal="center"/>
    </xf>
    <xf numFmtId="2" fontId="62" fillId="0" borderId="0" xfId="0" applyNumberFormat="1" applyFont="1" applyAlignment="1">
      <alignment horizontal="center"/>
    </xf>
    <xf numFmtId="4" fontId="63" fillId="0" borderId="0" xfId="0" applyNumberFormat="1" applyFont="1" applyAlignment="1">
      <alignment horizontal="center"/>
    </xf>
    <xf numFmtId="10" fontId="63" fillId="0" borderId="0" xfId="0" applyNumberFormat="1" applyFont="1" applyAlignment="1">
      <alignment horizontal="center"/>
    </xf>
    <xf numFmtId="0" fontId="62" fillId="0" borderId="25" xfId="0" quotePrefix="1" applyFont="1" applyBorder="1" applyAlignment="1">
      <alignment horizontal="center"/>
    </xf>
    <xf numFmtId="0" fontId="0" fillId="0" borderId="29" xfId="0" applyBorder="1"/>
    <xf numFmtId="0" fontId="21" fillId="0" borderId="29" xfId="0" applyFont="1" applyBorder="1"/>
    <xf numFmtId="0" fontId="21" fillId="0" borderId="29" xfId="0" applyFont="1" applyBorder="1" applyAlignment="1">
      <alignment wrapText="1"/>
    </xf>
    <xf numFmtId="0" fontId="20" fillId="0" borderId="0" xfId="0" applyFont="1"/>
    <xf numFmtId="0" fontId="28" fillId="0" borderId="0" xfId="0" applyFont="1"/>
    <xf numFmtId="9" fontId="28" fillId="0" borderId="0" xfId="283" applyFont="1"/>
    <xf numFmtId="0" fontId="90" fillId="0" borderId="32" xfId="0" applyFont="1" applyBorder="1" applyAlignment="1">
      <alignment wrapText="1"/>
    </xf>
    <xf numFmtId="0" fontId="20" fillId="0" borderId="34" xfId="0" applyFont="1" applyBorder="1" applyAlignment="1">
      <alignment horizontal="center" vertical="center" wrapText="1"/>
    </xf>
    <xf numFmtId="0" fontId="20" fillId="0" borderId="41" xfId="0" applyFont="1" applyBorder="1" applyAlignment="1">
      <alignment horizontal="center" vertical="center" wrapText="1"/>
    </xf>
    <xf numFmtId="7" fontId="20" fillId="0" borderId="41" xfId="0" applyNumberFormat="1" applyFont="1" applyBorder="1" applyAlignment="1">
      <alignment horizontal="center" vertical="center" wrapText="1"/>
    </xf>
    <xf numFmtId="44" fontId="20" fillId="0" borderId="41" xfId="0" applyNumberFormat="1" applyFont="1" applyBorder="1" applyAlignment="1">
      <alignment horizontal="center" vertical="center" wrapText="1"/>
    </xf>
    <xf numFmtId="43" fontId="20" fillId="5" borderId="41" xfId="55" applyFont="1" applyFill="1" applyBorder="1" applyAlignment="1">
      <alignment horizontal="center" vertical="center" wrapText="1"/>
    </xf>
    <xf numFmtId="43" fontId="20" fillId="0" borderId="41" xfId="55" applyFont="1" applyFill="1" applyBorder="1" applyAlignment="1">
      <alignment horizontal="center" vertical="center" wrapText="1"/>
    </xf>
    <xf numFmtId="173" fontId="20" fillId="0" borderId="41" xfId="0" applyNumberFormat="1" applyFont="1" applyBorder="1" applyAlignment="1">
      <alignment horizontal="center" vertical="center" wrapText="1"/>
    </xf>
    <xf numFmtId="9" fontId="20" fillId="0" borderId="41" xfId="283" applyFont="1" applyFill="1" applyBorder="1" applyAlignment="1">
      <alignment horizontal="center" vertical="center" wrapText="1"/>
    </xf>
    <xf numFmtId="9" fontId="20" fillId="0" borderId="92" xfId="283" applyFont="1" applyFill="1" applyBorder="1" applyAlignment="1">
      <alignment horizontal="center" vertical="center" wrapText="1"/>
    </xf>
    <xf numFmtId="0" fontId="28" fillId="0" borderId="35" xfId="0" applyFont="1" applyBorder="1" applyAlignment="1">
      <alignment horizontal="center" wrapText="1"/>
    </xf>
    <xf numFmtId="0" fontId="21" fillId="0" borderId="42" xfId="0" applyFont="1" applyBorder="1" applyAlignment="1" applyProtection="1">
      <alignment horizontal="center"/>
      <protection locked="0"/>
    </xf>
    <xf numFmtId="0" fontId="21" fillId="0" borderId="29" xfId="0" applyFont="1" applyBorder="1" applyAlignment="1" applyProtection="1">
      <alignment horizontal="center"/>
      <protection locked="0"/>
    </xf>
    <xf numFmtId="0" fontId="21" fillId="0" borderId="29" xfId="0" applyFont="1" applyBorder="1" applyProtection="1">
      <protection locked="0"/>
    </xf>
    <xf numFmtId="0" fontId="21" fillId="0" borderId="29" xfId="0" applyFont="1" applyBorder="1" applyAlignment="1" applyProtection="1">
      <alignment horizontal="center" wrapText="1"/>
      <protection locked="0"/>
    </xf>
    <xf numFmtId="1" fontId="21" fillId="0" borderId="29" xfId="0" applyNumberFormat="1" applyFont="1" applyBorder="1" applyAlignment="1" applyProtection="1">
      <alignment horizontal="center" wrapText="1"/>
      <protection locked="0"/>
    </xf>
    <xf numFmtId="165" fontId="21" fillId="0" borderId="29" xfId="139" applyNumberFormat="1" applyFont="1" applyFill="1" applyBorder="1"/>
    <xf numFmtId="173" fontId="21" fillId="0" borderId="29" xfId="139" applyNumberFormat="1" applyFont="1" applyFill="1" applyBorder="1"/>
    <xf numFmtId="165" fontId="21" fillId="5" borderId="29" xfId="55" applyNumberFormat="1" applyFont="1" applyFill="1" applyBorder="1"/>
    <xf numFmtId="165" fontId="21" fillId="0" borderId="29" xfId="55" applyNumberFormat="1" applyFont="1" applyFill="1" applyBorder="1"/>
    <xf numFmtId="173" fontId="21" fillId="0" borderId="29" xfId="55" applyNumberFormat="1" applyFont="1" applyFill="1" applyBorder="1"/>
    <xf numFmtId="170" fontId="21" fillId="0" borderId="29" xfId="283" applyNumberFormat="1" applyFont="1" applyFill="1" applyBorder="1"/>
    <xf numFmtId="173" fontId="20" fillId="0" borderId="29" xfId="139" applyNumberFormat="1" applyFont="1" applyFill="1" applyBorder="1"/>
    <xf numFmtId="9" fontId="28" fillId="0" borderId="29" xfId="283" applyFont="1" applyBorder="1"/>
    <xf numFmtId="9" fontId="28" fillId="0" borderId="68" xfId="283" applyFont="1" applyBorder="1"/>
    <xf numFmtId="0" fontId="19" fillId="0" borderId="43" xfId="0" applyFont="1" applyBorder="1"/>
    <xf numFmtId="0" fontId="22" fillId="0" borderId="42"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2" fillId="0" borderId="29" xfId="0" applyFont="1" applyBorder="1" applyProtection="1">
      <protection locked="0"/>
    </xf>
    <xf numFmtId="0" fontId="22" fillId="0" borderId="29" xfId="0" applyFont="1" applyBorder="1" applyAlignment="1">
      <alignment wrapText="1"/>
    </xf>
    <xf numFmtId="0" fontId="22" fillId="0" borderId="29" xfId="0" applyFont="1" applyBorder="1" applyAlignment="1" applyProtection="1">
      <alignment horizontal="center" wrapText="1"/>
      <protection locked="0"/>
    </xf>
    <xf numFmtId="165" fontId="22" fillId="0" borderId="29" xfId="139" applyNumberFormat="1" applyFont="1" applyFill="1" applyBorder="1"/>
    <xf numFmtId="0" fontId="0" fillId="0" borderId="43" xfId="0" applyBorder="1"/>
    <xf numFmtId="0" fontId="21" fillId="0" borderId="29" xfId="0" applyFont="1" applyBorder="1" applyAlignment="1" applyProtection="1">
      <alignment wrapText="1"/>
      <protection locked="0"/>
    </xf>
    <xf numFmtId="0" fontId="22" fillId="0" borderId="29" xfId="0" applyFont="1" applyBorder="1" applyAlignment="1" applyProtection="1">
      <alignment wrapText="1"/>
      <protection locked="0"/>
    </xf>
    <xf numFmtId="165" fontId="74" fillId="0" borderId="29" xfId="139" applyNumberFormat="1" applyFont="1" applyFill="1" applyBorder="1"/>
    <xf numFmtId="165" fontId="21" fillId="0" borderId="29" xfId="139" applyNumberFormat="1" applyFont="1" applyFill="1" applyBorder="1" applyAlignment="1">
      <alignment horizontal="center"/>
    </xf>
    <xf numFmtId="0" fontId="28" fillId="0" borderId="29" xfId="0" applyFont="1" applyBorder="1"/>
    <xf numFmtId="173" fontId="21" fillId="0" borderId="43" xfId="139" applyNumberFormat="1" applyFont="1" applyFill="1" applyBorder="1"/>
    <xf numFmtId="0" fontId="20" fillId="0" borderId="36" xfId="0" applyFont="1" applyBorder="1" applyAlignment="1" applyProtection="1">
      <alignment horizontal="center"/>
      <protection locked="0"/>
    </xf>
    <xf numFmtId="0" fontId="20" fillId="0" borderId="44" xfId="0" applyFont="1" applyBorder="1" applyAlignment="1" applyProtection="1">
      <alignment horizontal="center"/>
      <protection locked="0"/>
    </xf>
    <xf numFmtId="0" fontId="20" fillId="0" borderId="44" xfId="0" applyFont="1" applyBorder="1" applyAlignment="1" applyProtection="1">
      <alignment wrapText="1"/>
      <protection locked="0"/>
    </xf>
    <xf numFmtId="0" fontId="20" fillId="0" borderId="44" xfId="0" applyFont="1" applyBorder="1"/>
    <xf numFmtId="173" fontId="20" fillId="0" borderId="44" xfId="139" applyNumberFormat="1" applyFont="1" applyFill="1" applyBorder="1"/>
    <xf numFmtId="170" fontId="20" fillId="0" borderId="44" xfId="283" applyNumberFormat="1" applyFont="1" applyFill="1" applyBorder="1"/>
    <xf numFmtId="9" fontId="28" fillId="0" borderId="44" xfId="283" applyFont="1" applyBorder="1"/>
    <xf numFmtId="9" fontId="28" fillId="0" borderId="93" xfId="283" applyFont="1" applyBorder="1"/>
    <xf numFmtId="0" fontId="0" fillId="0" borderId="37" xfId="0" applyBorder="1"/>
    <xf numFmtId="0" fontId="20" fillId="0" borderId="16"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wrapText="1"/>
      <protection locked="0"/>
    </xf>
    <xf numFmtId="173" fontId="20" fillId="0" borderId="0" xfId="139" applyNumberFormat="1" applyFont="1" applyFill="1" applyBorder="1"/>
    <xf numFmtId="170" fontId="20" fillId="0" borderId="47" xfId="283" applyNumberFormat="1" applyFont="1" applyFill="1" applyBorder="1"/>
    <xf numFmtId="173" fontId="20" fillId="0" borderId="47" xfId="139" applyNumberFormat="1" applyFont="1" applyFill="1" applyBorder="1"/>
    <xf numFmtId="43" fontId="20" fillId="0" borderId="29" xfId="55" applyFont="1" applyFill="1" applyBorder="1"/>
    <xf numFmtId="0" fontId="20" fillId="0" borderId="44" xfId="0" applyFont="1" applyBorder="1" applyProtection="1">
      <protection locked="0"/>
    </xf>
    <xf numFmtId="0" fontId="21" fillId="0" borderId="0" xfId="0" applyFont="1" applyAlignment="1" applyProtection="1">
      <alignment horizontal="center"/>
      <protection locked="0"/>
    </xf>
    <xf numFmtId="0" fontId="21" fillId="0" borderId="0" xfId="0" applyFont="1" applyProtection="1">
      <protection locked="0"/>
    </xf>
    <xf numFmtId="0" fontId="21" fillId="0" borderId="0" xfId="0" applyFont="1" applyAlignment="1" applyProtection="1">
      <alignment wrapText="1"/>
      <protection locked="0"/>
    </xf>
    <xf numFmtId="0" fontId="21" fillId="0" borderId="0" xfId="0" applyFont="1"/>
    <xf numFmtId="173" fontId="21" fillId="0" borderId="0" xfId="139" applyNumberFormat="1" applyFont="1" applyFill="1" applyBorder="1"/>
    <xf numFmtId="43" fontId="20" fillId="0" borderId="0" xfId="55" applyFont="1" applyFill="1" applyBorder="1"/>
    <xf numFmtId="173" fontId="0" fillId="0" borderId="0" xfId="0" applyNumberFormat="1"/>
    <xf numFmtId="10" fontId="0" fillId="0" borderId="0" xfId="283" applyNumberFormat="1" applyFont="1"/>
    <xf numFmtId="173" fontId="28" fillId="0" borderId="0" xfId="0" applyNumberFormat="1" applyFont="1"/>
    <xf numFmtId="9" fontId="19" fillId="0" borderId="0" xfId="283" applyFont="1"/>
    <xf numFmtId="44" fontId="0" fillId="0" borderId="0" xfId="321" applyFont="1" applyAlignment="1">
      <alignment horizontal="center"/>
    </xf>
    <xf numFmtId="9" fontId="0" fillId="0" borderId="0" xfId="3" applyFont="1"/>
    <xf numFmtId="44" fontId="0" fillId="0" borderId="0" xfId="321" applyFont="1"/>
    <xf numFmtId="173" fontId="0" fillId="5" borderId="0" xfId="0" applyNumberFormat="1" applyFill="1"/>
    <xf numFmtId="0" fontId="0" fillId="5" borderId="0" xfId="0" applyFill="1"/>
    <xf numFmtId="173" fontId="28" fillId="5" borderId="0" xfId="0" applyNumberFormat="1" applyFont="1" applyFill="1"/>
    <xf numFmtId="173" fontId="28" fillId="5" borderId="0" xfId="2" applyNumberFormat="1" applyFont="1" applyFill="1"/>
    <xf numFmtId="173" fontId="28" fillId="0" borderId="0" xfId="283" applyNumberFormat="1" applyFont="1"/>
    <xf numFmtId="166" fontId="0" fillId="0" borderId="0" xfId="321" applyNumberFormat="1" applyFont="1" applyAlignment="1">
      <alignment horizontal="left"/>
    </xf>
    <xf numFmtId="166" fontId="0" fillId="0" borderId="0" xfId="0" applyNumberFormat="1" applyAlignment="1">
      <alignment horizontal="left"/>
    </xf>
    <xf numFmtId="173" fontId="19" fillId="0" borderId="0" xfId="0" applyNumberFormat="1" applyFont="1"/>
    <xf numFmtId="173" fontId="0" fillId="0" borderId="21" xfId="0" applyNumberFormat="1" applyBorder="1"/>
    <xf numFmtId="173" fontId="19" fillId="0" borderId="21" xfId="0" applyNumberFormat="1" applyFont="1" applyBorder="1"/>
    <xf numFmtId="173" fontId="19" fillId="5" borderId="0" xfId="0" applyNumberFormat="1" applyFont="1" applyFill="1"/>
    <xf numFmtId="171" fontId="63" fillId="0" borderId="18" xfId="0" applyNumberFormat="1" applyFont="1" applyBorder="1"/>
    <xf numFmtId="171" fontId="63" fillId="5" borderId="10" xfId="0" applyNumberFormat="1" applyFont="1" applyFill="1" applyBorder="1"/>
    <xf numFmtId="0" fontId="0" fillId="0" borderId="40" xfId="0" applyBorder="1"/>
    <xf numFmtId="0" fontId="19" fillId="0" borderId="0" xfId="6"/>
    <xf numFmtId="0" fontId="77" fillId="0" borderId="29" xfId="6" applyFont="1" applyBorder="1" applyAlignment="1">
      <alignment horizontal="center" vertical="center" wrapText="1"/>
    </xf>
    <xf numFmtId="0" fontId="78" fillId="0" borderId="29" xfId="6" applyFont="1" applyBorder="1" applyAlignment="1">
      <alignment horizontal="center" vertical="center"/>
    </xf>
    <xf numFmtId="0" fontId="19" fillId="0" borderId="29" xfId="189" applyBorder="1"/>
    <xf numFmtId="0" fontId="77" fillId="0" borderId="29" xfId="6" applyFont="1" applyBorder="1" applyAlignment="1">
      <alignment horizontal="center" vertical="center"/>
    </xf>
    <xf numFmtId="9" fontId="77" fillId="0" borderId="29" xfId="6" applyNumberFormat="1" applyFont="1" applyBorder="1" applyAlignment="1">
      <alignment horizontal="center" vertical="center"/>
    </xf>
    <xf numFmtId="165" fontId="19" fillId="0" borderId="29" xfId="189" applyNumberFormat="1" applyBorder="1"/>
    <xf numFmtId="0" fontId="79" fillId="0" borderId="29" xfId="6" applyFont="1" applyBorder="1" applyAlignment="1">
      <alignment vertical="center" wrapText="1"/>
    </xf>
    <xf numFmtId="0" fontId="19" fillId="0" borderId="29" xfId="6" applyBorder="1"/>
    <xf numFmtId="0" fontId="80" fillId="0" borderId="29" xfId="6" applyFont="1" applyBorder="1" applyAlignment="1">
      <alignment horizontal="center" vertical="center" wrapText="1"/>
    </xf>
    <xf numFmtId="9" fontId="77" fillId="0" borderId="29" xfId="6" applyNumberFormat="1" applyFont="1" applyBorder="1" applyAlignment="1">
      <alignment horizontal="center" vertical="center" wrapText="1"/>
    </xf>
    <xf numFmtId="0" fontId="77" fillId="0" borderId="29" xfId="6" applyFont="1" applyBorder="1" applyAlignment="1">
      <alignment vertical="center" wrapText="1"/>
    </xf>
    <xf numFmtId="0" fontId="19" fillId="0" borderId="29" xfId="189" applyBorder="1" applyAlignment="1">
      <alignment wrapText="1"/>
    </xf>
    <xf numFmtId="0" fontId="87" fillId="0" borderId="32" xfId="318" applyFont="1" applyBorder="1" applyAlignment="1">
      <alignment horizontal="center" vertical="center" wrapText="1"/>
    </xf>
    <xf numFmtId="0" fontId="0" fillId="0" borderId="32" xfId="0" applyBorder="1"/>
    <xf numFmtId="0" fontId="89" fillId="0" borderId="14" xfId="318" applyFont="1" applyBorder="1" applyAlignment="1">
      <alignment horizontal="center" vertical="center" wrapText="1"/>
    </xf>
    <xf numFmtId="0" fontId="74" fillId="0" borderId="15" xfId="318" applyFont="1" applyBorder="1" applyAlignment="1">
      <alignment wrapText="1"/>
    </xf>
    <xf numFmtId="0" fontId="74" fillId="0" borderId="20" xfId="318" applyFont="1" applyBorder="1" applyAlignment="1">
      <alignment wrapText="1"/>
    </xf>
    <xf numFmtId="0" fontId="88" fillId="0" borderId="14" xfId="318" applyFont="1" applyBorder="1" applyAlignment="1">
      <alignment horizontal="center" vertical="center" wrapText="1"/>
    </xf>
    <xf numFmtId="9" fontId="89" fillId="0" borderId="14" xfId="3" applyFont="1" applyFill="1" applyBorder="1" applyAlignment="1">
      <alignment horizontal="center" vertical="center" wrapText="1"/>
    </xf>
    <xf numFmtId="0" fontId="88" fillId="0" borderId="30" xfId="318" applyFont="1" applyBorder="1" applyAlignment="1">
      <alignment horizontal="center" vertical="center" wrapText="1"/>
    </xf>
    <xf numFmtId="2" fontId="89" fillId="0" borderId="14" xfId="318" applyNumberFormat="1" applyFont="1" applyBorder="1" applyAlignment="1">
      <alignment horizontal="center" vertical="center" wrapText="1"/>
    </xf>
    <xf numFmtId="2" fontId="89" fillId="0" borderId="30" xfId="318" applyNumberFormat="1" applyFont="1" applyBorder="1" applyAlignment="1">
      <alignment horizontal="center" vertical="center" wrapText="1"/>
    </xf>
    <xf numFmtId="9" fontId="89" fillId="0" borderId="30" xfId="3" applyFont="1" applyFill="1" applyBorder="1" applyAlignment="1">
      <alignment horizontal="center" vertical="center" wrapText="1"/>
    </xf>
    <xf numFmtId="0" fontId="57" fillId="0" borderId="0" xfId="322" applyFont="1"/>
    <xf numFmtId="0" fontId="58" fillId="0" borderId="0" xfId="322" applyFont="1" applyAlignment="1">
      <alignment horizontal="center"/>
    </xf>
    <xf numFmtId="0" fontId="57" fillId="0" borderId="0" xfId="322" applyFont="1" applyAlignment="1">
      <alignment wrapText="1"/>
    </xf>
    <xf numFmtId="17" fontId="59" fillId="0" borderId="0" xfId="322" applyNumberFormat="1" applyFont="1" applyAlignment="1">
      <alignment horizontal="center"/>
    </xf>
    <xf numFmtId="164" fontId="60" fillId="0" borderId="0" xfId="322" applyNumberFormat="1" applyFont="1" applyAlignment="1">
      <alignment horizontal="left" vertical="top"/>
    </xf>
    <xf numFmtId="0" fontId="60" fillId="0" borderId="0" xfId="322" applyFont="1" applyAlignment="1">
      <alignment horizontal="center"/>
    </xf>
    <xf numFmtId="0" fontId="60" fillId="0" borderId="0" xfId="322" applyFont="1"/>
    <xf numFmtId="9" fontId="60" fillId="0" borderId="0" xfId="322" applyNumberFormat="1" applyFont="1" applyAlignment="1">
      <alignment horizontal="center" wrapText="1"/>
    </xf>
    <xf numFmtId="0" fontId="60" fillId="0" borderId="0" xfId="322" applyFont="1" applyAlignment="1">
      <alignment horizontal="left" wrapText="1"/>
    </xf>
    <xf numFmtId="0" fontId="83" fillId="0" borderId="7" xfId="322" applyFont="1" applyBorder="1"/>
    <xf numFmtId="165" fontId="57" fillId="0" borderId="8" xfId="322" applyNumberFormat="1" applyFont="1" applyBorder="1" applyAlignment="1">
      <alignment horizontal="center"/>
    </xf>
    <xf numFmtId="165" fontId="57" fillId="0" borderId="95" xfId="322" applyNumberFormat="1" applyFont="1" applyBorder="1" applyAlignment="1">
      <alignment horizontal="center"/>
    </xf>
    <xf numFmtId="10" fontId="57" fillId="0" borderId="0" xfId="3" applyNumberFormat="1" applyFont="1"/>
    <xf numFmtId="0" fontId="83" fillId="0" borderId="12" xfId="322" applyFont="1" applyBorder="1"/>
    <xf numFmtId="166" fontId="57" fillId="0" borderId="13" xfId="322" applyNumberFormat="1" applyFont="1" applyBorder="1" applyAlignment="1">
      <alignment horizontal="center"/>
    </xf>
    <xf numFmtId="166" fontId="57" fillId="0" borderId="15" xfId="322" applyNumberFormat="1" applyFont="1" applyBorder="1" applyAlignment="1">
      <alignment horizontal="center"/>
    </xf>
    <xf numFmtId="0" fontId="57" fillId="0" borderId="7" xfId="322" applyFont="1" applyBorder="1"/>
    <xf numFmtId="0" fontId="57" fillId="0" borderId="9" xfId="322" applyFont="1" applyBorder="1"/>
    <xf numFmtId="0" fontId="57" fillId="0" borderId="16" xfId="322" applyFont="1" applyBorder="1"/>
    <xf numFmtId="166" fontId="57" fillId="0" borderId="0" xfId="322" applyNumberFormat="1" applyFont="1" applyAlignment="1">
      <alignment horizontal="center"/>
    </xf>
    <xf numFmtId="166" fontId="57" fillId="0" borderId="19" xfId="322" applyNumberFormat="1" applyFont="1" applyBorder="1" applyAlignment="1">
      <alignment horizontal="center"/>
    </xf>
    <xf numFmtId="0" fontId="57" fillId="0" borderId="12" xfId="322" applyFont="1" applyBorder="1"/>
    <xf numFmtId="0" fontId="57" fillId="0" borderId="13" xfId="322" applyFont="1" applyBorder="1"/>
    <xf numFmtId="0" fontId="57" fillId="0" borderId="7" xfId="322" applyFont="1" applyBorder="1" applyAlignment="1">
      <alignment wrapText="1"/>
    </xf>
    <xf numFmtId="0" fontId="57" fillId="0" borderId="12" xfId="322" applyFont="1" applyBorder="1" applyAlignment="1">
      <alignment wrapText="1"/>
    </xf>
    <xf numFmtId="165" fontId="57" fillId="0" borderId="9" xfId="322" applyNumberFormat="1" applyFont="1" applyBorder="1" applyAlignment="1">
      <alignment horizontal="center"/>
    </xf>
    <xf numFmtId="165" fontId="57" fillId="0" borderId="11" xfId="322" applyNumberFormat="1" applyFont="1" applyBorder="1" applyAlignment="1">
      <alignment horizontal="center"/>
    </xf>
    <xf numFmtId="165" fontId="57" fillId="0" borderId="0" xfId="322" applyNumberFormat="1" applyFont="1" applyAlignment="1">
      <alignment horizontal="center"/>
    </xf>
    <xf numFmtId="165" fontId="57" fillId="0" borderId="19" xfId="322" applyNumberFormat="1" applyFont="1" applyBorder="1" applyAlignment="1">
      <alignment horizontal="center"/>
    </xf>
    <xf numFmtId="0" fontId="83" fillId="0" borderId="16" xfId="322" applyFont="1" applyBorder="1"/>
    <xf numFmtId="0" fontId="84" fillId="0" borderId="0" xfId="322" applyFont="1" applyAlignment="1">
      <alignment horizontal="right" wrapText="1"/>
    </xf>
    <xf numFmtId="0" fontId="57" fillId="0" borderId="0" xfId="322" applyFont="1" applyAlignment="1">
      <alignment horizontal="center"/>
    </xf>
    <xf numFmtId="0" fontId="57" fillId="0" borderId="0" xfId="322" applyFont="1" applyAlignment="1">
      <alignment horizontal="right"/>
    </xf>
    <xf numFmtId="10" fontId="57" fillId="0" borderId="0" xfId="323" applyNumberFormat="1" applyFont="1" applyAlignment="1">
      <alignment horizontal="center"/>
    </xf>
    <xf numFmtId="9" fontId="57" fillId="0" borderId="0" xfId="323" applyFont="1" applyAlignment="1">
      <alignment horizontal="center"/>
    </xf>
    <xf numFmtId="9" fontId="57" fillId="0" borderId="0" xfId="323" applyFont="1"/>
    <xf numFmtId="0" fontId="83" fillId="0" borderId="0" xfId="322" applyFont="1" applyAlignment="1">
      <alignment horizontal="right"/>
    </xf>
    <xf numFmtId="6" fontId="57" fillId="0" borderId="0" xfId="322" applyNumberFormat="1" applyFont="1" applyAlignment="1">
      <alignment horizontal="center"/>
    </xf>
    <xf numFmtId="0" fontId="60" fillId="0" borderId="0" xfId="322" applyFont="1" applyAlignment="1">
      <alignment horizontal="right"/>
    </xf>
    <xf numFmtId="0" fontId="60" fillId="0" borderId="0" xfId="322" applyFont="1" applyAlignment="1">
      <alignment horizontal="right" vertical="top"/>
    </xf>
    <xf numFmtId="0" fontId="21" fillId="0" borderId="0" xfId="324"/>
    <xf numFmtId="0" fontId="21" fillId="43" borderId="0" xfId="324" applyFill="1"/>
    <xf numFmtId="0" fontId="21" fillId="44" borderId="0" xfId="324" applyFill="1"/>
    <xf numFmtId="0" fontId="21" fillId="45" borderId="0" xfId="324" applyFill="1"/>
    <xf numFmtId="0" fontId="21" fillId="46" borderId="0" xfId="324" applyFill="1"/>
    <xf numFmtId="0" fontId="74" fillId="42" borderId="20" xfId="318" applyFont="1" applyFill="1" applyBorder="1"/>
    <xf numFmtId="0" fontId="89" fillId="42" borderId="11" xfId="318" applyFont="1" applyFill="1" applyBorder="1" applyAlignment="1">
      <alignment vertical="center" wrapText="1"/>
    </xf>
    <xf numFmtId="0" fontId="89" fillId="42" borderId="20" xfId="318" applyFont="1" applyFill="1" applyBorder="1" applyAlignment="1">
      <alignment vertical="center" wrapText="1"/>
    </xf>
    <xf numFmtId="0" fontId="89" fillId="42" borderId="19" xfId="318" applyFont="1" applyFill="1" applyBorder="1" applyAlignment="1">
      <alignment vertical="center" wrapText="1"/>
    </xf>
    <xf numFmtId="0" fontId="28" fillId="0" borderId="30" xfId="0" applyFont="1" applyBorder="1" applyAlignment="1">
      <alignment horizontal="center"/>
    </xf>
    <xf numFmtId="0" fontId="74" fillId="42" borderId="19" xfId="318" applyFont="1" applyFill="1" applyBorder="1"/>
    <xf numFmtId="0" fontId="89" fillId="0" borderId="10" xfId="318" applyFont="1" applyBorder="1" applyAlignment="1">
      <alignment horizontal="center" vertical="center" wrapText="1"/>
    </xf>
    <xf numFmtId="0" fontId="74" fillId="0" borderId="11" xfId="318" applyFont="1" applyBorder="1" applyAlignment="1">
      <alignment wrapText="1"/>
    </xf>
    <xf numFmtId="0" fontId="88" fillId="0" borderId="10" xfId="318" applyFont="1" applyBorder="1" applyAlignment="1">
      <alignment horizontal="center" vertical="center" wrapText="1"/>
    </xf>
    <xf numFmtId="9" fontId="89" fillId="0" borderId="18" xfId="3" applyFont="1" applyFill="1" applyBorder="1" applyAlignment="1">
      <alignment horizontal="center" vertical="center" wrapText="1"/>
    </xf>
    <xf numFmtId="2" fontId="89" fillId="0" borderId="10" xfId="318" applyNumberFormat="1" applyFont="1" applyBorder="1" applyAlignment="1">
      <alignment horizontal="center" vertical="center" wrapText="1"/>
    </xf>
    <xf numFmtId="0" fontId="91" fillId="0" borderId="0" xfId="0" applyFont="1"/>
    <xf numFmtId="0" fontId="92" fillId="0" borderId="0" xfId="0" applyFont="1"/>
    <xf numFmtId="0" fontId="91" fillId="0" borderId="0" xfId="0" applyFont="1" applyAlignment="1">
      <alignment horizontal="right"/>
    </xf>
    <xf numFmtId="44" fontId="92" fillId="0" borderId="0" xfId="0" applyNumberFormat="1" applyFont="1"/>
    <xf numFmtId="44" fontId="92" fillId="0" borderId="79" xfId="0" applyNumberFormat="1" applyFont="1" applyBorder="1"/>
    <xf numFmtId="44" fontId="92" fillId="0" borderId="75" xfId="0" applyNumberFormat="1" applyFont="1" applyBorder="1"/>
    <xf numFmtId="44" fontId="92" fillId="0" borderId="81" xfId="0" applyNumberFormat="1" applyFont="1" applyBorder="1"/>
    <xf numFmtId="0" fontId="92" fillId="0" borderId="96" xfId="0" applyFont="1" applyBorder="1"/>
    <xf numFmtId="0" fontId="92" fillId="39" borderId="96" xfId="0" applyFont="1" applyFill="1" applyBorder="1"/>
    <xf numFmtId="0" fontId="92" fillId="0" borderId="97" xfId="0" applyFont="1" applyBorder="1" applyAlignment="1">
      <alignment wrapText="1"/>
    </xf>
    <xf numFmtId="0" fontId="92" fillId="0" borderId="98" xfId="0" applyFont="1" applyBorder="1" applyAlignment="1">
      <alignment wrapText="1"/>
    </xf>
    <xf numFmtId="0" fontId="92" fillId="0" borderId="96" xfId="0" applyFont="1" applyBorder="1" applyAlignment="1">
      <alignment wrapText="1"/>
    </xf>
    <xf numFmtId="0" fontId="92" fillId="39" borderId="96" xfId="0" applyFont="1" applyFill="1" applyBorder="1" applyAlignment="1">
      <alignment wrapText="1"/>
    </xf>
    <xf numFmtId="0" fontId="92" fillId="0" borderId="99" xfId="0" applyFont="1" applyBorder="1"/>
    <xf numFmtId="7" fontId="92" fillId="0" borderId="96" xfId="0" applyNumberFormat="1" applyFont="1" applyBorder="1"/>
    <xf numFmtId="7" fontId="92" fillId="39" borderId="75" xfId="0" applyNumberFormat="1" applyFont="1" applyFill="1" applyBorder="1"/>
    <xf numFmtId="0" fontId="92" fillId="0" borderId="100" xfId="0" applyFont="1" applyBorder="1"/>
    <xf numFmtId="7" fontId="92" fillId="0" borderId="97" xfId="0" applyNumberFormat="1" applyFont="1" applyBorder="1"/>
    <xf numFmtId="3" fontId="92" fillId="0" borderId="0" xfId="0" applyNumberFormat="1" applyFont="1"/>
    <xf numFmtId="4" fontId="92" fillId="0" borderId="0" xfId="0" applyNumberFormat="1" applyFont="1"/>
    <xf numFmtId="10" fontId="92" fillId="0" borderId="0" xfId="0" applyNumberFormat="1" applyFont="1"/>
    <xf numFmtId="0" fontId="92" fillId="0" borderId="0" xfId="0" applyFont="1" applyAlignment="1">
      <alignment horizontal="center"/>
    </xf>
    <xf numFmtId="0" fontId="91" fillId="0" borderId="0" xfId="182" applyFont="1"/>
    <xf numFmtId="44" fontId="92" fillId="0" borderId="0" xfId="67" applyFont="1"/>
    <xf numFmtId="0" fontId="95" fillId="0" borderId="0" xfId="182" applyFont="1"/>
    <xf numFmtId="43" fontId="92" fillId="0" borderId="0" xfId="50" applyFont="1" applyAlignment="1">
      <alignment horizontal="center"/>
    </xf>
    <xf numFmtId="0" fontId="92" fillId="0" borderId="68" xfId="0" applyFont="1" applyBorder="1"/>
    <xf numFmtId="0" fontId="92" fillId="0" borderId="26" xfId="0" applyFont="1" applyBorder="1"/>
    <xf numFmtId="0" fontId="92" fillId="0" borderId="101" xfId="0" applyFont="1" applyBorder="1"/>
    <xf numFmtId="0" fontId="92" fillId="39" borderId="102" xfId="0" applyFont="1" applyFill="1" applyBorder="1"/>
    <xf numFmtId="0" fontId="92" fillId="0" borderId="45" xfId="0" applyFont="1" applyBorder="1"/>
    <xf numFmtId="0" fontId="92" fillId="0" borderId="17" xfId="0" applyFont="1" applyBorder="1"/>
    <xf numFmtId="7" fontId="92" fillId="0" borderId="103" xfId="0" applyNumberFormat="1" applyFont="1" applyBorder="1"/>
    <xf numFmtId="7" fontId="92" fillId="39" borderId="79" xfId="0" applyNumberFormat="1" applyFont="1" applyFill="1" applyBorder="1"/>
    <xf numFmtId="0" fontId="92" fillId="0" borderId="104" xfId="0" applyFont="1" applyBorder="1"/>
    <xf numFmtId="0" fontId="92" fillId="0" borderId="23" xfId="0" applyFont="1" applyBorder="1"/>
    <xf numFmtId="7" fontId="92" fillId="0" borderId="105" xfId="0" applyNumberFormat="1" applyFont="1" applyBorder="1"/>
    <xf numFmtId="7" fontId="92" fillId="39" borderId="81" xfId="0" applyNumberFormat="1" applyFont="1" applyFill="1" applyBorder="1"/>
    <xf numFmtId="7" fontId="92" fillId="0" borderId="0" xfId="0" applyNumberFormat="1" applyFont="1"/>
    <xf numFmtId="7" fontId="92" fillId="0" borderId="0" xfId="67" applyNumberFormat="1" applyFont="1"/>
    <xf numFmtId="0" fontId="92" fillId="0" borderId="79" xfId="0" applyFont="1" applyBorder="1"/>
    <xf numFmtId="0" fontId="92" fillId="0" borderId="81" xfId="0" applyFont="1" applyBorder="1"/>
    <xf numFmtId="0" fontId="96" fillId="0" borderId="0" xfId="0" applyFont="1"/>
    <xf numFmtId="0" fontId="75" fillId="0" borderId="0" xfId="0" applyFont="1"/>
    <xf numFmtId="0" fontId="96" fillId="0" borderId="0" xfId="0" applyFont="1" applyAlignment="1">
      <alignment horizontal="right"/>
    </xf>
    <xf numFmtId="44" fontId="75" fillId="0" borderId="0" xfId="0" applyNumberFormat="1" applyFont="1"/>
    <xf numFmtId="0" fontId="75" fillId="0" borderId="0" xfId="231" applyFont="1"/>
    <xf numFmtId="0" fontId="97" fillId="0" borderId="0" xfId="230" applyFont="1"/>
    <xf numFmtId="44" fontId="75" fillId="0" borderId="79" xfId="0" applyNumberFormat="1" applyFont="1" applyBorder="1"/>
    <xf numFmtId="44" fontId="75" fillId="0" borderId="75" xfId="0" applyNumberFormat="1" applyFont="1" applyBorder="1"/>
    <xf numFmtId="44" fontId="75" fillId="0" borderId="81" xfId="0" applyNumberFormat="1" applyFont="1" applyBorder="1"/>
    <xf numFmtId="0" fontId="75" fillId="0" borderId="96" xfId="0" applyFont="1" applyBorder="1"/>
    <xf numFmtId="0" fontId="75" fillId="39" borderId="96" xfId="0" applyFont="1" applyFill="1" applyBorder="1"/>
    <xf numFmtId="0" fontId="75" fillId="0" borderId="97" xfId="0" applyFont="1" applyBorder="1" applyAlignment="1">
      <alignment wrapText="1"/>
    </xf>
    <xf numFmtId="0" fontId="75" fillId="0" borderId="98" xfId="0" applyFont="1" applyBorder="1" applyAlignment="1">
      <alignment wrapText="1"/>
    </xf>
    <xf numFmtId="0" fontId="75" fillId="0" borderId="96" xfId="0" applyFont="1" applyBorder="1" applyAlignment="1">
      <alignment wrapText="1"/>
    </xf>
    <xf numFmtId="0" fontId="75" fillId="39" borderId="96" xfId="0" applyFont="1" applyFill="1" applyBorder="1" applyAlignment="1">
      <alignment wrapText="1"/>
    </xf>
    <xf numFmtId="0" fontId="75" fillId="0" borderId="99" xfId="0" applyFont="1" applyBorder="1"/>
    <xf numFmtId="7" fontId="75" fillId="0" borderId="96" xfId="0" applyNumberFormat="1" applyFont="1" applyBorder="1"/>
    <xf numFmtId="7" fontId="75" fillId="39" borderId="75" xfId="0" applyNumberFormat="1" applyFont="1" applyFill="1" applyBorder="1"/>
    <xf numFmtId="7" fontId="75" fillId="0" borderId="99" xfId="0" applyNumberFormat="1" applyFont="1" applyBorder="1"/>
    <xf numFmtId="7" fontId="75" fillId="0" borderId="97" xfId="0" applyNumberFormat="1" applyFont="1" applyBorder="1"/>
    <xf numFmtId="0" fontId="75" fillId="0" borderId="100" xfId="0" applyFont="1" applyBorder="1"/>
    <xf numFmtId="7" fontId="63" fillId="0" borderId="10" xfId="0" applyNumberFormat="1" applyFont="1" applyBorder="1"/>
    <xf numFmtId="7" fontId="75" fillId="0" borderId="0" xfId="0" applyNumberFormat="1" applyFont="1"/>
    <xf numFmtId="0" fontId="63" fillId="0" borderId="106" xfId="0" applyFont="1" applyBorder="1"/>
    <xf numFmtId="0" fontId="0" fillId="0" borderId="12" xfId="0" applyBorder="1"/>
    <xf numFmtId="7" fontId="75" fillId="5" borderId="0" xfId="0" applyNumberFormat="1" applyFont="1" applyFill="1"/>
    <xf numFmtId="0" fontId="100" fillId="0" borderId="7" xfId="0" applyFont="1" applyBorder="1"/>
    <xf numFmtId="0" fontId="75" fillId="0" borderId="9" xfId="0" applyFont="1" applyBorder="1"/>
    <xf numFmtId="44" fontId="75" fillId="39" borderId="76" xfId="0" applyNumberFormat="1" applyFont="1" applyFill="1" applyBorder="1"/>
    <xf numFmtId="44" fontId="75" fillId="0" borderId="10" xfId="0" applyNumberFormat="1" applyFont="1" applyBorder="1"/>
    <xf numFmtId="0" fontId="100" fillId="0" borderId="16" xfId="0" applyFont="1" applyBorder="1"/>
    <xf numFmtId="44" fontId="75" fillId="39" borderId="75" xfId="0" applyNumberFormat="1" applyFont="1" applyFill="1" applyBorder="1"/>
    <xf numFmtId="44" fontId="75" fillId="0" borderId="18" xfId="0" applyNumberFormat="1" applyFont="1" applyBorder="1"/>
    <xf numFmtId="0" fontId="100" fillId="0" borderId="12" xfId="0" applyFont="1" applyBorder="1"/>
    <xf numFmtId="0" fontId="75" fillId="0" borderId="13" xfId="0" applyFont="1" applyBorder="1"/>
    <xf numFmtId="44" fontId="75" fillId="39" borderId="80" xfId="0" applyNumberFormat="1" applyFont="1" applyFill="1" applyBorder="1"/>
    <xf numFmtId="44" fontId="75" fillId="0" borderId="14" xfId="0" applyNumberFormat="1" applyFont="1" applyBorder="1"/>
    <xf numFmtId="0" fontId="101" fillId="0" borderId="0" xfId="0" applyFont="1"/>
    <xf numFmtId="0" fontId="81" fillId="0" borderId="16" xfId="0" applyFont="1" applyBorder="1"/>
    <xf numFmtId="44" fontId="75" fillId="5" borderId="18" xfId="0" applyNumberFormat="1" applyFont="1" applyFill="1" applyBorder="1"/>
    <xf numFmtId="0" fontId="1" fillId="0" borderId="0" xfId="176" applyFont="1"/>
    <xf numFmtId="0" fontId="101" fillId="0" borderId="96" xfId="0" applyFont="1" applyBorder="1"/>
    <xf numFmtId="37" fontId="95" fillId="0" borderId="0" xfId="182" applyNumberFormat="1" applyFont="1"/>
    <xf numFmtId="7" fontId="63" fillId="0" borderId="0" xfId="2" applyNumberFormat="1" applyFont="1" applyFill="1" applyBorder="1" applyAlignment="1">
      <alignment horizontal="center"/>
    </xf>
    <xf numFmtId="7" fontId="63" fillId="0" borderId="0" xfId="2" applyNumberFormat="1" applyFont="1" applyFill="1" applyBorder="1"/>
    <xf numFmtId="0" fontId="102" fillId="0" borderId="0" xfId="189" applyFont="1"/>
    <xf numFmtId="173" fontId="20" fillId="0" borderId="0" xfId="129" applyNumberFormat="1" applyFont="1" applyFill="1" applyBorder="1" applyAlignment="1">
      <alignment horizontal="center" vertical="center" wrapText="1"/>
    </xf>
    <xf numFmtId="0" fontId="20" fillId="0" borderId="0" xfId="9" applyFont="1" applyAlignment="1">
      <alignment horizontal="center" vertical="center" wrapText="1"/>
    </xf>
    <xf numFmtId="0" fontId="76" fillId="0" borderId="0" xfId="9" applyFont="1" applyAlignment="1">
      <alignment horizontal="center" vertical="center" wrapText="1"/>
    </xf>
    <xf numFmtId="0" fontId="21" fillId="0" borderId="0" xfId="9" applyAlignment="1" applyProtection="1">
      <alignment wrapText="1"/>
      <protection locked="0"/>
    </xf>
    <xf numFmtId="0" fontId="21" fillId="0" borderId="0" xfId="9" applyAlignment="1" applyProtection="1">
      <alignment horizontal="center" wrapText="1"/>
      <protection locked="0"/>
    </xf>
    <xf numFmtId="0" fontId="20" fillId="0" borderId="0" xfId="9" applyFont="1" applyAlignment="1" applyProtection="1">
      <alignment wrapText="1"/>
      <protection locked="0"/>
    </xf>
    <xf numFmtId="0" fontId="20" fillId="0" borderId="0" xfId="9" applyFont="1" applyAlignment="1" applyProtection="1">
      <alignment horizontal="center" wrapText="1"/>
      <protection locked="0"/>
    </xf>
    <xf numFmtId="0" fontId="21" fillId="0" borderId="0" xfId="9" applyAlignment="1">
      <alignment wrapText="1"/>
    </xf>
    <xf numFmtId="0" fontId="21" fillId="0" borderId="0" xfId="9" applyAlignment="1">
      <alignment horizontal="center" wrapText="1"/>
    </xf>
    <xf numFmtId="173" fontId="21" fillId="0" borderId="0" xfId="129" applyNumberFormat="1" applyFont="1" applyFill="1" applyBorder="1" applyAlignment="1">
      <alignment wrapText="1"/>
    </xf>
    <xf numFmtId="0" fontId="75" fillId="0" borderId="0" xfId="9" applyFont="1" applyAlignment="1">
      <alignment wrapText="1"/>
    </xf>
    <xf numFmtId="173" fontId="0" fillId="0" borderId="0" xfId="2" applyNumberFormat="1" applyFont="1" applyFill="1" applyBorder="1" applyAlignment="1">
      <alignment wrapText="1"/>
    </xf>
    <xf numFmtId="0" fontId="19" fillId="0" borderId="0" xfId="189" applyAlignment="1">
      <alignment wrapText="1"/>
    </xf>
    <xf numFmtId="6" fontId="21" fillId="0" borderId="0" xfId="0" applyNumberFormat="1" applyFont="1" applyAlignment="1">
      <alignment wrapText="1"/>
    </xf>
    <xf numFmtId="10" fontId="75" fillId="0" borderId="0" xfId="9" applyNumberFormat="1" applyFont="1" applyAlignment="1">
      <alignment wrapText="1"/>
    </xf>
    <xf numFmtId="173" fontId="19" fillId="0" borderId="0" xfId="189" applyNumberFormat="1" applyAlignment="1">
      <alignment wrapText="1"/>
    </xf>
    <xf numFmtId="0" fontId="20" fillId="0" borderId="0" xfId="9" applyFont="1" applyAlignment="1">
      <alignment wrapText="1"/>
    </xf>
    <xf numFmtId="173" fontId="20" fillId="0" borderId="0" xfId="129" applyNumberFormat="1" applyFont="1" applyFill="1" applyBorder="1" applyAlignment="1">
      <alignment wrapText="1"/>
    </xf>
    <xf numFmtId="0" fontId="76" fillId="0" borderId="0" xfId="9" applyFont="1" applyAlignment="1">
      <alignment wrapText="1"/>
    </xf>
    <xf numFmtId="173" fontId="28" fillId="0" borderId="0" xfId="2" applyNumberFormat="1" applyFont="1" applyFill="1" applyBorder="1" applyAlignment="1">
      <alignment wrapText="1"/>
    </xf>
    <xf numFmtId="0" fontId="75" fillId="0" borderId="0" xfId="189" applyFont="1" applyAlignment="1">
      <alignment wrapText="1"/>
    </xf>
    <xf numFmtId="10" fontId="75" fillId="0" borderId="0" xfId="189" applyNumberFormat="1" applyFont="1" applyAlignment="1">
      <alignment wrapText="1"/>
    </xf>
    <xf numFmtId="0" fontId="21" fillId="0" borderId="0" xfId="0" applyFont="1" applyAlignment="1">
      <alignment wrapText="1"/>
    </xf>
    <xf numFmtId="0" fontId="20" fillId="0" borderId="0" xfId="0" applyFont="1" applyAlignment="1">
      <alignment wrapText="1"/>
    </xf>
    <xf numFmtId="6" fontId="20" fillId="0" borderId="0" xfId="0" applyNumberFormat="1" applyFont="1" applyAlignment="1">
      <alignment wrapText="1"/>
    </xf>
    <xf numFmtId="173" fontId="20" fillId="0" borderId="0" xfId="2" applyNumberFormat="1" applyFont="1" applyFill="1" applyBorder="1" applyAlignment="1">
      <alignment wrapText="1"/>
    </xf>
    <xf numFmtId="10" fontId="0" fillId="0" borderId="0" xfId="3" applyNumberFormat="1" applyFont="1" applyAlignment="1">
      <alignment wrapText="1"/>
    </xf>
    <xf numFmtId="173" fontId="21" fillId="0" borderId="0" xfId="2" applyNumberFormat="1" applyFont="1" applyFill="1" applyBorder="1" applyAlignment="1">
      <alignment wrapText="1"/>
    </xf>
    <xf numFmtId="173" fontId="75" fillId="0" borderId="0" xfId="189" applyNumberFormat="1" applyFont="1" applyAlignment="1">
      <alignment wrapText="1"/>
    </xf>
    <xf numFmtId="10" fontId="0" fillId="5" borderId="0" xfId="3" applyNumberFormat="1" applyFont="1" applyFill="1" applyAlignment="1">
      <alignment wrapText="1"/>
    </xf>
    <xf numFmtId="0" fontId="19" fillId="5" borderId="0" xfId="6" applyFill="1"/>
    <xf numFmtId="0" fontId="28" fillId="5" borderId="0" xfId="6" applyFont="1" applyFill="1"/>
    <xf numFmtId="0" fontId="28" fillId="5" borderId="0" xfId="189" applyFont="1" applyFill="1"/>
    <xf numFmtId="10" fontId="63" fillId="0" borderId="0" xfId="3" applyNumberFormat="1" applyFont="1" applyFill="1"/>
    <xf numFmtId="10" fontId="63" fillId="0" borderId="0" xfId="3" applyNumberFormat="1" applyFont="1" applyFill="1" applyAlignment="1"/>
    <xf numFmtId="10" fontId="63" fillId="0" borderId="0" xfId="3" applyNumberFormat="1" applyFont="1" applyFill="1" applyAlignment="1">
      <alignment horizontal="left"/>
    </xf>
    <xf numFmtId="49" fontId="19" fillId="0" borderId="29" xfId="189" applyNumberFormat="1" applyBorder="1"/>
    <xf numFmtId="44" fontId="77" fillId="0" borderId="29" xfId="2" applyFont="1" applyFill="1" applyBorder="1" applyAlignment="1">
      <alignment horizontal="center" vertical="center"/>
    </xf>
    <xf numFmtId="44" fontId="77" fillId="0" borderId="29" xfId="2" applyFont="1" applyFill="1" applyBorder="1" applyAlignment="1">
      <alignment horizontal="center" vertical="center" wrapText="1"/>
    </xf>
    <xf numFmtId="0" fontId="63" fillId="0" borderId="16" xfId="0" applyFont="1" applyBorder="1" applyAlignment="1">
      <alignment wrapText="1"/>
    </xf>
    <xf numFmtId="0" fontId="62" fillId="0" borderId="66" xfId="306" applyFont="1" applyBorder="1" applyAlignment="1">
      <alignment wrapText="1"/>
    </xf>
    <xf numFmtId="0" fontId="62" fillId="0" borderId="16" xfId="306" applyFont="1" applyBorder="1" applyAlignment="1">
      <alignment wrapText="1"/>
    </xf>
    <xf numFmtId="43" fontId="63" fillId="0" borderId="0" xfId="1" applyFont="1" applyAlignment="1">
      <alignment horizontal="right"/>
    </xf>
    <xf numFmtId="14" fontId="63" fillId="0" borderId="0" xfId="196" applyNumberFormat="1" applyFont="1" applyAlignment="1">
      <alignment horizontal="center"/>
    </xf>
    <xf numFmtId="172" fontId="63" fillId="0" borderId="0" xfId="1" applyNumberFormat="1" applyFont="1" applyBorder="1" applyAlignment="1">
      <alignment horizontal="center"/>
    </xf>
    <xf numFmtId="8" fontId="74" fillId="0" borderId="77" xfId="2" applyNumberFormat="1" applyFont="1" applyFill="1" applyBorder="1"/>
    <xf numFmtId="8" fontId="74" fillId="0" borderId="43" xfId="2" applyNumberFormat="1" applyFont="1" applyFill="1" applyBorder="1"/>
    <xf numFmtId="44" fontId="74" fillId="0" borderId="94" xfId="2" applyFont="1" applyFill="1" applyBorder="1"/>
    <xf numFmtId="44" fontId="74" fillId="0" borderId="77" xfId="2" applyFont="1" applyFill="1" applyBorder="1"/>
    <xf numFmtId="44" fontId="74" fillId="0" borderId="43" xfId="2" applyFont="1" applyFill="1" applyBorder="1"/>
    <xf numFmtId="173" fontId="74" fillId="0" borderId="77" xfId="2" applyNumberFormat="1" applyFont="1" applyFill="1" applyBorder="1"/>
    <xf numFmtId="173" fontId="74" fillId="0" borderId="43" xfId="2" applyNumberFormat="1" applyFont="1" applyFill="1" applyBorder="1"/>
    <xf numFmtId="173" fontId="74" fillId="0" borderId="94" xfId="2" applyNumberFormat="1" applyFont="1" applyFill="1" applyBorder="1"/>
    <xf numFmtId="44" fontId="74" fillId="0" borderId="30" xfId="2" applyFont="1" applyFill="1" applyBorder="1"/>
    <xf numFmtId="0" fontId="105" fillId="0" borderId="9" xfId="0" applyFont="1" applyBorder="1"/>
    <xf numFmtId="0" fontId="105" fillId="0" borderId="0" xfId="0" applyFont="1"/>
    <xf numFmtId="0" fontId="100" fillId="6" borderId="0" xfId="0" applyFont="1" applyFill="1"/>
    <xf numFmtId="0" fontId="105" fillId="6" borderId="0" xfId="0" applyFont="1" applyFill="1"/>
    <xf numFmtId="1" fontId="106" fillId="6" borderId="0" xfId="0" applyNumberFormat="1" applyFont="1" applyFill="1"/>
    <xf numFmtId="44" fontId="100" fillId="6" borderId="0" xfId="0" applyNumberFormat="1" applyFont="1" applyFill="1"/>
    <xf numFmtId="3" fontId="105" fillId="6" borderId="0" xfId="0" applyNumberFormat="1" applyFont="1" applyFill="1" applyAlignment="1">
      <alignment horizontal="center"/>
    </xf>
    <xf numFmtId="44" fontId="105" fillId="6" borderId="0" xfId="2" applyFont="1" applyFill="1"/>
    <xf numFmtId="44" fontId="105" fillId="0" borderId="0" xfId="2" applyFont="1" applyFill="1" applyBorder="1"/>
    <xf numFmtId="0" fontId="100" fillId="0" borderId="0" xfId="0" applyFont="1"/>
    <xf numFmtId="1" fontId="106" fillId="0" borderId="0" xfId="0" applyNumberFormat="1" applyFont="1"/>
    <xf numFmtId="165" fontId="100" fillId="0" borderId="0" xfId="0" applyNumberFormat="1" applyFont="1"/>
    <xf numFmtId="10" fontId="100" fillId="0" borderId="0" xfId="3" applyNumberFormat="1" applyFont="1"/>
    <xf numFmtId="0" fontId="95" fillId="0" borderId="16" xfId="196" applyFont="1" applyBorder="1" applyAlignment="1">
      <alignment wrapText="1"/>
    </xf>
    <xf numFmtId="0" fontId="62" fillId="0" borderId="11" xfId="0" applyFont="1" applyBorder="1"/>
    <xf numFmtId="167" fontId="62" fillId="0" borderId="30" xfId="0" applyNumberFormat="1" applyFont="1" applyBorder="1"/>
    <xf numFmtId="2" fontId="104" fillId="0" borderId="0" xfId="0" applyNumberFormat="1" applyFont="1"/>
    <xf numFmtId="0" fontId="62" fillId="0" borderId="89" xfId="199" applyFont="1" applyBorder="1" applyAlignment="1">
      <alignment vertical="top" wrapText="1"/>
    </xf>
    <xf numFmtId="0" fontId="57" fillId="0" borderId="10" xfId="316" applyFont="1" applyBorder="1" applyAlignment="1">
      <alignment horizontal="left" vertical="center" wrapText="1"/>
    </xf>
    <xf numFmtId="0" fontId="57" fillId="0" borderId="14" xfId="316" applyFont="1" applyBorder="1" applyAlignment="1">
      <alignment horizontal="left" vertical="center" wrapText="1"/>
    </xf>
    <xf numFmtId="0" fontId="57" fillId="0" borderId="9" xfId="316" applyFont="1" applyBorder="1" applyAlignment="1">
      <alignment horizontal="left" vertical="top" wrapText="1"/>
    </xf>
    <xf numFmtId="0" fontId="57" fillId="0" borderId="13" xfId="316" applyFont="1" applyBorder="1" applyAlignment="1">
      <alignment horizontal="left" vertical="top" wrapText="1"/>
    </xf>
    <xf numFmtId="0" fontId="57" fillId="0" borderId="18" xfId="316" applyFont="1" applyBorder="1" applyAlignment="1">
      <alignment horizontal="left" vertical="center" wrapText="1"/>
    </xf>
    <xf numFmtId="49" fontId="57" fillId="0" borderId="10" xfId="316" applyNumberFormat="1" applyFont="1" applyBorder="1" applyAlignment="1">
      <alignment horizontal="left" vertical="center" wrapText="1"/>
    </xf>
    <xf numFmtId="49" fontId="57" fillId="0" borderId="14" xfId="316" applyNumberFormat="1" applyFont="1" applyBorder="1" applyAlignment="1">
      <alignment horizontal="left" vertical="center" wrapText="1"/>
    </xf>
    <xf numFmtId="0" fontId="57" fillId="0" borderId="9" xfId="316" applyFont="1" applyBorder="1" applyAlignment="1">
      <alignment vertical="top" wrapText="1"/>
    </xf>
    <xf numFmtId="0" fontId="57" fillId="0" borderId="13" xfId="316" applyFont="1" applyBorder="1" applyAlignment="1">
      <alignment vertical="top" wrapText="1"/>
    </xf>
    <xf numFmtId="0" fontId="57" fillId="0" borderId="0" xfId="316" applyFont="1" applyAlignment="1">
      <alignment horizontal="left" vertical="top" wrapText="1"/>
    </xf>
    <xf numFmtId="0" fontId="57" fillId="0" borderId="0" xfId="316" applyFont="1" applyAlignment="1">
      <alignment horizontal="center"/>
    </xf>
    <xf numFmtId="0" fontId="59" fillId="0" borderId="0" xfId="316" applyFont="1" applyAlignment="1">
      <alignment horizontal="center"/>
    </xf>
    <xf numFmtId="0" fontId="57" fillId="0" borderId="10" xfId="322" applyFont="1" applyBorder="1" applyAlignment="1">
      <alignment horizontal="left" vertical="center" wrapText="1"/>
    </xf>
    <xf numFmtId="0" fontId="57" fillId="0" borderId="14" xfId="322" applyFont="1" applyBorder="1" applyAlignment="1">
      <alignment horizontal="left" vertical="center" wrapText="1"/>
    </xf>
    <xf numFmtId="0" fontId="57" fillId="0" borderId="9" xfId="322" applyFont="1" applyBorder="1" applyAlignment="1">
      <alignment horizontal="left" vertical="top" wrapText="1"/>
    </xf>
    <xf numFmtId="0" fontId="57" fillId="0" borderId="13" xfId="322" applyFont="1" applyBorder="1" applyAlignment="1">
      <alignment horizontal="left" vertical="top" wrapText="1"/>
    </xf>
    <xf numFmtId="0" fontId="57" fillId="0" borderId="18" xfId="322" applyFont="1" applyBorder="1" applyAlignment="1">
      <alignment horizontal="left" vertical="center" wrapText="1"/>
    </xf>
    <xf numFmtId="49" fontId="57" fillId="0" borderId="10" xfId="322" applyNumberFormat="1" applyFont="1" applyBorder="1" applyAlignment="1">
      <alignment horizontal="left" vertical="center" wrapText="1"/>
    </xf>
    <xf numFmtId="49" fontId="57" fillId="0" borderId="14" xfId="322" applyNumberFormat="1" applyFont="1" applyBorder="1" applyAlignment="1">
      <alignment horizontal="left" vertical="center" wrapText="1"/>
    </xf>
    <xf numFmtId="0" fontId="57" fillId="0" borderId="9" xfId="322" applyFont="1" applyBorder="1" applyAlignment="1">
      <alignment vertical="top" wrapText="1"/>
    </xf>
    <xf numFmtId="0" fontId="57" fillId="0" borderId="13" xfId="322" applyFont="1" applyBorder="1" applyAlignment="1">
      <alignment vertical="top" wrapText="1"/>
    </xf>
    <xf numFmtId="0" fontId="57" fillId="0" borderId="0" xfId="322" applyFont="1" applyAlignment="1">
      <alignment horizontal="left" vertical="top" wrapText="1"/>
    </xf>
    <xf numFmtId="0" fontId="57" fillId="0" borderId="0" xfId="322" applyFont="1" applyAlignment="1">
      <alignment horizontal="center"/>
    </xf>
    <xf numFmtId="0" fontId="59" fillId="0" borderId="0" xfId="322" applyFont="1" applyAlignment="1">
      <alignment horizontal="center"/>
    </xf>
    <xf numFmtId="0" fontId="28" fillId="5" borderId="23" xfId="189" applyFont="1" applyFill="1" applyBorder="1" applyAlignment="1">
      <alignment horizontal="center"/>
    </xf>
    <xf numFmtId="0" fontId="77" fillId="42" borderId="29" xfId="6" applyFont="1" applyFill="1" applyBorder="1" applyAlignment="1">
      <alignment horizontal="center" vertical="center" wrapText="1"/>
    </xf>
    <xf numFmtId="0" fontId="19" fillId="0" borderId="49" xfId="189" applyBorder="1" applyAlignment="1">
      <alignment horizontal="center"/>
    </xf>
    <xf numFmtId="0" fontId="19" fillId="0" borderId="23" xfId="189" applyBorder="1" applyAlignment="1">
      <alignment horizontal="center"/>
    </xf>
    <xf numFmtId="0" fontId="19" fillId="0" borderId="50" xfId="189" applyBorder="1" applyAlignment="1">
      <alignment horizontal="center"/>
    </xf>
    <xf numFmtId="0" fontId="19" fillId="0" borderId="68" xfId="189" applyBorder="1" applyAlignment="1">
      <alignment horizontal="center"/>
    </xf>
    <xf numFmtId="0" fontId="19" fillId="0" borderId="26" xfId="189" applyBorder="1" applyAlignment="1">
      <alignment horizontal="center"/>
    </xf>
    <xf numFmtId="0" fontId="19" fillId="0" borderId="69" xfId="189" applyBorder="1" applyAlignment="1">
      <alignment horizontal="center"/>
    </xf>
    <xf numFmtId="0" fontId="28" fillId="42" borderId="32" xfId="189" applyFont="1" applyFill="1" applyBorder="1" applyAlignment="1">
      <alignment horizontal="center" wrapText="1"/>
    </xf>
    <xf numFmtId="0" fontId="28" fillId="42" borderId="40" xfId="0" applyFont="1" applyFill="1" applyBorder="1" applyAlignment="1">
      <alignment horizontal="center" wrapText="1"/>
    </xf>
    <xf numFmtId="0" fontId="28" fillId="42" borderId="30" xfId="0" applyFont="1" applyFill="1" applyBorder="1" applyAlignment="1">
      <alignment horizontal="center" wrapText="1"/>
    </xf>
    <xf numFmtId="0" fontId="28" fillId="42" borderId="32" xfId="189" applyFont="1" applyFill="1" applyBorder="1" applyAlignment="1">
      <alignment horizontal="center" vertical="center" wrapText="1"/>
    </xf>
    <xf numFmtId="0" fontId="28" fillId="42" borderId="40" xfId="0" applyFont="1" applyFill="1" applyBorder="1" applyAlignment="1">
      <alignment horizontal="center" vertical="center" wrapText="1"/>
    </xf>
    <xf numFmtId="0" fontId="28" fillId="42" borderId="30" xfId="0" applyFont="1" applyFill="1" applyBorder="1" applyAlignment="1">
      <alignment horizontal="center" vertical="center" wrapText="1"/>
    </xf>
    <xf numFmtId="0" fontId="28" fillId="0" borderId="40" xfId="0" applyFont="1" applyBorder="1" applyAlignment="1">
      <alignment horizontal="center" wrapText="1"/>
    </xf>
    <xf numFmtId="0" fontId="28" fillId="0" borderId="30" xfId="0" applyFont="1" applyBorder="1" applyAlignment="1">
      <alignment horizontal="center" wrapText="1"/>
    </xf>
    <xf numFmtId="0" fontId="62" fillId="0" borderId="7" xfId="0" applyFont="1" applyBorder="1" applyAlignment="1">
      <alignment horizontal="left"/>
    </xf>
    <xf numFmtId="0" fontId="62" fillId="0" borderId="10" xfId="0" applyFont="1" applyBorder="1" applyAlignment="1">
      <alignment horizontal="left"/>
    </xf>
    <xf numFmtId="0" fontId="62" fillId="0" borderId="83" xfId="199" applyFont="1" applyBorder="1" applyAlignment="1">
      <alignment vertical="top" wrapText="1"/>
    </xf>
    <xf numFmtId="0" fontId="56" fillId="0" borderId="84" xfId="0" applyFont="1" applyBorder="1" applyAlignment="1">
      <alignment wrapText="1"/>
    </xf>
    <xf numFmtId="0" fontId="62" fillId="0" borderId="68" xfId="199" applyFont="1" applyBorder="1" applyAlignment="1">
      <alignment wrapText="1"/>
    </xf>
    <xf numFmtId="0" fontId="56" fillId="0" borderId="26" xfId="0" applyFont="1" applyBorder="1" applyAlignment="1">
      <alignment wrapText="1"/>
    </xf>
    <xf numFmtId="0" fontId="62" fillId="0" borderId="65" xfId="199" applyFont="1" applyBorder="1" applyAlignment="1">
      <alignment wrapText="1"/>
    </xf>
    <xf numFmtId="167" fontId="62" fillId="0" borderId="32" xfId="0" applyNumberFormat="1" applyFont="1" applyBorder="1" applyAlignment="1">
      <alignment horizontal="center" wrapText="1"/>
    </xf>
    <xf numFmtId="0" fontId="17" fillId="0" borderId="40" xfId="0" applyFont="1" applyBorder="1" applyAlignment="1">
      <alignment horizontal="center" wrapText="1"/>
    </xf>
    <xf numFmtId="0" fontId="17" fillId="0" borderId="30" xfId="0" applyFont="1" applyBorder="1" applyAlignment="1">
      <alignment horizontal="center" wrapText="1"/>
    </xf>
    <xf numFmtId="167" fontId="62" fillId="33" borderId="32" xfId="0" applyNumberFormat="1" applyFont="1" applyFill="1" applyBorder="1" applyAlignment="1">
      <alignment horizontal="center"/>
    </xf>
    <xf numFmtId="167" fontId="62" fillId="33" borderId="40" xfId="0" applyNumberFormat="1" applyFont="1" applyFill="1" applyBorder="1" applyAlignment="1">
      <alignment horizontal="center"/>
    </xf>
    <xf numFmtId="167" fontId="62" fillId="33" borderId="30" xfId="0" applyNumberFormat="1" applyFont="1" applyFill="1" applyBorder="1" applyAlignment="1">
      <alignment horizontal="center"/>
    </xf>
    <xf numFmtId="0" fontId="62" fillId="33" borderId="32" xfId="0" applyFont="1" applyFill="1" applyBorder="1" applyAlignment="1">
      <alignment horizontal="center" wrapText="1"/>
    </xf>
    <xf numFmtId="0" fontId="17" fillId="33" borderId="40" xfId="0" applyFont="1" applyFill="1" applyBorder="1" applyAlignment="1">
      <alignment horizontal="center" wrapText="1"/>
    </xf>
    <xf numFmtId="0" fontId="17" fillId="33" borderId="30" xfId="0" applyFont="1" applyFill="1" applyBorder="1" applyAlignment="1">
      <alignment horizontal="center" wrapText="1"/>
    </xf>
    <xf numFmtId="0" fontId="62" fillId="36" borderId="32" xfId="0" applyFont="1" applyFill="1" applyBorder="1" applyAlignment="1">
      <alignment horizontal="center"/>
    </xf>
    <xf numFmtId="0" fontId="17" fillId="36" borderId="40" xfId="0" applyFont="1" applyFill="1" applyBorder="1" applyAlignment="1">
      <alignment horizontal="center"/>
    </xf>
    <xf numFmtId="0" fontId="17" fillId="36" borderId="30" xfId="0" applyFont="1" applyFill="1" applyBorder="1" applyAlignment="1">
      <alignment horizontal="center"/>
    </xf>
    <xf numFmtId="167" fontId="62" fillId="36" borderId="32" xfId="0" applyNumberFormat="1" applyFont="1" applyFill="1" applyBorder="1" applyAlignment="1">
      <alignment horizontal="center" vertical="center"/>
    </xf>
    <xf numFmtId="0" fontId="56" fillId="36" borderId="40" xfId="0" applyFont="1" applyFill="1" applyBorder="1" applyAlignment="1">
      <alignment horizontal="center" vertical="center"/>
    </xf>
    <xf numFmtId="0" fontId="56" fillId="36" borderId="30" xfId="0" applyFont="1" applyFill="1" applyBorder="1" applyAlignment="1">
      <alignment horizontal="center" vertical="center"/>
    </xf>
    <xf numFmtId="0" fontId="62" fillId="35" borderId="65" xfId="199" applyFont="1" applyFill="1" applyBorder="1" applyAlignment="1">
      <alignment wrapText="1"/>
    </xf>
    <xf numFmtId="0" fontId="62" fillId="35" borderId="83" xfId="199" applyFont="1" applyFill="1" applyBorder="1" applyAlignment="1">
      <alignment vertical="top" wrapText="1"/>
    </xf>
    <xf numFmtId="0" fontId="62" fillId="35" borderId="83" xfId="199" applyFont="1" applyFill="1" applyBorder="1" applyAlignment="1">
      <alignment wrapText="1"/>
    </xf>
    <xf numFmtId="0" fontId="62" fillId="33" borderId="7" xfId="0" applyFont="1" applyFill="1" applyBorder="1" applyAlignment="1">
      <alignment horizontal="left"/>
    </xf>
    <xf numFmtId="0" fontId="62" fillId="33" borderId="10" xfId="0" applyFont="1" applyFill="1" applyBorder="1" applyAlignment="1">
      <alignment horizontal="left"/>
    </xf>
    <xf numFmtId="0" fontId="62" fillId="35" borderId="68" xfId="199" applyFont="1" applyFill="1" applyBorder="1" applyAlignment="1">
      <alignment wrapText="1"/>
    </xf>
    <xf numFmtId="167" fontId="62" fillId="0" borderId="0" xfId="0" applyNumberFormat="1" applyFont="1" applyAlignment="1">
      <alignment horizontal="center"/>
    </xf>
    <xf numFmtId="0" fontId="62" fillId="38" borderId="32" xfId="0" applyFont="1" applyFill="1" applyBorder="1" applyAlignment="1">
      <alignment horizontal="center" wrapText="1"/>
    </xf>
    <xf numFmtId="0" fontId="56" fillId="38" borderId="40" xfId="0" applyFont="1" applyFill="1" applyBorder="1" applyAlignment="1">
      <alignment horizontal="center" wrapText="1"/>
    </xf>
    <xf numFmtId="0" fontId="56" fillId="38" borderId="30" xfId="0" applyFont="1" applyFill="1" applyBorder="1" applyAlignment="1">
      <alignment horizontal="center" wrapText="1"/>
    </xf>
    <xf numFmtId="0" fontId="62" fillId="37" borderId="32" xfId="0" applyFont="1" applyFill="1" applyBorder="1" applyAlignment="1">
      <alignment horizontal="center" wrapText="1"/>
    </xf>
    <xf numFmtId="0" fontId="17" fillId="37" borderId="40" xfId="0" applyFont="1" applyFill="1" applyBorder="1" applyAlignment="1">
      <alignment horizontal="center" wrapText="1"/>
    </xf>
    <xf numFmtId="0" fontId="17" fillId="37" borderId="30" xfId="0" applyFont="1" applyFill="1" applyBorder="1" applyAlignment="1">
      <alignment horizontal="center" wrapText="1"/>
    </xf>
    <xf numFmtId="0" fontId="62" fillId="36" borderId="32" xfId="0" applyFont="1" applyFill="1" applyBorder="1" applyAlignment="1">
      <alignment horizontal="center" wrapText="1"/>
    </xf>
    <xf numFmtId="0" fontId="56" fillId="0" borderId="40" xfId="0" applyFont="1" applyBorder="1" applyAlignment="1">
      <alignment horizontal="center" wrapText="1"/>
    </xf>
    <xf numFmtId="0" fontId="56" fillId="0" borderId="30" xfId="0" applyFont="1" applyBorder="1" applyAlignment="1">
      <alignment horizontal="center" wrapText="1"/>
    </xf>
    <xf numFmtId="2" fontId="63" fillId="0" borderId="0" xfId="0" applyNumberFormat="1" applyFont="1" applyAlignment="1">
      <alignment horizontal="right"/>
    </xf>
    <xf numFmtId="0" fontId="62" fillId="35" borderId="65" xfId="199" applyFont="1" applyFill="1" applyBorder="1" applyAlignment="1">
      <alignment vertical="top" wrapText="1"/>
    </xf>
    <xf numFmtId="0" fontId="62" fillId="36" borderId="40" xfId="0" applyFont="1" applyFill="1" applyBorder="1" applyAlignment="1">
      <alignment horizontal="center" wrapText="1"/>
    </xf>
    <xf numFmtId="0" fontId="62" fillId="36" borderId="30" xfId="0" applyFont="1" applyFill="1" applyBorder="1" applyAlignment="1">
      <alignment horizontal="center" wrapText="1"/>
    </xf>
    <xf numFmtId="4" fontId="63" fillId="0" borderId="18" xfId="0" applyNumberFormat="1" applyFont="1" applyBorder="1" applyAlignment="1">
      <alignment horizontal="center" vertical="center"/>
    </xf>
    <xf numFmtId="0" fontId="0" fillId="0" borderId="14" xfId="0" applyBorder="1" applyAlignment="1">
      <alignment horizontal="center" vertical="center"/>
    </xf>
    <xf numFmtId="167" fontId="62" fillId="6" borderId="38" xfId="0" applyNumberFormat="1" applyFont="1" applyFill="1" applyBorder="1" applyAlignment="1">
      <alignment horizontal="center"/>
    </xf>
    <xf numFmtId="167" fontId="62" fillId="6" borderId="39" xfId="0" applyNumberFormat="1" applyFont="1" applyFill="1" applyBorder="1" applyAlignment="1">
      <alignment horizontal="center"/>
    </xf>
    <xf numFmtId="0" fontId="93" fillId="0" borderId="0" xfId="0" applyFont="1" applyAlignment="1">
      <alignment wrapText="1"/>
    </xf>
    <xf numFmtId="0" fontId="63" fillId="0" borderId="26" xfId="0" applyFont="1" applyBorder="1" applyAlignment="1">
      <alignment wrapText="1"/>
    </xf>
    <xf numFmtId="167" fontId="62" fillId="0" borderId="64" xfId="196" applyNumberFormat="1" applyFont="1" applyBorder="1" applyAlignment="1">
      <alignment horizontal="center" vertical="center"/>
    </xf>
    <xf numFmtId="167" fontId="62" fillId="0" borderId="82" xfId="196" applyNumberFormat="1" applyFont="1" applyBorder="1" applyAlignment="1">
      <alignment horizontal="center" vertical="center"/>
    </xf>
    <xf numFmtId="0" fontId="63" fillId="0" borderId="84" xfId="0" applyFont="1" applyBorder="1" applyAlignment="1">
      <alignment wrapText="1"/>
    </xf>
    <xf numFmtId="0" fontId="62" fillId="33" borderId="32" xfId="311" applyFont="1" applyFill="1" applyBorder="1" applyAlignment="1">
      <alignment horizontal="center" vertical="center"/>
    </xf>
    <xf numFmtId="0" fontId="62" fillId="33" borderId="40" xfId="311" applyFont="1" applyFill="1" applyBorder="1" applyAlignment="1">
      <alignment horizontal="center" vertical="center"/>
    </xf>
    <xf numFmtId="0" fontId="62" fillId="33" borderId="30" xfId="311" applyFont="1" applyFill="1" applyBorder="1" applyAlignment="1">
      <alignment horizontal="center" vertical="center"/>
    </xf>
    <xf numFmtId="0" fontId="67" fillId="32" borderId="32" xfId="210" applyFont="1" applyFill="1" applyBorder="1" applyAlignment="1">
      <alignment horizontal="center" vertical="center" wrapText="1"/>
    </xf>
    <xf numFmtId="0" fontId="67" fillId="32" borderId="40" xfId="210" applyFont="1" applyFill="1" applyBorder="1" applyAlignment="1">
      <alignment horizontal="center" vertical="center"/>
    </xf>
    <xf numFmtId="0" fontId="67" fillId="32" borderId="30" xfId="210" applyFont="1" applyFill="1" applyBorder="1" applyAlignment="1">
      <alignment horizontal="center" vertical="center"/>
    </xf>
    <xf numFmtId="0" fontId="25" fillId="32" borderId="64" xfId="196" applyFont="1" applyFill="1" applyBorder="1" applyAlignment="1">
      <alignment horizontal="center" vertical="center"/>
    </xf>
    <xf numFmtId="0" fontId="25" fillId="32" borderId="8" xfId="196" applyFont="1" applyFill="1" applyBorder="1" applyAlignment="1">
      <alignment horizontal="center" vertical="center"/>
    </xf>
    <xf numFmtId="0" fontId="25" fillId="32" borderId="82" xfId="196" applyFont="1" applyFill="1" applyBorder="1" applyAlignment="1">
      <alignment horizontal="center" vertical="center"/>
    </xf>
    <xf numFmtId="0" fontId="25" fillId="0" borderId="65" xfId="196" applyFont="1" applyBorder="1"/>
    <xf numFmtId="0" fontId="25" fillId="0" borderId="26" xfId="196" applyFont="1" applyBorder="1"/>
    <xf numFmtId="0" fontId="25" fillId="0" borderId="27" xfId="196" applyFont="1" applyBorder="1"/>
    <xf numFmtId="0" fontId="26" fillId="7" borderId="9" xfId="175" applyFont="1" applyFill="1" applyBorder="1" applyAlignment="1">
      <alignment horizontal="left"/>
    </xf>
    <xf numFmtId="0" fontId="26" fillId="7" borderId="10" xfId="175" applyFont="1" applyFill="1" applyBorder="1" applyAlignment="1">
      <alignment horizontal="left"/>
    </xf>
    <xf numFmtId="0" fontId="74" fillId="0" borderId="47" xfId="314" applyBorder="1" applyAlignment="1">
      <alignment horizontal="right"/>
    </xf>
    <xf numFmtId="0" fontId="74" fillId="0" borderId="0" xfId="314" applyAlignment="1">
      <alignment horizontal="right"/>
    </xf>
    <xf numFmtId="0" fontId="90" fillId="0" borderId="13" xfId="0" applyFont="1" applyBorder="1" applyAlignment="1">
      <alignment horizontal="center" wrapText="1"/>
    </xf>
    <xf numFmtId="0" fontId="20" fillId="0" borderId="42" xfId="0" applyFont="1" applyBorder="1" applyAlignment="1" applyProtection="1">
      <alignment horizontal="center"/>
      <protection locked="0"/>
    </xf>
    <xf numFmtId="0" fontId="20" fillId="0" borderId="29" xfId="0" applyFont="1" applyBorder="1" applyAlignment="1" applyProtection="1">
      <alignment horizontal="center"/>
      <protection locked="0"/>
    </xf>
    <xf numFmtId="0" fontId="14" fillId="0" borderId="0" xfId="0" applyFont="1" applyAlignment="1">
      <alignment wrapText="1"/>
    </xf>
    <xf numFmtId="0" fontId="98" fillId="0" borderId="0" xfId="0" applyFont="1" applyAlignment="1">
      <alignment wrapText="1"/>
    </xf>
    <xf numFmtId="0" fontId="81" fillId="0" borderId="0" xfId="0" applyFont="1" applyAlignment="1">
      <alignment wrapText="1"/>
    </xf>
  </cellXfs>
  <cellStyles count="325">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Bad 3" xfId="38" xr:uid="{00000000-0005-0000-0000-000019000000}"/>
    <cellStyle name="Body: normal cell" xfId="39" xr:uid="{00000000-0005-0000-0000-00001A000000}"/>
    <cellStyle name="Calculation 2" xfId="40" xr:uid="{00000000-0005-0000-0000-00001B000000}"/>
    <cellStyle name="Calculation 2 2" xfId="41" xr:uid="{00000000-0005-0000-0000-00001C000000}"/>
    <cellStyle name="Calculation 2 3" xfId="42" xr:uid="{00000000-0005-0000-0000-00001D000000}"/>
    <cellStyle name="Check Cell 2" xfId="43" xr:uid="{00000000-0005-0000-0000-00001E000000}"/>
    <cellStyle name="Comma" xfId="1" builtinId="3"/>
    <cellStyle name="Comma [0] 2" xfId="44" xr:uid="{00000000-0005-0000-0000-000020000000}"/>
    <cellStyle name="Comma 10" xfId="45" xr:uid="{00000000-0005-0000-0000-000021000000}"/>
    <cellStyle name="Comma 11" xfId="46" xr:uid="{00000000-0005-0000-0000-000022000000}"/>
    <cellStyle name="Comma 2" xfId="47" xr:uid="{00000000-0005-0000-0000-000023000000}"/>
    <cellStyle name="Comma 2 2" xfId="48" xr:uid="{00000000-0005-0000-0000-000024000000}"/>
    <cellStyle name="Comma 2 2 2" xfId="49" xr:uid="{00000000-0005-0000-0000-000025000000}"/>
    <cellStyle name="Comma 2 3" xfId="50" xr:uid="{00000000-0005-0000-0000-000026000000}"/>
    <cellStyle name="Comma 3" xfId="51" xr:uid="{00000000-0005-0000-0000-000027000000}"/>
    <cellStyle name="Comma 3 2" xfId="52" xr:uid="{00000000-0005-0000-0000-000028000000}"/>
    <cellStyle name="Comma 3 3" xfId="53" xr:uid="{00000000-0005-0000-0000-000029000000}"/>
    <cellStyle name="Comma 3 4" xfId="54" xr:uid="{00000000-0005-0000-0000-00002A000000}"/>
    <cellStyle name="Comma 4" xfId="55" xr:uid="{00000000-0005-0000-0000-00002B000000}"/>
    <cellStyle name="Comma 4 2" xfId="56" xr:uid="{00000000-0005-0000-0000-00002C000000}"/>
    <cellStyle name="Comma 5" xfId="57" xr:uid="{00000000-0005-0000-0000-00002D000000}"/>
    <cellStyle name="Comma 5 2" xfId="58" xr:uid="{00000000-0005-0000-0000-00002E000000}"/>
    <cellStyle name="Comma 5 3" xfId="59" xr:uid="{00000000-0005-0000-0000-00002F000000}"/>
    <cellStyle name="Comma 6" xfId="60" xr:uid="{00000000-0005-0000-0000-000030000000}"/>
    <cellStyle name="Comma 6 2" xfId="61" xr:uid="{00000000-0005-0000-0000-000031000000}"/>
    <cellStyle name="Comma 7" xfId="62" xr:uid="{00000000-0005-0000-0000-000032000000}"/>
    <cellStyle name="Comma 7 2" xfId="63" xr:uid="{00000000-0005-0000-0000-000033000000}"/>
    <cellStyle name="Comma 8" xfId="64" xr:uid="{00000000-0005-0000-0000-000034000000}"/>
    <cellStyle name="Comma 9" xfId="65" xr:uid="{00000000-0005-0000-0000-000035000000}"/>
    <cellStyle name="Currency" xfId="2" builtinId="4"/>
    <cellStyle name="Currency [0] 2" xfId="66" xr:uid="{00000000-0005-0000-0000-000037000000}"/>
    <cellStyle name="Currency 10" xfId="67" xr:uid="{00000000-0005-0000-0000-000038000000}"/>
    <cellStyle name="Currency 11" xfId="68" xr:uid="{00000000-0005-0000-0000-000039000000}"/>
    <cellStyle name="Currency 12" xfId="69" xr:uid="{00000000-0005-0000-0000-00003A000000}"/>
    <cellStyle name="Currency 13" xfId="70" xr:uid="{00000000-0005-0000-0000-00003B000000}"/>
    <cellStyle name="Currency 14" xfId="71" xr:uid="{00000000-0005-0000-0000-00003C000000}"/>
    <cellStyle name="Currency 15" xfId="72" xr:uid="{00000000-0005-0000-0000-00003D000000}"/>
    <cellStyle name="Currency 16" xfId="73" xr:uid="{00000000-0005-0000-0000-00003E000000}"/>
    <cellStyle name="Currency 17" xfId="74" xr:uid="{00000000-0005-0000-0000-00003F000000}"/>
    <cellStyle name="Currency 18" xfId="75" xr:uid="{00000000-0005-0000-0000-000040000000}"/>
    <cellStyle name="Currency 19" xfId="76" xr:uid="{00000000-0005-0000-0000-000041000000}"/>
    <cellStyle name="Currency 2" xfId="77" xr:uid="{00000000-0005-0000-0000-000042000000}"/>
    <cellStyle name="Currency 2 2" xfId="78" xr:uid="{00000000-0005-0000-0000-000043000000}"/>
    <cellStyle name="Currency 2 2 2" xfId="79" xr:uid="{00000000-0005-0000-0000-000044000000}"/>
    <cellStyle name="Currency 2 2 2 2" xfId="80" xr:uid="{00000000-0005-0000-0000-000045000000}"/>
    <cellStyle name="Currency 2 2 2 3" xfId="81" xr:uid="{00000000-0005-0000-0000-000046000000}"/>
    <cellStyle name="Currency 2 3" xfId="82" xr:uid="{00000000-0005-0000-0000-000047000000}"/>
    <cellStyle name="Currency 2 4" xfId="83" xr:uid="{00000000-0005-0000-0000-000048000000}"/>
    <cellStyle name="Currency 2 4 2" xfId="84" xr:uid="{00000000-0005-0000-0000-000049000000}"/>
    <cellStyle name="Currency 2 5" xfId="85" xr:uid="{00000000-0005-0000-0000-00004A000000}"/>
    <cellStyle name="Currency 20" xfId="86" xr:uid="{00000000-0005-0000-0000-00004B000000}"/>
    <cellStyle name="Currency 21" xfId="87" xr:uid="{00000000-0005-0000-0000-00004C000000}"/>
    <cellStyle name="Currency 22" xfId="88" xr:uid="{00000000-0005-0000-0000-00004D000000}"/>
    <cellStyle name="Currency 23" xfId="89" xr:uid="{00000000-0005-0000-0000-00004E000000}"/>
    <cellStyle name="Currency 24" xfId="90" xr:uid="{00000000-0005-0000-0000-00004F000000}"/>
    <cellStyle name="Currency 25" xfId="91" xr:uid="{00000000-0005-0000-0000-000050000000}"/>
    <cellStyle name="Currency 26" xfId="92" xr:uid="{00000000-0005-0000-0000-000051000000}"/>
    <cellStyle name="Currency 27" xfId="93" xr:uid="{00000000-0005-0000-0000-000052000000}"/>
    <cellStyle name="Currency 28" xfId="94" xr:uid="{00000000-0005-0000-0000-000053000000}"/>
    <cellStyle name="Currency 29" xfId="95" xr:uid="{00000000-0005-0000-0000-000054000000}"/>
    <cellStyle name="Currency 3" xfId="96" xr:uid="{00000000-0005-0000-0000-000055000000}"/>
    <cellStyle name="Currency 3 2" xfId="97" xr:uid="{00000000-0005-0000-0000-000056000000}"/>
    <cellStyle name="Currency 3 3" xfId="98" xr:uid="{00000000-0005-0000-0000-000057000000}"/>
    <cellStyle name="Currency 3 4" xfId="99" xr:uid="{00000000-0005-0000-0000-000058000000}"/>
    <cellStyle name="Currency 3 5" xfId="100" xr:uid="{00000000-0005-0000-0000-000059000000}"/>
    <cellStyle name="Currency 30" xfId="101" xr:uid="{00000000-0005-0000-0000-00005A000000}"/>
    <cellStyle name="Currency 31" xfId="102" xr:uid="{00000000-0005-0000-0000-00005B000000}"/>
    <cellStyle name="Currency 32" xfId="103" xr:uid="{00000000-0005-0000-0000-00005C000000}"/>
    <cellStyle name="Currency 33" xfId="104" xr:uid="{00000000-0005-0000-0000-00005D000000}"/>
    <cellStyle name="Currency 34" xfId="105" xr:uid="{00000000-0005-0000-0000-00005E000000}"/>
    <cellStyle name="Currency 35" xfId="106" xr:uid="{00000000-0005-0000-0000-00005F000000}"/>
    <cellStyle name="Currency 36" xfId="107" xr:uid="{00000000-0005-0000-0000-000060000000}"/>
    <cellStyle name="Currency 37" xfId="108" xr:uid="{00000000-0005-0000-0000-000061000000}"/>
    <cellStyle name="Currency 38" xfId="109" xr:uid="{00000000-0005-0000-0000-000062000000}"/>
    <cellStyle name="Currency 39" xfId="110" xr:uid="{00000000-0005-0000-0000-000063000000}"/>
    <cellStyle name="Currency 4" xfId="111" xr:uid="{00000000-0005-0000-0000-000064000000}"/>
    <cellStyle name="Currency 4 2" xfId="112" xr:uid="{00000000-0005-0000-0000-000065000000}"/>
    <cellStyle name="Currency 4 2 2" xfId="113" xr:uid="{00000000-0005-0000-0000-000066000000}"/>
    <cellStyle name="Currency 4 2 2 2" xfId="114" xr:uid="{00000000-0005-0000-0000-000067000000}"/>
    <cellStyle name="Currency 4 2 2 3" xfId="115" xr:uid="{00000000-0005-0000-0000-000068000000}"/>
    <cellStyle name="Currency 4 2 3" xfId="116" xr:uid="{00000000-0005-0000-0000-000069000000}"/>
    <cellStyle name="Currency 4 3" xfId="117" xr:uid="{00000000-0005-0000-0000-00006A000000}"/>
    <cellStyle name="Currency 4 3 2" xfId="118" xr:uid="{00000000-0005-0000-0000-00006B000000}"/>
    <cellStyle name="Currency 4 3 3" xfId="119" xr:uid="{00000000-0005-0000-0000-00006C000000}"/>
    <cellStyle name="Currency 4 4" xfId="120" xr:uid="{00000000-0005-0000-0000-00006D000000}"/>
    <cellStyle name="Currency 4 5" xfId="121" xr:uid="{00000000-0005-0000-0000-00006E000000}"/>
    <cellStyle name="Currency 4 6" xfId="312" xr:uid="{89AEDF87-E454-40A8-B874-60A0D6FAA3FE}"/>
    <cellStyle name="Currency 40" xfId="122" xr:uid="{00000000-0005-0000-0000-00006F000000}"/>
    <cellStyle name="Currency 41" xfId="123" xr:uid="{00000000-0005-0000-0000-000070000000}"/>
    <cellStyle name="Currency 42" xfId="124" xr:uid="{00000000-0005-0000-0000-000071000000}"/>
    <cellStyle name="Currency 43" xfId="125" xr:uid="{00000000-0005-0000-0000-000072000000}"/>
    <cellStyle name="Currency 44" xfId="126" xr:uid="{00000000-0005-0000-0000-000073000000}"/>
    <cellStyle name="Currency 45" xfId="127" xr:uid="{00000000-0005-0000-0000-000074000000}"/>
    <cellStyle name="Currency 46" xfId="128" xr:uid="{00000000-0005-0000-0000-000075000000}"/>
    <cellStyle name="Currency 47" xfId="129" xr:uid="{00000000-0005-0000-0000-000076000000}"/>
    <cellStyle name="Currency 48" xfId="320" xr:uid="{A407F771-9963-4CDB-A533-AA6E9E20E7D5}"/>
    <cellStyle name="Currency 5" xfId="130" xr:uid="{00000000-0005-0000-0000-000077000000}"/>
    <cellStyle name="Currency 5 2" xfId="131" xr:uid="{00000000-0005-0000-0000-000078000000}"/>
    <cellStyle name="Currency 5 2 2" xfId="132" xr:uid="{00000000-0005-0000-0000-000079000000}"/>
    <cellStyle name="Currency 5 3" xfId="133" xr:uid="{00000000-0005-0000-0000-00007A000000}"/>
    <cellStyle name="Currency 5 3 2" xfId="134" xr:uid="{00000000-0005-0000-0000-00007B000000}"/>
    <cellStyle name="Currency 5 3 3" xfId="135" xr:uid="{00000000-0005-0000-0000-00007C000000}"/>
    <cellStyle name="Currency 5 4" xfId="136" xr:uid="{00000000-0005-0000-0000-00007D000000}"/>
    <cellStyle name="Currency 5 5" xfId="137" xr:uid="{00000000-0005-0000-0000-00007E000000}"/>
    <cellStyle name="Currency 5 6" xfId="138" xr:uid="{00000000-0005-0000-0000-00007F000000}"/>
    <cellStyle name="Currency 6" xfId="139" xr:uid="{00000000-0005-0000-0000-000080000000}"/>
    <cellStyle name="Currency 6 2" xfId="140" xr:uid="{00000000-0005-0000-0000-000081000000}"/>
    <cellStyle name="Currency 6 3" xfId="141" xr:uid="{00000000-0005-0000-0000-000082000000}"/>
    <cellStyle name="Currency 7" xfId="142" xr:uid="{00000000-0005-0000-0000-000083000000}"/>
    <cellStyle name="Currency 7 2" xfId="143" xr:uid="{00000000-0005-0000-0000-000084000000}"/>
    <cellStyle name="Currency 7 3" xfId="144" xr:uid="{00000000-0005-0000-0000-000085000000}"/>
    <cellStyle name="Currency 8" xfId="145" xr:uid="{00000000-0005-0000-0000-000086000000}"/>
    <cellStyle name="Currency 8 2" xfId="146" xr:uid="{00000000-0005-0000-0000-000087000000}"/>
    <cellStyle name="Currency 8 3" xfId="321" xr:uid="{12DD1FFF-31B1-4135-9445-0127B9BF9F73}"/>
    <cellStyle name="Currency 9" xfId="147" xr:uid="{00000000-0005-0000-0000-000088000000}"/>
    <cellStyle name="Explanatory Text 2" xfId="148" xr:uid="{00000000-0005-0000-0000-000089000000}"/>
    <cellStyle name="Explanatory Text 2 2" xfId="149" xr:uid="{00000000-0005-0000-0000-00008A000000}"/>
    <cellStyle name="Explanatory Text 2 3" xfId="150" xr:uid="{00000000-0005-0000-0000-00008B000000}"/>
    <cellStyle name="Font: Calibri, 9pt regular" xfId="151" xr:uid="{00000000-0005-0000-0000-00008C000000}"/>
    <cellStyle name="Footnotes: top row" xfId="152" xr:uid="{00000000-0005-0000-0000-00008D000000}"/>
    <cellStyle name="Good 2" xfId="153" xr:uid="{00000000-0005-0000-0000-00008E000000}"/>
    <cellStyle name="Header: bottom row" xfId="154" xr:uid="{00000000-0005-0000-0000-00008F000000}"/>
    <cellStyle name="Heading 1 2" xfId="155" xr:uid="{00000000-0005-0000-0000-000090000000}"/>
    <cellStyle name="Heading 1 2 2" xfId="156" xr:uid="{00000000-0005-0000-0000-000091000000}"/>
    <cellStyle name="Heading 1 2 3" xfId="157" xr:uid="{00000000-0005-0000-0000-000092000000}"/>
    <cellStyle name="Heading 2 2" xfId="158" xr:uid="{00000000-0005-0000-0000-000093000000}"/>
    <cellStyle name="Heading 2 2 2" xfId="159" xr:uid="{00000000-0005-0000-0000-000094000000}"/>
    <cellStyle name="Heading 2 2 3" xfId="160" xr:uid="{00000000-0005-0000-0000-000095000000}"/>
    <cellStyle name="Heading 3 2" xfId="161" xr:uid="{00000000-0005-0000-0000-000096000000}"/>
    <cellStyle name="Heading 3 2 2" xfId="162" xr:uid="{00000000-0005-0000-0000-000097000000}"/>
    <cellStyle name="Heading 3 2 3" xfId="163" xr:uid="{00000000-0005-0000-0000-000098000000}"/>
    <cellStyle name="Heading 4 2" xfId="164" xr:uid="{00000000-0005-0000-0000-000099000000}"/>
    <cellStyle name="Heading 4 2 2" xfId="165" xr:uid="{00000000-0005-0000-0000-00009A000000}"/>
    <cellStyle name="Heading 4 2 3" xfId="166" xr:uid="{00000000-0005-0000-0000-00009B000000}"/>
    <cellStyle name="Hyperlink 2" xfId="167" xr:uid="{00000000-0005-0000-0000-00009C000000}"/>
    <cellStyle name="Input 2" xfId="168" xr:uid="{00000000-0005-0000-0000-00009D000000}"/>
    <cellStyle name="Input 2 2" xfId="169" xr:uid="{00000000-0005-0000-0000-00009E000000}"/>
    <cellStyle name="Input 2 3" xfId="170" xr:uid="{00000000-0005-0000-0000-00009F000000}"/>
    <cellStyle name="Linked Cell 2" xfId="171" xr:uid="{00000000-0005-0000-0000-0000A0000000}"/>
    <cellStyle name="Linked Cell 2 2" xfId="172" xr:uid="{00000000-0005-0000-0000-0000A1000000}"/>
    <cellStyle name="Linked Cell 2 3" xfId="173" xr:uid="{00000000-0005-0000-0000-0000A2000000}"/>
    <cellStyle name="Neutral 2" xfId="174" xr:uid="{00000000-0005-0000-0000-0000A3000000}"/>
    <cellStyle name="Normal" xfId="0" builtinId="0"/>
    <cellStyle name="Normal 10" xfId="175" xr:uid="{00000000-0005-0000-0000-0000A5000000}"/>
    <cellStyle name="Normal 10 2" xfId="176" xr:uid="{00000000-0005-0000-0000-0000A6000000}"/>
    <cellStyle name="Normal 10 3" xfId="177" xr:uid="{00000000-0005-0000-0000-0000A7000000}"/>
    <cellStyle name="Normal 10 3 2" xfId="178" xr:uid="{00000000-0005-0000-0000-0000A8000000}"/>
    <cellStyle name="Normal 10 3 3" xfId="324" xr:uid="{5C0296A8-6F89-4225-A4E2-0EBFEB11C7A2}"/>
    <cellStyle name="Normal 11" xfId="179" xr:uid="{00000000-0005-0000-0000-0000A9000000}"/>
    <cellStyle name="Normal 11 2" xfId="180" xr:uid="{00000000-0005-0000-0000-0000AA000000}"/>
    <cellStyle name="Normal 11 2 2" xfId="181" xr:uid="{00000000-0005-0000-0000-0000AB000000}"/>
    <cellStyle name="Normal 12" xfId="182" xr:uid="{00000000-0005-0000-0000-0000AC000000}"/>
    <cellStyle name="Normal 12 2" xfId="306" xr:uid="{00000000-0005-0000-0000-0000AD000000}"/>
    <cellStyle name="Normal 13" xfId="183" xr:uid="{00000000-0005-0000-0000-0000AE000000}"/>
    <cellStyle name="Normal 13 2" xfId="184" xr:uid="{00000000-0005-0000-0000-0000AF000000}"/>
    <cellStyle name="Normal 14" xfId="185" xr:uid="{00000000-0005-0000-0000-0000B0000000}"/>
    <cellStyle name="Normal 14 2" xfId="186" xr:uid="{00000000-0005-0000-0000-0000B1000000}"/>
    <cellStyle name="Normal 15" xfId="187" xr:uid="{00000000-0005-0000-0000-0000B2000000}"/>
    <cellStyle name="Normal 16" xfId="188" xr:uid="{00000000-0005-0000-0000-0000B3000000}"/>
    <cellStyle name="Normal 17" xfId="189" xr:uid="{00000000-0005-0000-0000-0000B4000000}"/>
    <cellStyle name="Normal 17 2" xfId="190" xr:uid="{00000000-0005-0000-0000-0000B5000000}"/>
    <cellStyle name="Normal 18" xfId="191" xr:uid="{00000000-0005-0000-0000-0000B6000000}"/>
    <cellStyle name="Normal 19" xfId="192" xr:uid="{00000000-0005-0000-0000-0000B7000000}"/>
    <cellStyle name="Normal 2" xfId="193" xr:uid="{00000000-0005-0000-0000-0000B8000000}"/>
    <cellStyle name="Normal 2 2" xfId="194" xr:uid="{00000000-0005-0000-0000-0000B9000000}"/>
    <cellStyle name="Normal 2 2 2" xfId="195" xr:uid="{00000000-0005-0000-0000-0000BA000000}"/>
    <cellStyle name="Normal 2 2 3" xfId="196" xr:uid="{00000000-0005-0000-0000-0000BB000000}"/>
    <cellStyle name="Normal 2 2 4" xfId="313" xr:uid="{28B2CF5E-16EC-4EFA-AB3E-FD98ACACB5B4}"/>
    <cellStyle name="Normal 2 3" xfId="197" xr:uid="{00000000-0005-0000-0000-0000BC000000}"/>
    <cellStyle name="Normal 2 3 2" xfId="198" xr:uid="{00000000-0005-0000-0000-0000BD000000}"/>
    <cellStyle name="Normal 2 4" xfId="199" xr:uid="{00000000-0005-0000-0000-0000BE000000}"/>
    <cellStyle name="Normal 2 4 2" xfId="200" xr:uid="{00000000-0005-0000-0000-0000BF000000}"/>
    <cellStyle name="Normal 2 4 3" xfId="201" xr:uid="{00000000-0005-0000-0000-0000C0000000}"/>
    <cellStyle name="Normal 2 5" xfId="202" xr:uid="{00000000-0005-0000-0000-0000C1000000}"/>
    <cellStyle name="Normal 2 5 2" xfId="203" xr:uid="{00000000-0005-0000-0000-0000C2000000}"/>
    <cellStyle name="Normal 20" xfId="204" xr:uid="{00000000-0005-0000-0000-0000C3000000}"/>
    <cellStyle name="Normal 21" xfId="205" xr:uid="{00000000-0005-0000-0000-0000C4000000}"/>
    <cellStyle name="Normal 22" xfId="206" xr:uid="{00000000-0005-0000-0000-0000C5000000}"/>
    <cellStyle name="Normal 23" xfId="207" xr:uid="{00000000-0005-0000-0000-0000C6000000}"/>
    <cellStyle name="Normal 23 2" xfId="208" xr:uid="{00000000-0005-0000-0000-0000C7000000}"/>
    <cellStyle name="Normal 24" xfId="318" xr:uid="{DAF38FD6-93EA-4DC0-9664-DCA78B693051}"/>
    <cellStyle name="Normal 3" xfId="209" xr:uid="{00000000-0005-0000-0000-0000C8000000}"/>
    <cellStyle name="Normal 3 2" xfId="210" xr:uid="{00000000-0005-0000-0000-0000C9000000}"/>
    <cellStyle name="Normal 3 2 2" xfId="211" xr:uid="{00000000-0005-0000-0000-0000CA000000}"/>
    <cellStyle name="Normal 3 2 3" xfId="212" xr:uid="{00000000-0005-0000-0000-0000CB000000}"/>
    <cellStyle name="Normal 3 2 4" xfId="213" xr:uid="{00000000-0005-0000-0000-0000CC000000}"/>
    <cellStyle name="Normal 3 3" xfId="214" xr:uid="{00000000-0005-0000-0000-0000CD000000}"/>
    <cellStyle name="Normal 3 3 2" xfId="215" xr:uid="{00000000-0005-0000-0000-0000CE000000}"/>
    <cellStyle name="Normal 3 4" xfId="216" xr:uid="{00000000-0005-0000-0000-0000CF000000}"/>
    <cellStyle name="Normal 3 4 2" xfId="217" xr:uid="{00000000-0005-0000-0000-0000D0000000}"/>
    <cellStyle name="Normal 3 5" xfId="218" xr:uid="{00000000-0005-0000-0000-0000D1000000}"/>
    <cellStyle name="Normal 3 6" xfId="311" xr:uid="{C83F9445-7BE0-4821-BDB1-FE482EE4E660}"/>
    <cellStyle name="Normal 3 9" xfId="219" xr:uid="{00000000-0005-0000-0000-0000D2000000}"/>
    <cellStyle name="Normal 4" xfId="11" xr:uid="{00000000-0005-0000-0000-0000D3000000}"/>
    <cellStyle name="Normal 4 2" xfId="220" xr:uid="{00000000-0005-0000-0000-0000D4000000}"/>
    <cellStyle name="Normal 4 2 2" xfId="221" xr:uid="{00000000-0005-0000-0000-0000D5000000}"/>
    <cellStyle name="Normal 4 2 2 2" xfId="222" xr:uid="{00000000-0005-0000-0000-0000D6000000}"/>
    <cellStyle name="Normal 4 2 2 3" xfId="223" xr:uid="{00000000-0005-0000-0000-0000D7000000}"/>
    <cellStyle name="Normal 4 2 3" xfId="224" xr:uid="{00000000-0005-0000-0000-0000D8000000}"/>
    <cellStyle name="Normal 4 2 3 2" xfId="225" xr:uid="{00000000-0005-0000-0000-0000D9000000}"/>
    <cellStyle name="Normal 4 3" xfId="226" xr:uid="{00000000-0005-0000-0000-0000DA000000}"/>
    <cellStyle name="Normal 4 3 2" xfId="227" xr:uid="{00000000-0005-0000-0000-0000DB000000}"/>
    <cellStyle name="Normal 4 3 3" xfId="228" xr:uid="{00000000-0005-0000-0000-0000DC000000}"/>
    <cellStyle name="Normal 4 4" xfId="229" xr:uid="{00000000-0005-0000-0000-0000DD000000}"/>
    <cellStyle name="Normal 4 5 6" xfId="314" xr:uid="{0953C1CF-E309-4A79-8076-07D83A36ADF4}"/>
    <cellStyle name="Normal 5" xfId="6" xr:uid="{00000000-0005-0000-0000-0000DE000000}"/>
    <cellStyle name="Normal 5 2" xfId="230" xr:uid="{00000000-0005-0000-0000-0000DF000000}"/>
    <cellStyle name="Normal 5 3" xfId="4" xr:uid="{00000000-0005-0000-0000-0000E0000000}"/>
    <cellStyle name="Normal 5 4" xfId="308" xr:uid="{ADD33456-1350-4AA0-8DDA-3B4C384A55A4}"/>
    <cellStyle name="Normal 5 5" xfId="310" xr:uid="{51301288-4DC6-45B8-9937-98DE275833D2}"/>
    <cellStyle name="Normal 5 6" xfId="316" xr:uid="{B051049C-908C-4D2C-8F29-F45979B67A69}"/>
    <cellStyle name="Normal 5 6 2" xfId="322" xr:uid="{A38E5799-084D-4632-9F26-2EF345143D7E}"/>
    <cellStyle name="Normal 6" xfId="231" xr:uid="{00000000-0005-0000-0000-0000E1000000}"/>
    <cellStyle name="Normal 6 2" xfId="10" xr:uid="{00000000-0005-0000-0000-0000E2000000}"/>
    <cellStyle name="Normal 6 2 2" xfId="232" xr:uid="{00000000-0005-0000-0000-0000E3000000}"/>
    <cellStyle name="Normal 6 2 2 2" xfId="233" xr:uid="{00000000-0005-0000-0000-0000E4000000}"/>
    <cellStyle name="Normal 6 2 3" xfId="234" xr:uid="{00000000-0005-0000-0000-0000E5000000}"/>
    <cellStyle name="Normal 6 2 4" xfId="235" xr:uid="{00000000-0005-0000-0000-0000E6000000}"/>
    <cellStyle name="Normal 6 3" xfId="236" xr:uid="{00000000-0005-0000-0000-0000E7000000}"/>
    <cellStyle name="Normal 6 4" xfId="237" xr:uid="{00000000-0005-0000-0000-0000E8000000}"/>
    <cellStyle name="Normal 7" xfId="9" xr:uid="{00000000-0005-0000-0000-0000E9000000}"/>
    <cellStyle name="Normal 7 2" xfId="238" xr:uid="{00000000-0005-0000-0000-0000EA000000}"/>
    <cellStyle name="Normal 7 3" xfId="239" xr:uid="{00000000-0005-0000-0000-0000EB000000}"/>
    <cellStyle name="Normal 8" xfId="240" xr:uid="{00000000-0005-0000-0000-0000EC000000}"/>
    <cellStyle name="Normal 8 2" xfId="241" xr:uid="{00000000-0005-0000-0000-0000ED000000}"/>
    <cellStyle name="Normal 8 3" xfId="242" xr:uid="{00000000-0005-0000-0000-0000EE000000}"/>
    <cellStyle name="Normal 8 4" xfId="243" xr:uid="{00000000-0005-0000-0000-0000EF000000}"/>
    <cellStyle name="Normal 8 5" xfId="244" xr:uid="{00000000-0005-0000-0000-0000F0000000}"/>
    <cellStyle name="Normal 9" xfId="245" xr:uid="{00000000-0005-0000-0000-0000F1000000}"/>
    <cellStyle name="Normal 9 2" xfId="246" xr:uid="{00000000-0005-0000-0000-0000F2000000}"/>
    <cellStyle name="Normal 9 2 2" xfId="247" xr:uid="{00000000-0005-0000-0000-0000F3000000}"/>
    <cellStyle name="Normal 9 2 3" xfId="248" xr:uid="{00000000-0005-0000-0000-0000F4000000}"/>
    <cellStyle name="Normal 9 3" xfId="249" xr:uid="{00000000-0005-0000-0000-0000F5000000}"/>
    <cellStyle name="Normal_DYS YITS Rate Dev 4 21 10" xfId="8" xr:uid="{00000000-0005-0000-0000-0000F6000000}"/>
    <cellStyle name="Note 2" xfId="250" xr:uid="{00000000-0005-0000-0000-0000F8000000}"/>
    <cellStyle name="Note 2 2" xfId="251" xr:uid="{00000000-0005-0000-0000-0000F9000000}"/>
    <cellStyle name="Note 2 3" xfId="252" xr:uid="{00000000-0005-0000-0000-0000FA000000}"/>
    <cellStyle name="Output 2" xfId="253" xr:uid="{00000000-0005-0000-0000-0000FB000000}"/>
    <cellStyle name="Output 2 2" xfId="254" xr:uid="{00000000-0005-0000-0000-0000FC000000}"/>
    <cellStyle name="Output 2 3" xfId="255" xr:uid="{00000000-0005-0000-0000-0000FD000000}"/>
    <cellStyle name="Parent row" xfId="256" xr:uid="{00000000-0005-0000-0000-0000FE000000}"/>
    <cellStyle name="Percent" xfId="3" builtinId="5"/>
    <cellStyle name="Percent 10" xfId="257" xr:uid="{00000000-0005-0000-0000-000000010000}"/>
    <cellStyle name="Percent 10 2" xfId="258" xr:uid="{00000000-0005-0000-0000-000001010000}"/>
    <cellStyle name="Percent 11" xfId="259" xr:uid="{00000000-0005-0000-0000-000002010000}"/>
    <cellStyle name="Percent 12" xfId="7" xr:uid="{00000000-0005-0000-0000-000003010000}"/>
    <cellStyle name="Percent 13" xfId="317" xr:uid="{87F7DBCD-3269-41C7-B0BE-63B85783E70E}"/>
    <cellStyle name="Percent 13 2" xfId="323" xr:uid="{415EE0E3-91C8-46C2-83DD-98AEF69902A7}"/>
    <cellStyle name="Percent 14" xfId="319" xr:uid="{9CCA090C-B6DC-4CF0-8E8F-56F8B62F7D57}"/>
    <cellStyle name="Percent 15" xfId="309" xr:uid="{F6B98B33-1974-4F72-8942-F7E2BD2C022D}"/>
    <cellStyle name="Percent 2" xfId="12" xr:uid="{00000000-0005-0000-0000-000004010000}"/>
    <cellStyle name="Percent 2 2" xfId="260" xr:uid="{00000000-0005-0000-0000-000005010000}"/>
    <cellStyle name="Percent 2 2 2" xfId="261" xr:uid="{00000000-0005-0000-0000-000006010000}"/>
    <cellStyle name="Percent 2 2 3" xfId="262" xr:uid="{00000000-0005-0000-0000-000007010000}"/>
    <cellStyle name="Percent 2 3" xfId="263" xr:uid="{00000000-0005-0000-0000-000008010000}"/>
    <cellStyle name="Percent 2 4" xfId="264" xr:uid="{00000000-0005-0000-0000-000009010000}"/>
    <cellStyle name="Percent 2 5" xfId="265" xr:uid="{00000000-0005-0000-0000-00000A010000}"/>
    <cellStyle name="Percent 2 6" xfId="5" xr:uid="{00000000-0005-0000-0000-00000B010000}"/>
    <cellStyle name="Percent 2 7" xfId="315" xr:uid="{2FEC4012-BD75-4014-A803-9E48B1D9D54F}"/>
    <cellStyle name="Percent 3" xfId="266" xr:uid="{00000000-0005-0000-0000-00000C010000}"/>
    <cellStyle name="Percent 3 2" xfId="267" xr:uid="{00000000-0005-0000-0000-00000D010000}"/>
    <cellStyle name="Percent 3 2 2" xfId="268" xr:uid="{00000000-0005-0000-0000-00000E010000}"/>
    <cellStyle name="Percent 3 2 3" xfId="269" xr:uid="{00000000-0005-0000-0000-00000F010000}"/>
    <cellStyle name="Percent 3 3" xfId="270" xr:uid="{00000000-0005-0000-0000-000010010000}"/>
    <cellStyle name="Percent 4" xfId="271" xr:uid="{00000000-0005-0000-0000-000011010000}"/>
    <cellStyle name="Percent 4 2" xfId="272" xr:uid="{00000000-0005-0000-0000-000012010000}"/>
    <cellStyle name="Percent 4 2 2" xfId="273" xr:uid="{00000000-0005-0000-0000-000013010000}"/>
    <cellStyle name="Percent 4 2 3" xfId="274" xr:uid="{00000000-0005-0000-0000-000014010000}"/>
    <cellStyle name="Percent 4 3" xfId="275" xr:uid="{00000000-0005-0000-0000-000015010000}"/>
    <cellStyle name="Percent 4 3 2" xfId="276" xr:uid="{00000000-0005-0000-0000-000016010000}"/>
    <cellStyle name="Percent 5" xfId="277" xr:uid="{00000000-0005-0000-0000-000017010000}"/>
    <cellStyle name="Percent 5 2" xfId="278" xr:uid="{00000000-0005-0000-0000-000018010000}"/>
    <cellStyle name="Percent 5 2 2" xfId="279" xr:uid="{00000000-0005-0000-0000-000019010000}"/>
    <cellStyle name="Percent 5 3" xfId="280" xr:uid="{00000000-0005-0000-0000-00001A010000}"/>
    <cellStyle name="Percent 5 4" xfId="281" xr:uid="{00000000-0005-0000-0000-00001B010000}"/>
    <cellStyle name="Percent 5 5" xfId="282" xr:uid="{00000000-0005-0000-0000-00001C010000}"/>
    <cellStyle name="Percent 6" xfId="283" xr:uid="{00000000-0005-0000-0000-00001D010000}"/>
    <cellStyle name="Percent 6 2" xfId="284" xr:uid="{00000000-0005-0000-0000-00001E010000}"/>
    <cellStyle name="Percent 6 3" xfId="285" xr:uid="{00000000-0005-0000-0000-00001F010000}"/>
    <cellStyle name="Percent 6 4" xfId="286" xr:uid="{00000000-0005-0000-0000-000020010000}"/>
    <cellStyle name="Percent 6 5" xfId="307" xr:uid="{00000000-0005-0000-0000-000021010000}"/>
    <cellStyle name="Percent 7" xfId="287" xr:uid="{00000000-0005-0000-0000-000022010000}"/>
    <cellStyle name="Percent 7 2" xfId="288" xr:uid="{00000000-0005-0000-0000-000023010000}"/>
    <cellStyle name="Percent 7 3" xfId="289" xr:uid="{00000000-0005-0000-0000-000024010000}"/>
    <cellStyle name="Percent 7 4" xfId="290" xr:uid="{00000000-0005-0000-0000-000025010000}"/>
    <cellStyle name="Percent 8" xfId="291" xr:uid="{00000000-0005-0000-0000-000026010000}"/>
    <cellStyle name="Percent 8 2" xfId="292" xr:uid="{00000000-0005-0000-0000-000027010000}"/>
    <cellStyle name="Percent 8 3" xfId="293" xr:uid="{00000000-0005-0000-0000-000028010000}"/>
    <cellStyle name="Percent 9" xfId="294" xr:uid="{00000000-0005-0000-0000-000029010000}"/>
    <cellStyle name="Percent 9 2" xfId="295" xr:uid="{00000000-0005-0000-0000-00002A010000}"/>
    <cellStyle name="Table title" xfId="296" xr:uid="{00000000-0005-0000-0000-00002B010000}"/>
    <cellStyle name="Title 2" xfId="297" xr:uid="{00000000-0005-0000-0000-00002C010000}"/>
    <cellStyle name="Title 2 2" xfId="298" xr:uid="{00000000-0005-0000-0000-00002D010000}"/>
    <cellStyle name="Title 2 3" xfId="299" xr:uid="{00000000-0005-0000-0000-00002E010000}"/>
    <cellStyle name="Total 2" xfId="300" xr:uid="{00000000-0005-0000-0000-00002F010000}"/>
    <cellStyle name="Total 2 2" xfId="301" xr:uid="{00000000-0005-0000-0000-000030010000}"/>
    <cellStyle name="Total 2 3" xfId="302" xr:uid="{00000000-0005-0000-0000-000031010000}"/>
    <cellStyle name="Warning Text 2" xfId="303" xr:uid="{00000000-0005-0000-0000-000032010000}"/>
    <cellStyle name="Warning Text 2 2" xfId="304" xr:uid="{00000000-0005-0000-0000-000033010000}"/>
    <cellStyle name="Warning Text 2 3" xfId="305" xr:uid="{00000000-0005-0000-0000-000034010000}"/>
  </cellStyles>
  <dxfs count="12">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33</xdr:row>
      <xdr:rowOff>0</xdr:rowOff>
    </xdr:from>
    <xdr:ext cx="3450166" cy="963083"/>
    <xdr:sp macro="" textlink="">
      <xdr:nvSpPr>
        <xdr:cNvPr id="2" name="TextBox 1">
          <a:extLst>
            <a:ext uri="{FF2B5EF4-FFF2-40B4-BE49-F238E27FC236}">
              <a16:creationId xmlns:a16="http://schemas.microsoft.com/office/drawing/2014/main" id="{34C6987F-4D99-468D-88E5-21C3847CE4B3}"/>
            </a:ext>
          </a:extLst>
        </xdr:cNvPr>
        <xdr:cNvSpPr txBox="1"/>
      </xdr:nvSpPr>
      <xdr:spPr>
        <a:xfrm>
          <a:off x="7821083" y="1989667"/>
          <a:ext cx="3450166" cy="963083"/>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257175</xdr:colOff>
      <xdr:row>13</xdr:row>
      <xdr:rowOff>76200</xdr:rowOff>
    </xdr:from>
    <xdr:to>
      <xdr:col>5</xdr:col>
      <xdr:colOff>266700</xdr:colOff>
      <xdr:row>18</xdr:row>
      <xdr:rowOff>47625</xdr:rowOff>
    </xdr:to>
    <xdr:cxnSp macro="">
      <xdr:nvCxnSpPr>
        <xdr:cNvPr id="2" name="Straight Arrow Connector 1">
          <a:extLst>
            <a:ext uri="{FF2B5EF4-FFF2-40B4-BE49-F238E27FC236}">
              <a16:creationId xmlns:a16="http://schemas.microsoft.com/office/drawing/2014/main" id="{C2BF3A0E-AC10-420F-A696-6F75FD04A6ED}"/>
            </a:ext>
          </a:extLst>
        </xdr:cNvPr>
        <xdr:cNvCxnSpPr/>
      </xdr:nvCxnSpPr>
      <xdr:spPr>
        <a:xfrm flipH="1">
          <a:off x="5800725" y="2209800"/>
          <a:ext cx="9525" cy="733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D7744C96-BA52-4313-A07E-9C06C1387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179916</xdr:colOff>
      <xdr:row>5</xdr:row>
      <xdr:rowOff>0</xdr:rowOff>
    </xdr:from>
    <xdr:ext cx="2624667" cy="1566334"/>
    <xdr:sp macro="" textlink="">
      <xdr:nvSpPr>
        <xdr:cNvPr id="2" name="TextBox 1">
          <a:extLst>
            <a:ext uri="{FF2B5EF4-FFF2-40B4-BE49-F238E27FC236}">
              <a16:creationId xmlns:a16="http://schemas.microsoft.com/office/drawing/2014/main" id="{9EC63DC0-7991-4011-8C8C-259D32F9D99C}"/>
            </a:ext>
          </a:extLst>
        </xdr:cNvPr>
        <xdr:cNvSpPr txBox="1"/>
      </xdr:nvSpPr>
      <xdr:spPr>
        <a:xfrm>
          <a:off x="179916" y="836083"/>
          <a:ext cx="2624667" cy="156633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pPr eaLnBrk="1" fontAlgn="auto" latinLnBrk="0" hangingPunct="1"/>
          <a:r>
            <a:rPr lang="en-US" sz="1100" b="0">
              <a:solidFill>
                <a:schemeClr val="tx1"/>
              </a:solidFill>
              <a:effectLst/>
              <a:latin typeface="+mn-lt"/>
              <a:ea typeface="+mn-ea"/>
              <a:cs typeface="+mn-cs"/>
            </a:rPr>
            <a:t>Updated</a:t>
          </a:r>
          <a:r>
            <a:rPr lang="en-US" sz="1100" b="0" baseline="0">
              <a:solidFill>
                <a:schemeClr val="tx1"/>
              </a:solidFill>
              <a:effectLst/>
              <a:latin typeface="+mn-lt"/>
              <a:ea typeface="+mn-ea"/>
              <a:cs typeface="+mn-cs"/>
            </a:rPr>
            <a:t> Relief assumptioms from 14.6% To 15.8%, if applicable on the model</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r>
            <a:rPr lang="en-US" sz="1100" b="0" baseline="0">
              <a:solidFill>
                <a:schemeClr val="tx1"/>
              </a:solidFill>
              <a:effectLst/>
              <a:latin typeface="+mn-lt"/>
              <a:ea typeface="+mn-ea"/>
              <a:cs typeface="+mn-cs"/>
            </a:rPr>
            <a:t>BTL expenses to FY21 UFR data</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148167</xdr:colOff>
      <xdr:row>3</xdr:row>
      <xdr:rowOff>0</xdr:rowOff>
    </xdr:from>
    <xdr:ext cx="2942167" cy="1735666"/>
    <xdr:sp macro="" textlink="">
      <xdr:nvSpPr>
        <xdr:cNvPr id="2" name="TextBox 1">
          <a:extLst>
            <a:ext uri="{FF2B5EF4-FFF2-40B4-BE49-F238E27FC236}">
              <a16:creationId xmlns:a16="http://schemas.microsoft.com/office/drawing/2014/main" id="{8CE34584-3008-4F18-B804-0D7714916378}"/>
            </a:ext>
          </a:extLst>
        </xdr:cNvPr>
        <xdr:cNvSpPr txBox="1"/>
      </xdr:nvSpPr>
      <xdr:spPr>
        <a:xfrm>
          <a:off x="148167" y="592667"/>
          <a:ext cx="2942167" cy="173566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pPr eaLnBrk="1" fontAlgn="auto" latinLnBrk="0" hangingPunct="1"/>
          <a:r>
            <a:rPr lang="en-US" sz="1100" b="0">
              <a:solidFill>
                <a:schemeClr val="tx1"/>
              </a:solidFill>
              <a:effectLst/>
              <a:latin typeface="+mn-lt"/>
              <a:ea typeface="+mn-ea"/>
              <a:cs typeface="+mn-cs"/>
            </a:rPr>
            <a:t>Updated</a:t>
          </a:r>
          <a:r>
            <a:rPr lang="en-US" sz="1100" b="0" baseline="0">
              <a:solidFill>
                <a:schemeClr val="tx1"/>
              </a:solidFill>
              <a:effectLst/>
              <a:latin typeface="+mn-lt"/>
              <a:ea typeface="+mn-ea"/>
              <a:cs typeface="+mn-cs"/>
            </a:rPr>
            <a:t> Relief assumptioms from 14.6% To 15.8%, if applicable on the model</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r>
            <a:rPr lang="en-US" sz="1100" b="0" baseline="0">
              <a:solidFill>
                <a:schemeClr val="tx1"/>
              </a:solidFill>
              <a:effectLst/>
              <a:latin typeface="+mn-lt"/>
              <a:ea typeface="+mn-ea"/>
              <a:cs typeface="+mn-cs"/>
            </a:rPr>
            <a:t>BTL expenses to FY21 UFR data</a:t>
          </a:r>
          <a:endParaRPr lang="en-US">
            <a:effectLst/>
          </a:endParaRPr>
        </a:p>
        <a:p>
          <a:r>
            <a:rPr lang="en-US" sz="1100"/>
            <a:t>Increased</a:t>
          </a:r>
          <a:r>
            <a:rPr lang="en-US" sz="1100" baseline="0"/>
            <a:t> 1.00 FTE on Independent Living Program B (level A-B) for DC &amp; DCIII</a:t>
          </a:r>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116417</xdr:rowOff>
    </xdr:from>
    <xdr:ext cx="2614083" cy="1799166"/>
    <xdr:sp macro="" textlink="">
      <xdr:nvSpPr>
        <xdr:cNvPr id="2" name="TextBox 1">
          <a:extLst>
            <a:ext uri="{FF2B5EF4-FFF2-40B4-BE49-F238E27FC236}">
              <a16:creationId xmlns:a16="http://schemas.microsoft.com/office/drawing/2014/main" id="{B66C21ED-E292-43A4-8F99-75F0E62BBCA2}"/>
            </a:ext>
          </a:extLst>
        </xdr:cNvPr>
        <xdr:cNvSpPr txBox="1"/>
      </xdr:nvSpPr>
      <xdr:spPr>
        <a:xfrm>
          <a:off x="0" y="613834"/>
          <a:ext cx="2614083" cy="179916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pPr eaLnBrk="1" fontAlgn="auto" latinLnBrk="0" hangingPunct="1"/>
          <a:r>
            <a:rPr lang="en-US" sz="1100" b="0">
              <a:solidFill>
                <a:schemeClr val="tx1"/>
              </a:solidFill>
              <a:effectLst/>
              <a:latin typeface="+mn-lt"/>
              <a:ea typeface="+mn-ea"/>
              <a:cs typeface="+mn-cs"/>
            </a:rPr>
            <a:t>Updated</a:t>
          </a:r>
          <a:r>
            <a:rPr lang="en-US" sz="1100" b="0" baseline="0">
              <a:solidFill>
                <a:schemeClr val="tx1"/>
              </a:solidFill>
              <a:effectLst/>
              <a:latin typeface="+mn-lt"/>
              <a:ea typeface="+mn-ea"/>
              <a:cs typeface="+mn-cs"/>
            </a:rPr>
            <a:t> Relief assumptioms from 14.6% To 15.8%, if applicable on the model</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r>
            <a:rPr lang="en-US" sz="1100" b="0" baseline="0">
              <a:solidFill>
                <a:schemeClr val="tx1"/>
              </a:solidFill>
              <a:effectLst/>
              <a:latin typeface="+mn-lt"/>
              <a:ea typeface="+mn-ea"/>
              <a:cs typeface="+mn-cs"/>
            </a:rPr>
            <a:t>BTL expenses to FY21 UFR data</a:t>
          </a:r>
          <a:endParaRPr lang="en-US">
            <a:effectLst/>
          </a:endParaRPr>
        </a:p>
        <a:p>
          <a:r>
            <a:rPr lang="en-US" sz="1100"/>
            <a:t>Family engagement specialoist</a:t>
          </a:r>
          <a:r>
            <a:rPr lang="en-US" sz="1100" baseline="0"/>
            <a:t> benchmarked to clinical director</a:t>
          </a:r>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656167</xdr:colOff>
      <xdr:row>12</xdr:row>
      <xdr:rowOff>0</xdr:rowOff>
    </xdr:from>
    <xdr:ext cx="3450166" cy="963083"/>
    <xdr:sp macro="" textlink="">
      <xdr:nvSpPr>
        <xdr:cNvPr id="2" name="TextBox 1">
          <a:extLst>
            <a:ext uri="{FF2B5EF4-FFF2-40B4-BE49-F238E27FC236}">
              <a16:creationId xmlns:a16="http://schemas.microsoft.com/office/drawing/2014/main" id="{7DE5DCAA-05BC-498D-9BD9-6E86CD25CD56}"/>
            </a:ext>
          </a:extLst>
        </xdr:cNvPr>
        <xdr:cNvSpPr txBox="1"/>
      </xdr:nvSpPr>
      <xdr:spPr>
        <a:xfrm>
          <a:off x="656167" y="2910417"/>
          <a:ext cx="3450166" cy="963083"/>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285750</xdr:colOff>
      <xdr:row>13</xdr:row>
      <xdr:rowOff>74083</xdr:rowOff>
    </xdr:from>
    <xdr:to>
      <xdr:col>5</xdr:col>
      <xdr:colOff>296334</xdr:colOff>
      <xdr:row>17</xdr:row>
      <xdr:rowOff>127000</xdr:rowOff>
    </xdr:to>
    <xdr:cxnSp macro="">
      <xdr:nvCxnSpPr>
        <xdr:cNvPr id="3" name="Straight Arrow Connector 2">
          <a:extLst>
            <a:ext uri="{FF2B5EF4-FFF2-40B4-BE49-F238E27FC236}">
              <a16:creationId xmlns:a16="http://schemas.microsoft.com/office/drawing/2014/main" id="{101751EB-7087-4722-AFAD-C140A95F8EDE}"/>
            </a:ext>
          </a:extLst>
        </xdr:cNvPr>
        <xdr:cNvCxnSpPr/>
      </xdr:nvCxnSpPr>
      <xdr:spPr>
        <a:xfrm>
          <a:off x="6074833" y="2931583"/>
          <a:ext cx="10584" cy="8149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0</xdr:colOff>
      <xdr:row>22</xdr:row>
      <xdr:rowOff>105834</xdr:rowOff>
    </xdr:from>
    <xdr:ext cx="2931583" cy="1153584"/>
    <xdr:sp macro="" textlink="">
      <xdr:nvSpPr>
        <xdr:cNvPr id="2" name="TextBox 1">
          <a:extLst>
            <a:ext uri="{FF2B5EF4-FFF2-40B4-BE49-F238E27FC236}">
              <a16:creationId xmlns:a16="http://schemas.microsoft.com/office/drawing/2014/main" id="{BE7E2F07-6B10-442A-BDA3-FE7189AB333B}"/>
            </a:ext>
          </a:extLst>
        </xdr:cNvPr>
        <xdr:cNvSpPr txBox="1"/>
      </xdr:nvSpPr>
      <xdr:spPr>
        <a:xfrm>
          <a:off x="1460500" y="4423834"/>
          <a:ext cx="2931583" cy="115358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b="0" baseline="0">
              <a:solidFill>
                <a:schemeClr val="tx1"/>
              </a:solidFill>
              <a:effectLst/>
              <a:latin typeface="+mn-lt"/>
              <a:ea typeface="+mn-ea"/>
              <a:cs typeface="+mn-cs"/>
            </a:rPr>
            <a:t>Updated T&amp;F to FY23 Comptroller 27.38%</a:t>
          </a:r>
          <a:endParaRPr lang="en-US">
            <a:effectLst/>
          </a:endParaRPr>
        </a:p>
        <a:p>
          <a:r>
            <a:rPr lang="en-US" sz="1100" b="0" baseline="0">
              <a:solidFill>
                <a:schemeClr val="tx1"/>
              </a:solidFill>
              <a:effectLst/>
              <a:latin typeface="+mn-lt"/>
              <a:ea typeface="+mn-ea"/>
              <a:cs typeface="+mn-cs"/>
            </a:rPr>
            <a:t>Updated CAF Spring 2023 Report 2.71%</a:t>
          </a:r>
          <a:endParaRPr lang="en-US">
            <a:effectLst/>
          </a:endParaRPr>
        </a:p>
        <a:p>
          <a:r>
            <a:rPr lang="en-US" sz="1100" b="0">
              <a:solidFill>
                <a:schemeClr val="tx1"/>
              </a:solidFill>
              <a:effectLst/>
              <a:latin typeface="+mn-lt"/>
              <a:ea typeface="+mn-ea"/>
              <a:cs typeface="+mn-cs"/>
            </a:rPr>
            <a:t>BLS</a:t>
          </a:r>
          <a:r>
            <a:rPr lang="en-US" sz="1100" b="0" baseline="0">
              <a:solidFill>
                <a:schemeClr val="tx1"/>
              </a:solidFill>
              <a:effectLst/>
              <a:latin typeface="+mn-lt"/>
              <a:ea typeface="+mn-ea"/>
              <a:cs typeface="+mn-cs"/>
            </a:rPr>
            <a:t> 2022 Salary report @ 53%</a:t>
          </a:r>
          <a:endParaRPr lang="en-US">
            <a:effectLst/>
          </a:endParaRPr>
        </a:p>
        <a:p>
          <a:r>
            <a:rPr lang="en-US" sz="1100" b="0" baseline="0">
              <a:solidFill>
                <a:schemeClr val="tx1"/>
              </a:solidFill>
              <a:effectLst/>
              <a:latin typeface="+mn-lt"/>
              <a:ea typeface="+mn-ea"/>
              <a:cs typeface="+mn-cs"/>
            </a:rPr>
            <a:t>BTL expenses to FY21 UFR data</a:t>
          </a:r>
          <a:endParaRPr lang="en-US">
            <a:effectLst/>
          </a:endParaRP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E\X\Data%20&amp;%20Reporting%20Tools\STARR%20Utilization\STARR%20Utilization%20Tool%20FY10%20Jun"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W_Pricing\POS\Year%203%20Projects\Year%203%20Plan\Service%20Classes\Youth%20Short-Term%20Stabilization%20Emergency%20Placement\rate%20development\Post%20Hearing\YSTS%20general%20analysis%20after%20DYS%2011_09_11_Post%20Hearing%20change_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Common\Administrative%20Services-POS%20Policy%20Office\Rate%20Setting\Rate%20Projects\Youth%20Intermediate%20DYS-CMR%20413\Rate%20Review%20for%20Jan%202022\1.%20Strategy%20Materials\2.%20DYS%20models%207.3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Common\Administrative%20Services-POS%20Policy%20Office\Rate%20Setting\Rate%20Projects\DYS%20-%20Community%20Service%20Nework\5.%20Final%20Rate%20Documents\CSN%20(YITS)%20-Post%20Hearing%20Model%20Analysis%2012-22-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Users\KaSolimini\AppData\Local\Microsoft\Windows\Temporary%20Internet%20Files\Content.Outlook\VPTTPB14\1.%202020%20DYS%20YITS%20Model%20Budgets%2010.8.1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Administrative%20Services-POS%20Policy%20Office\Rate%20Setting\UFR'S\2022%20UFR's\2142%20FY22%20UFR_Data.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Z:\Administrative%20Services-POS%20Policy%20Office\Rate%20Setting\Rate%20Projects\YITS%20101%20CMR%20413%20(DYS)\DYS\FY22%20Rate%20Review\1.%20Strategy%20Materials\1.%20CSN%20&amp;%20READY%20Models%207.30.xlsx" TargetMode="External"/><Relationship Id="rId1" Type="http://schemas.openxmlformats.org/officeDocument/2006/relationships/externalLinkPath" Target="file:///X:\Administrative%20Services-POS%20Policy%20Office\Rate%20Setting\Rate%20Projects\YITS%20101%20CMR%20413%20(DYS)\DYS\FY22%20Rate%20Review\1.%20Strategy%20Materials\1.%20CSN%20&amp;%20READY%20Models%207.30.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file:///Z:\Administrative%20Services-POS%20Policy%20Office\Rate%20Setting\Rate%20Projects\YITS%20101%20CMR%20413%20(DYS)\DYS\FY22%20Rate%20Review\1.%20Strategy%20Materials\Archive\1a.%20CSN%20Models%202020.xlsx" TargetMode="External"/><Relationship Id="rId1" Type="http://schemas.openxmlformats.org/officeDocument/2006/relationships/externalLinkPath" Target="file:///X:\Administrative%20Services-POS%20Policy%20Office\Rate%20Setting\Rate%20Projects\YITS%20101%20CMR%20413%20(DYS)\DYS\FY22%20Rate%20Review\1.%20Strategy%20Materials\Archive\1a.%20CSN%20Models%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 impact"/>
      <sheetName val="Rate Summary Sheet"/>
      <sheetName val="Rate Options"/>
      <sheetName val="Rates with Ed"/>
      <sheetName val="Teacher Sals"/>
      <sheetName val="Rates w Higher Need"/>
      <sheetName val="Add-ons"/>
      <sheetName val="Budg Anlys"/>
      <sheetName val="Expense anlys"/>
      <sheetName val="Clean Data"/>
      <sheetName val="Original Data"/>
    </sheetNames>
    <sheetDataSet>
      <sheetData sheetId="0"/>
      <sheetData sheetId="1"/>
      <sheetData sheetId="2">
        <row r="12">
          <cell r="E12">
            <v>51947.798987144524</v>
          </cell>
        </row>
        <row r="22">
          <cell r="F22">
            <v>1</v>
          </cell>
        </row>
      </sheetData>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 Chart"/>
      <sheetName val="2020 BLS Chart"/>
      <sheetName val="Youth Res Rate Models(2022)"/>
      <sheetName val="Rate Options"/>
      <sheetName val="Youth Res Rate Models (Current)"/>
      <sheetName val="TILP Rates"/>
      <sheetName val="Higher Need Rate Opt (rebased)"/>
      <sheetName val="Higher Need Rate Options"/>
      <sheetName val="TILP Rates (A&amp;B) 2022"/>
      <sheetName val="TILP Rates (A&amp;B) (Current)"/>
      <sheetName val=" Add-Ons (DC &amp; Clinical (2022)"/>
      <sheetName val=" Add-Ons(DC &amp; Clinical current)"/>
      <sheetName val="OLD Fiscal Impact"/>
      <sheetName val="Spring 2019 CAF"/>
      <sheetName val="Salary Bench Chart"/>
      <sheetName val="Rate Chart"/>
      <sheetName val="CY22 Add on Rates "/>
      <sheetName val="FY20 UFR Data"/>
      <sheetName val="Fiscal Impact"/>
      <sheetName val="CAF Spring 2021"/>
      <sheetName val="Bed Day Data"/>
      <sheetName val="FTE Ratios"/>
      <sheetName val="Fiscal Impact1"/>
      <sheetName val="Fiscal Impact2"/>
      <sheetName val="CAF 2019 Fall"/>
    </sheetNames>
    <sheetDataSet>
      <sheetData sheetId="0" refreshError="1"/>
      <sheetData sheetId="1"/>
      <sheetData sheetId="2"/>
      <sheetData sheetId="3">
        <row r="30">
          <cell r="AJ30">
            <v>0.25578770213785851</v>
          </cell>
        </row>
        <row r="42">
          <cell r="AJ42" t="e">
            <v>#REF!</v>
          </cell>
        </row>
        <row r="43">
          <cell r="AK43">
            <v>4.4640068153077195E-2</v>
          </cell>
        </row>
      </sheetData>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ow r="30">
          <cell r="C30">
            <v>0.224</v>
          </cell>
        </row>
        <row r="33">
          <cell r="C33">
            <v>0.12</v>
          </cell>
        </row>
      </sheetData>
      <sheetData sheetId="15">
        <row r="5">
          <cell r="M5">
            <v>484.49978026750284</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Budgets"/>
      <sheetName val="Single MB EHS 07172014"/>
      <sheetName val="Model Budgets Adjusted"/>
      <sheetName val="PH Model Budgets"/>
      <sheetName val="Model Budgets Orig"/>
      <sheetName val="CAF"/>
      <sheetName val="Fiscal Impact"/>
      <sheetName val="PH Fiscal Impact"/>
      <sheetName val="Fiscal Impact FY15"/>
      <sheetName val="OccupancyAdd-On"/>
      <sheetName val="FY15 Units"/>
      <sheetName val="FY14 Units"/>
      <sheetName val="Van Costs "/>
      <sheetName val="CSN Mile Rates "/>
      <sheetName val="Salary Breakout "/>
      <sheetName val="OfficeSize12-18"/>
      <sheetName val="Occupancy"/>
      <sheetName val="Case Load Analysis"/>
      <sheetName val="DYS Salary Breakout"/>
      <sheetName val="Flex Funds "/>
      <sheetName val="YITS Add-On Rates"/>
      <sheetName val="CleanData"/>
      <sheetName val="RawContractData"/>
      <sheetName val="RawDataCalcs"/>
      <sheetName val="OldColonyFY15Sche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BO9">
            <v>1</v>
          </cell>
        </row>
      </sheetData>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 Chart"/>
      <sheetName val="Youth Res Rate Models"/>
      <sheetName val="Rate Options"/>
      <sheetName val="TILP Rates (A&amp;B)"/>
      <sheetName val="TILP Rates"/>
      <sheetName val="Higher Need Rate Opt (rebased)"/>
      <sheetName val="Higher Need Rate Options"/>
      <sheetName val=" Add-On Rates(DC &amp; Clinical)"/>
      <sheetName val="OLD Fiscal Impact"/>
      <sheetName val="Spring 2019 CAF"/>
      <sheetName val="Rate Chart"/>
      <sheetName val="Bed Day Data"/>
      <sheetName val="FTE Ratios"/>
      <sheetName val="Fiscal Impact"/>
    </sheetNames>
    <sheetDataSet>
      <sheetData sheetId="0"/>
      <sheetData sheetId="1">
        <row r="28">
          <cell r="E28">
            <v>484.49978026750284</v>
          </cell>
          <cell r="K28">
            <v>407.50964027840962</v>
          </cell>
        </row>
        <row r="30">
          <cell r="E30">
            <v>545.06225280094066</v>
          </cell>
        </row>
        <row r="69">
          <cell r="E69">
            <v>462.94193325096575</v>
          </cell>
          <cell r="K69">
            <v>385.95179401170338</v>
          </cell>
        </row>
        <row r="71">
          <cell r="E71">
            <v>520.80967490733644</v>
          </cell>
        </row>
        <row r="110">
          <cell r="E110">
            <v>445.28292688314087</v>
          </cell>
        </row>
        <row r="147">
          <cell r="E147">
            <v>417.72622514715829</v>
          </cell>
          <cell r="K147">
            <v>348.38084902481717</v>
          </cell>
        </row>
        <row r="149">
          <cell r="E149">
            <v>469.94200329055309</v>
          </cell>
        </row>
      </sheetData>
      <sheetData sheetId="2"/>
      <sheetData sheetId="3">
        <row r="33">
          <cell r="E33">
            <v>362.18851234412631</v>
          </cell>
        </row>
      </sheetData>
      <sheetData sheetId="4"/>
      <sheetData sheetId="5"/>
      <sheetData sheetId="6"/>
      <sheetData sheetId="7">
        <row r="40">
          <cell r="I40">
            <v>12.475080148365331</v>
          </cell>
        </row>
        <row r="50">
          <cell r="I50">
            <v>9.6581265664763887</v>
          </cell>
        </row>
        <row r="177">
          <cell r="R177">
            <v>9.6377374360615438</v>
          </cell>
        </row>
      </sheetData>
      <sheetData sheetId="8"/>
      <sheetData sheetId="9"/>
      <sheetData sheetId="10"/>
      <sheetData sheetId="11"/>
      <sheetData sheetId="12"/>
      <sheetData sheetId="1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Profit &amp; Loss"/>
      <sheetName val="Below the line"/>
      <sheetName val="FTEs by category"/>
      <sheetName val="Clean Data"/>
      <sheetName val="Raw Data Calcs"/>
      <sheetName val="PIVOT"/>
      <sheetName val="PIVOTDATA"/>
      <sheetName val="ADD TO PIVOT DATA"/>
      <sheetName val="HOW TO"/>
      <sheetName val="Sheet3"/>
    </sheetNames>
    <sheetDataSet>
      <sheetData sheetId="0"/>
      <sheetData sheetId="1"/>
      <sheetData sheetId="2">
        <row r="5">
          <cell r="O5">
            <v>575.93561837959305</v>
          </cell>
        </row>
      </sheetData>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0 BLS Chart"/>
      <sheetName val="2022 Model Budgets "/>
      <sheetName val="CAF Spring 2021"/>
      <sheetName val="2020 Model Budgets "/>
      <sheetName val="FY20 UFR BTL"/>
      <sheetName val="CSN Add On Rates "/>
      <sheetName val="Chart for Reg"/>
      <sheetName val="2020 UFR"/>
      <sheetName val="Fiscal Impact"/>
      <sheetName val="Fiscal Impact FY22"/>
      <sheetName val="Fiscal Impact v2 (2)"/>
      <sheetName val="ALL"/>
      <sheetName val="READY review-2514 (FY22)"/>
      <sheetName val="READY Fiscal Impact"/>
    </sheetNames>
    <sheetDataSet>
      <sheetData sheetId="0"/>
      <sheetData sheetId="1">
        <row r="25">
          <cell r="C25">
            <v>1291.654386593631</v>
          </cell>
        </row>
        <row r="26">
          <cell r="C26">
            <v>12268.346574768002</v>
          </cell>
        </row>
        <row r="27">
          <cell r="C27">
            <v>222.41034042392579</v>
          </cell>
        </row>
        <row r="28">
          <cell r="C28">
            <v>112.01533829136002</v>
          </cell>
        </row>
        <row r="29">
          <cell r="C29">
            <v>560.07669145680006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 for Reg"/>
      <sheetName val="2020 Model Budgets "/>
      <sheetName val="2018 Model Budgets"/>
      <sheetName val="Sp 2017 CAF"/>
      <sheetName val="Youth Svc Coord Add-on"/>
      <sheetName val="Fiscal Impact"/>
      <sheetName val="Fall CAF 2018"/>
      <sheetName val="Spend by Activity Code and year"/>
      <sheetName val="raw data"/>
      <sheetName val="FY18 UFR OCC Data"/>
      <sheetName val="Admin Assistant Add-on"/>
      <sheetName val="Fiscal Impact v2"/>
      <sheetName val="Spring 2019 CAF"/>
      <sheetName val="Sheet1"/>
    </sheetNames>
    <sheetDataSet>
      <sheetData sheetId="0"/>
      <sheetData sheetId="1"/>
      <sheetData sheetId="2"/>
      <sheetData sheetId="3"/>
      <sheetData sheetId="4"/>
      <sheetData sheetId="5"/>
      <sheetData sheetId="6"/>
      <sheetData sheetId="7"/>
      <sheetData sheetId="8">
        <row r="14">
          <cell r="H14">
            <v>11.3</v>
          </cell>
        </row>
        <row r="15">
          <cell r="H15">
            <v>4.1500000000000004</v>
          </cell>
        </row>
        <row r="16">
          <cell r="H16">
            <v>6.15</v>
          </cell>
        </row>
        <row r="17">
          <cell r="H17">
            <v>2.62</v>
          </cell>
        </row>
        <row r="18">
          <cell r="H18">
            <v>16.5</v>
          </cell>
        </row>
      </sheetData>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cell r="M16">
            <v>1.2139698974996782E-2</v>
          </cell>
          <cell r="N16">
            <v>0</v>
          </cell>
          <cell r="O16">
            <v>0</v>
          </cell>
          <cell r="P16">
            <v>0</v>
          </cell>
          <cell r="Q16">
            <v>0</v>
          </cell>
          <cell r="R16">
            <v>0</v>
          </cell>
          <cell r="S16">
            <v>0</v>
          </cell>
          <cell r="T16">
            <v>0</v>
          </cell>
          <cell r="U16">
            <v>0</v>
          </cell>
          <cell r="V16">
            <v>0</v>
          </cell>
          <cell r="W16">
            <v>0</v>
          </cell>
          <cell r="X16">
            <v>0</v>
          </cell>
          <cell r="Y16">
            <v>0</v>
          </cell>
          <cell r="Z16">
            <v>17680</v>
          </cell>
          <cell r="AA16">
            <v>0</v>
          </cell>
          <cell r="AB16">
            <v>105576.11844574883</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17680</v>
          </cell>
          <cell r="BE16">
            <v>0</v>
          </cell>
          <cell r="BF16">
            <v>0</v>
          </cell>
          <cell r="BG16">
            <v>0</v>
          </cell>
          <cell r="BH16">
            <v>17680</v>
          </cell>
          <cell r="BI16">
            <v>0</v>
          </cell>
          <cell r="BJ16">
            <v>0</v>
          </cell>
          <cell r="BK16">
            <v>0</v>
          </cell>
          <cell r="BL16">
            <v>17680</v>
          </cell>
          <cell r="BM16">
            <v>0</v>
          </cell>
          <cell r="BN16">
            <v>17680</v>
          </cell>
          <cell r="BO16">
            <v>0</v>
          </cell>
          <cell r="BP16">
            <v>0</v>
          </cell>
          <cell r="BQ16">
            <v>0</v>
          </cell>
          <cell r="BR16">
            <v>17680</v>
          </cell>
          <cell r="BS16">
            <v>17680</v>
          </cell>
          <cell r="BT16">
            <v>-39873.996502157926</v>
          </cell>
          <cell r="BU16">
            <v>6.2242076161676985E-2</v>
          </cell>
          <cell r="BV16">
            <v>-11.437455797342871</v>
          </cell>
          <cell r="BW16">
            <v>-39859.701549495061</v>
          </cell>
          <cell r="BX16">
            <v>0</v>
          </cell>
          <cell r="BY16">
            <v>-321.11111111111109</v>
          </cell>
          <cell r="BZ16">
            <v>-41042.440256691923</v>
          </cell>
          <cell r="CA16">
            <v>-251770.26943483832</v>
          </cell>
          <cell r="CB16">
            <v>8.8729109375923237E-2</v>
          </cell>
          <cell r="CC16">
            <v>-23544.303378043831</v>
          </cell>
          <cell r="CD16">
            <v>0</v>
          </cell>
          <cell r="CE16">
            <v>0</v>
          </cell>
          <cell r="CF16">
            <v>0</v>
          </cell>
          <cell r="CG16">
            <v>-159694.9032558178</v>
          </cell>
          <cell r="CH16">
            <v>-4130.6725103641575</v>
          </cell>
          <cell r="CI16">
            <v>-186781.66945053823</v>
          </cell>
          <cell r="CJ16">
            <v>-39859.701549495061</v>
          </cell>
          <cell r="CK16">
            <v>-25547.777777777781</v>
          </cell>
          <cell r="CL16">
            <v>-321.11111111111109</v>
          </cell>
          <cell r="CM16">
            <v>-6940</v>
          </cell>
          <cell r="CN16">
            <v>-41042.440256691923</v>
          </cell>
          <cell r="CO16">
            <v>-292811.73882543447</v>
          </cell>
          <cell r="CP16">
            <v>0.61656919283408007</v>
          </cell>
          <cell r="CQ16">
            <v>5.1803668216236075E-2</v>
          </cell>
          <cell r="CR16">
            <v>0</v>
          </cell>
          <cell r="CS16">
            <v>0</v>
          </cell>
          <cell r="CT16">
            <v>0</v>
          </cell>
          <cell r="CU16">
            <v>8.2503417604680995E-2</v>
          </cell>
          <cell r="CV16">
            <v>-136.37044168758831</v>
          </cell>
          <cell r="CW16">
            <v>-7.9673250520136634</v>
          </cell>
          <cell r="CX16">
            <v>-3.9756890410485179</v>
          </cell>
          <cell r="CY16">
            <v>-4.9970605526161088E-2</v>
          </cell>
          <cell r="CZ16">
            <v>-1.0799875505757857</v>
          </cell>
          <cell r="DA16">
            <v>-17.30948263843479</v>
          </cell>
          <cell r="DB16">
            <v>-163.89396590439674</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arrell, Conor (EHS)" id="{2474F6D2-26F1-4E95-A4E4-95AF191B6C5C}"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8" dT="2025-08-14T18:01:39.00" personId="{2474F6D2-26F1-4E95-A4E4-95AF191B6C5C}" id="{0F7F0EC2-2E2A-439E-A0A8-6DDD6599A4B8}">
    <text>Updated BLS data, combined with lower T&amp;F and CAF, moved the rate down to 37.06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CC72-175C-47FB-BEDB-1C20AFFAC113}">
  <sheetPr>
    <pageSetUpPr fitToPage="1"/>
  </sheetPr>
  <dimension ref="B1:F57"/>
  <sheetViews>
    <sheetView showGridLines="0" zoomScale="50" zoomScaleNormal="50" workbookViewId="0">
      <selection activeCell="I17" sqref="I17"/>
    </sheetView>
  </sheetViews>
  <sheetFormatPr defaultRowHeight="26.25" x14ac:dyDescent="0.4"/>
  <cols>
    <col min="1" max="1" width="4.875" style="533" customWidth="1"/>
    <col min="2" max="2" width="68.875" style="533" customWidth="1"/>
    <col min="3" max="3" width="22.625" style="533" customWidth="1"/>
    <col min="4" max="4" width="62.625" style="533" customWidth="1"/>
    <col min="5" max="5" width="60.5" style="535" customWidth="1"/>
    <col min="6" max="6" width="40.375" style="535" customWidth="1"/>
    <col min="7" max="230" width="9" style="533"/>
    <col min="231" max="231" width="4.875" style="533" customWidth="1"/>
    <col min="232" max="232" width="50.75" style="533" customWidth="1"/>
    <col min="233" max="233" width="21.125" style="533" customWidth="1"/>
    <col min="234" max="235" width="0" style="533" hidden="1" customWidth="1"/>
    <col min="236" max="236" width="53.75" style="533" customWidth="1"/>
    <col min="237" max="237" width="54.375" style="533" customWidth="1"/>
    <col min="238" max="241" width="0" style="533" hidden="1" customWidth="1"/>
    <col min="242" max="486" width="9" style="533"/>
    <col min="487" max="487" width="4.875" style="533" customWidth="1"/>
    <col min="488" max="488" width="50.75" style="533" customWidth="1"/>
    <col min="489" max="489" width="21.125" style="533" customWidth="1"/>
    <col min="490" max="491" width="0" style="533" hidden="1" customWidth="1"/>
    <col min="492" max="492" width="53.75" style="533" customWidth="1"/>
    <col min="493" max="493" width="54.375" style="533" customWidth="1"/>
    <col min="494" max="497" width="0" style="533" hidden="1" customWidth="1"/>
    <col min="498" max="742" width="9" style="533"/>
    <col min="743" max="743" width="4.875" style="533" customWidth="1"/>
    <col min="744" max="744" width="50.75" style="533" customWidth="1"/>
    <col min="745" max="745" width="21.125" style="533" customWidth="1"/>
    <col min="746" max="747" width="0" style="533" hidden="1" customWidth="1"/>
    <col min="748" max="748" width="53.75" style="533" customWidth="1"/>
    <col min="749" max="749" width="54.375" style="533" customWidth="1"/>
    <col min="750" max="753" width="0" style="533" hidden="1" customWidth="1"/>
    <col min="754" max="998" width="9" style="533"/>
    <col min="999" max="999" width="4.875" style="533" customWidth="1"/>
    <col min="1000" max="1000" width="50.75" style="533" customWidth="1"/>
    <col min="1001" max="1001" width="21.125" style="533" customWidth="1"/>
    <col min="1002" max="1003" width="0" style="533" hidden="1" customWidth="1"/>
    <col min="1004" max="1004" width="53.75" style="533" customWidth="1"/>
    <col min="1005" max="1005" width="54.375" style="533" customWidth="1"/>
    <col min="1006" max="1009" width="0" style="533" hidden="1" customWidth="1"/>
    <col min="1010" max="1254" width="9" style="533"/>
    <col min="1255" max="1255" width="4.875" style="533" customWidth="1"/>
    <col min="1256" max="1256" width="50.75" style="533" customWidth="1"/>
    <col min="1257" max="1257" width="21.125" style="533" customWidth="1"/>
    <col min="1258" max="1259" width="0" style="533" hidden="1" customWidth="1"/>
    <col min="1260" max="1260" width="53.75" style="533" customWidth="1"/>
    <col min="1261" max="1261" width="54.375" style="533" customWidth="1"/>
    <col min="1262" max="1265" width="0" style="533" hidden="1" customWidth="1"/>
    <col min="1266" max="1510" width="9" style="533"/>
    <col min="1511" max="1511" width="4.875" style="533" customWidth="1"/>
    <col min="1512" max="1512" width="50.75" style="533" customWidth="1"/>
    <col min="1513" max="1513" width="21.125" style="533" customWidth="1"/>
    <col min="1514" max="1515" width="0" style="533" hidden="1" customWidth="1"/>
    <col min="1516" max="1516" width="53.75" style="533" customWidth="1"/>
    <col min="1517" max="1517" width="54.375" style="533" customWidth="1"/>
    <col min="1518" max="1521" width="0" style="533" hidden="1" customWidth="1"/>
    <col min="1522" max="1766" width="9" style="533"/>
    <col min="1767" max="1767" width="4.875" style="533" customWidth="1"/>
    <col min="1768" max="1768" width="50.75" style="533" customWidth="1"/>
    <col min="1769" max="1769" width="21.125" style="533" customWidth="1"/>
    <col min="1770" max="1771" width="0" style="533" hidden="1" customWidth="1"/>
    <col min="1772" max="1772" width="53.75" style="533" customWidth="1"/>
    <col min="1773" max="1773" width="54.375" style="533" customWidth="1"/>
    <col min="1774" max="1777" width="0" style="533" hidden="1" customWidth="1"/>
    <col min="1778" max="2022" width="9" style="533"/>
    <col min="2023" max="2023" width="4.875" style="533" customWidth="1"/>
    <col min="2024" max="2024" width="50.75" style="533" customWidth="1"/>
    <col min="2025" max="2025" width="21.125" style="533" customWidth="1"/>
    <col min="2026" max="2027" width="0" style="533" hidden="1" customWidth="1"/>
    <col min="2028" max="2028" width="53.75" style="533" customWidth="1"/>
    <col min="2029" max="2029" width="54.375" style="533" customWidth="1"/>
    <col min="2030" max="2033" width="0" style="533" hidden="1" customWidth="1"/>
    <col min="2034" max="2278" width="9" style="533"/>
    <col min="2279" max="2279" width="4.875" style="533" customWidth="1"/>
    <col min="2280" max="2280" width="50.75" style="533" customWidth="1"/>
    <col min="2281" max="2281" width="21.125" style="533" customWidth="1"/>
    <col min="2282" max="2283" width="0" style="533" hidden="1" customWidth="1"/>
    <col min="2284" max="2284" width="53.75" style="533" customWidth="1"/>
    <col min="2285" max="2285" width="54.375" style="533" customWidth="1"/>
    <col min="2286" max="2289" width="0" style="533" hidden="1" customWidth="1"/>
    <col min="2290" max="2534" width="9" style="533"/>
    <col min="2535" max="2535" width="4.875" style="533" customWidth="1"/>
    <col min="2536" max="2536" width="50.75" style="533" customWidth="1"/>
    <col min="2537" max="2537" width="21.125" style="533" customWidth="1"/>
    <col min="2538" max="2539" width="0" style="533" hidden="1" customWidth="1"/>
    <col min="2540" max="2540" width="53.75" style="533" customWidth="1"/>
    <col min="2541" max="2541" width="54.375" style="533" customWidth="1"/>
    <col min="2542" max="2545" width="0" style="533" hidden="1" customWidth="1"/>
    <col min="2546" max="2790" width="9" style="533"/>
    <col min="2791" max="2791" width="4.875" style="533" customWidth="1"/>
    <col min="2792" max="2792" width="50.75" style="533" customWidth="1"/>
    <col min="2793" max="2793" width="21.125" style="533" customWidth="1"/>
    <col min="2794" max="2795" width="0" style="533" hidden="1" customWidth="1"/>
    <col min="2796" max="2796" width="53.75" style="533" customWidth="1"/>
    <col min="2797" max="2797" width="54.375" style="533" customWidth="1"/>
    <col min="2798" max="2801" width="0" style="533" hidden="1" customWidth="1"/>
    <col min="2802" max="3046" width="9" style="533"/>
    <col min="3047" max="3047" width="4.875" style="533" customWidth="1"/>
    <col min="3048" max="3048" width="50.75" style="533" customWidth="1"/>
    <col min="3049" max="3049" width="21.125" style="533" customWidth="1"/>
    <col min="3050" max="3051" width="0" style="533" hidden="1" customWidth="1"/>
    <col min="3052" max="3052" width="53.75" style="533" customWidth="1"/>
    <col min="3053" max="3053" width="54.375" style="533" customWidth="1"/>
    <col min="3054" max="3057" width="0" style="533" hidden="1" customWidth="1"/>
    <col min="3058" max="3302" width="9" style="533"/>
    <col min="3303" max="3303" width="4.875" style="533" customWidth="1"/>
    <col min="3304" max="3304" width="50.75" style="533" customWidth="1"/>
    <col min="3305" max="3305" width="21.125" style="533" customWidth="1"/>
    <col min="3306" max="3307" width="0" style="533" hidden="1" customWidth="1"/>
    <col min="3308" max="3308" width="53.75" style="533" customWidth="1"/>
    <col min="3309" max="3309" width="54.375" style="533" customWidth="1"/>
    <col min="3310" max="3313" width="0" style="533" hidden="1" customWidth="1"/>
    <col min="3314" max="3558" width="9" style="533"/>
    <col min="3559" max="3559" width="4.875" style="533" customWidth="1"/>
    <col min="3560" max="3560" width="50.75" style="533" customWidth="1"/>
    <col min="3561" max="3561" width="21.125" style="533" customWidth="1"/>
    <col min="3562" max="3563" width="0" style="533" hidden="1" customWidth="1"/>
    <col min="3564" max="3564" width="53.75" style="533" customWidth="1"/>
    <col min="3565" max="3565" width="54.375" style="533" customWidth="1"/>
    <col min="3566" max="3569" width="0" style="533" hidden="1" customWidth="1"/>
    <col min="3570" max="3814" width="9" style="533"/>
    <col min="3815" max="3815" width="4.875" style="533" customWidth="1"/>
    <col min="3816" max="3816" width="50.75" style="533" customWidth="1"/>
    <col min="3817" max="3817" width="21.125" style="533" customWidth="1"/>
    <col min="3818" max="3819" width="0" style="533" hidden="1" customWidth="1"/>
    <col min="3820" max="3820" width="53.75" style="533" customWidth="1"/>
    <col min="3821" max="3821" width="54.375" style="533" customWidth="1"/>
    <col min="3822" max="3825" width="0" style="533" hidden="1" customWidth="1"/>
    <col min="3826" max="4070" width="9" style="533"/>
    <col min="4071" max="4071" width="4.875" style="533" customWidth="1"/>
    <col min="4072" max="4072" width="50.75" style="533" customWidth="1"/>
    <col min="4073" max="4073" width="21.125" style="533" customWidth="1"/>
    <col min="4074" max="4075" width="0" style="533" hidden="1" customWidth="1"/>
    <col min="4076" max="4076" width="53.75" style="533" customWidth="1"/>
    <col min="4077" max="4077" width="54.375" style="533" customWidth="1"/>
    <col min="4078" max="4081" width="0" style="533" hidden="1" customWidth="1"/>
    <col min="4082" max="4326" width="9" style="533"/>
    <col min="4327" max="4327" width="4.875" style="533" customWidth="1"/>
    <col min="4328" max="4328" width="50.75" style="533" customWidth="1"/>
    <col min="4329" max="4329" width="21.125" style="533" customWidth="1"/>
    <col min="4330" max="4331" width="0" style="533" hidden="1" customWidth="1"/>
    <col min="4332" max="4332" width="53.75" style="533" customWidth="1"/>
    <col min="4333" max="4333" width="54.375" style="533" customWidth="1"/>
    <col min="4334" max="4337" width="0" style="533" hidden="1" customWidth="1"/>
    <col min="4338" max="4582" width="9" style="533"/>
    <col min="4583" max="4583" width="4.875" style="533" customWidth="1"/>
    <col min="4584" max="4584" width="50.75" style="533" customWidth="1"/>
    <col min="4585" max="4585" width="21.125" style="533" customWidth="1"/>
    <col min="4586" max="4587" width="0" style="533" hidden="1" customWidth="1"/>
    <col min="4588" max="4588" width="53.75" style="533" customWidth="1"/>
    <col min="4589" max="4589" width="54.375" style="533" customWidth="1"/>
    <col min="4590" max="4593" width="0" style="533" hidden="1" customWidth="1"/>
    <col min="4594" max="4838" width="9" style="533"/>
    <col min="4839" max="4839" width="4.875" style="533" customWidth="1"/>
    <col min="4840" max="4840" width="50.75" style="533" customWidth="1"/>
    <col min="4841" max="4841" width="21.125" style="533" customWidth="1"/>
    <col min="4842" max="4843" width="0" style="533" hidden="1" customWidth="1"/>
    <col min="4844" max="4844" width="53.75" style="533" customWidth="1"/>
    <col min="4845" max="4845" width="54.375" style="533" customWidth="1"/>
    <col min="4846" max="4849" width="0" style="533" hidden="1" customWidth="1"/>
    <col min="4850" max="5094" width="9" style="533"/>
    <col min="5095" max="5095" width="4.875" style="533" customWidth="1"/>
    <col min="5096" max="5096" width="50.75" style="533" customWidth="1"/>
    <col min="5097" max="5097" width="21.125" style="533" customWidth="1"/>
    <col min="5098" max="5099" width="0" style="533" hidden="1" customWidth="1"/>
    <col min="5100" max="5100" width="53.75" style="533" customWidth="1"/>
    <col min="5101" max="5101" width="54.375" style="533" customWidth="1"/>
    <col min="5102" max="5105" width="0" style="533" hidden="1" customWidth="1"/>
    <col min="5106" max="5350" width="9" style="533"/>
    <col min="5351" max="5351" width="4.875" style="533" customWidth="1"/>
    <col min="5352" max="5352" width="50.75" style="533" customWidth="1"/>
    <col min="5353" max="5353" width="21.125" style="533" customWidth="1"/>
    <col min="5354" max="5355" width="0" style="533" hidden="1" customWidth="1"/>
    <col min="5356" max="5356" width="53.75" style="533" customWidth="1"/>
    <col min="5357" max="5357" width="54.375" style="533" customWidth="1"/>
    <col min="5358" max="5361" width="0" style="533" hidden="1" customWidth="1"/>
    <col min="5362" max="5606" width="9" style="533"/>
    <col min="5607" max="5607" width="4.875" style="533" customWidth="1"/>
    <col min="5608" max="5608" width="50.75" style="533" customWidth="1"/>
    <col min="5609" max="5609" width="21.125" style="533" customWidth="1"/>
    <col min="5610" max="5611" width="0" style="533" hidden="1" customWidth="1"/>
    <col min="5612" max="5612" width="53.75" style="533" customWidth="1"/>
    <col min="5613" max="5613" width="54.375" style="533" customWidth="1"/>
    <col min="5614" max="5617" width="0" style="533" hidden="1" customWidth="1"/>
    <col min="5618" max="5862" width="9" style="533"/>
    <col min="5863" max="5863" width="4.875" style="533" customWidth="1"/>
    <col min="5864" max="5864" width="50.75" style="533" customWidth="1"/>
    <col min="5865" max="5865" width="21.125" style="533" customWidth="1"/>
    <col min="5866" max="5867" width="0" style="533" hidden="1" customWidth="1"/>
    <col min="5868" max="5868" width="53.75" style="533" customWidth="1"/>
    <col min="5869" max="5869" width="54.375" style="533" customWidth="1"/>
    <col min="5870" max="5873" width="0" style="533" hidden="1" customWidth="1"/>
    <col min="5874" max="6118" width="9" style="533"/>
    <col min="6119" max="6119" width="4.875" style="533" customWidth="1"/>
    <col min="6120" max="6120" width="50.75" style="533" customWidth="1"/>
    <col min="6121" max="6121" width="21.125" style="533" customWidth="1"/>
    <col min="6122" max="6123" width="0" style="533" hidden="1" customWidth="1"/>
    <col min="6124" max="6124" width="53.75" style="533" customWidth="1"/>
    <col min="6125" max="6125" width="54.375" style="533" customWidth="1"/>
    <col min="6126" max="6129" width="0" style="533" hidden="1" customWidth="1"/>
    <col min="6130" max="6374" width="9" style="533"/>
    <col min="6375" max="6375" width="4.875" style="533" customWidth="1"/>
    <col min="6376" max="6376" width="50.75" style="533" customWidth="1"/>
    <col min="6377" max="6377" width="21.125" style="533" customWidth="1"/>
    <col min="6378" max="6379" width="0" style="533" hidden="1" customWidth="1"/>
    <col min="6380" max="6380" width="53.75" style="533" customWidth="1"/>
    <col min="6381" max="6381" width="54.375" style="533" customWidth="1"/>
    <col min="6382" max="6385" width="0" style="533" hidden="1" customWidth="1"/>
    <col min="6386" max="6630" width="9" style="533"/>
    <col min="6631" max="6631" width="4.875" style="533" customWidth="1"/>
    <col min="6632" max="6632" width="50.75" style="533" customWidth="1"/>
    <col min="6633" max="6633" width="21.125" style="533" customWidth="1"/>
    <col min="6634" max="6635" width="0" style="533" hidden="1" customWidth="1"/>
    <col min="6636" max="6636" width="53.75" style="533" customWidth="1"/>
    <col min="6637" max="6637" width="54.375" style="533" customWidth="1"/>
    <col min="6638" max="6641" width="0" style="533" hidden="1" customWidth="1"/>
    <col min="6642" max="6886" width="9" style="533"/>
    <col min="6887" max="6887" width="4.875" style="533" customWidth="1"/>
    <col min="6888" max="6888" width="50.75" style="533" customWidth="1"/>
    <col min="6889" max="6889" width="21.125" style="533" customWidth="1"/>
    <col min="6890" max="6891" width="0" style="533" hidden="1" customWidth="1"/>
    <col min="6892" max="6892" width="53.75" style="533" customWidth="1"/>
    <col min="6893" max="6893" width="54.375" style="533" customWidth="1"/>
    <col min="6894" max="6897" width="0" style="533" hidden="1" customWidth="1"/>
    <col min="6898" max="7142" width="9" style="533"/>
    <col min="7143" max="7143" width="4.875" style="533" customWidth="1"/>
    <col min="7144" max="7144" width="50.75" style="533" customWidth="1"/>
    <col min="7145" max="7145" width="21.125" style="533" customWidth="1"/>
    <col min="7146" max="7147" width="0" style="533" hidden="1" customWidth="1"/>
    <col min="7148" max="7148" width="53.75" style="533" customWidth="1"/>
    <col min="7149" max="7149" width="54.375" style="533" customWidth="1"/>
    <col min="7150" max="7153" width="0" style="533" hidden="1" customWidth="1"/>
    <col min="7154" max="7398" width="9" style="533"/>
    <col min="7399" max="7399" width="4.875" style="533" customWidth="1"/>
    <col min="7400" max="7400" width="50.75" style="533" customWidth="1"/>
    <col min="7401" max="7401" width="21.125" style="533" customWidth="1"/>
    <col min="7402" max="7403" width="0" style="533" hidden="1" customWidth="1"/>
    <col min="7404" max="7404" width="53.75" style="533" customWidth="1"/>
    <col min="7405" max="7405" width="54.375" style="533" customWidth="1"/>
    <col min="7406" max="7409" width="0" style="533" hidden="1" customWidth="1"/>
    <col min="7410" max="7654" width="9" style="533"/>
    <col min="7655" max="7655" width="4.875" style="533" customWidth="1"/>
    <col min="7656" max="7656" width="50.75" style="533" customWidth="1"/>
    <col min="7657" max="7657" width="21.125" style="533" customWidth="1"/>
    <col min="7658" max="7659" width="0" style="533" hidden="1" customWidth="1"/>
    <col min="7660" max="7660" width="53.75" style="533" customWidth="1"/>
    <col min="7661" max="7661" width="54.375" style="533" customWidth="1"/>
    <col min="7662" max="7665" width="0" style="533" hidden="1" customWidth="1"/>
    <col min="7666" max="7910" width="9" style="533"/>
    <col min="7911" max="7911" width="4.875" style="533" customWidth="1"/>
    <col min="7912" max="7912" width="50.75" style="533" customWidth="1"/>
    <col min="7913" max="7913" width="21.125" style="533" customWidth="1"/>
    <col min="7914" max="7915" width="0" style="533" hidden="1" customWidth="1"/>
    <col min="7916" max="7916" width="53.75" style="533" customWidth="1"/>
    <col min="7917" max="7917" width="54.375" style="533" customWidth="1"/>
    <col min="7918" max="7921" width="0" style="533" hidden="1" customWidth="1"/>
    <col min="7922" max="8166" width="9" style="533"/>
    <col min="8167" max="8167" width="4.875" style="533" customWidth="1"/>
    <col min="8168" max="8168" width="50.75" style="533" customWidth="1"/>
    <col min="8169" max="8169" width="21.125" style="533" customWidth="1"/>
    <col min="8170" max="8171" width="0" style="533" hidden="1" customWidth="1"/>
    <col min="8172" max="8172" width="53.75" style="533" customWidth="1"/>
    <col min="8173" max="8173" width="54.375" style="533" customWidth="1"/>
    <col min="8174" max="8177" width="0" style="533" hidden="1" customWidth="1"/>
    <col min="8178" max="8422" width="9" style="533"/>
    <col min="8423" max="8423" width="4.875" style="533" customWidth="1"/>
    <col min="8424" max="8424" width="50.75" style="533" customWidth="1"/>
    <col min="8425" max="8425" width="21.125" style="533" customWidth="1"/>
    <col min="8426" max="8427" width="0" style="533" hidden="1" customWidth="1"/>
    <col min="8428" max="8428" width="53.75" style="533" customWidth="1"/>
    <col min="8429" max="8429" width="54.375" style="533" customWidth="1"/>
    <col min="8430" max="8433" width="0" style="533" hidden="1" customWidth="1"/>
    <col min="8434" max="8678" width="9" style="533"/>
    <col min="8679" max="8679" width="4.875" style="533" customWidth="1"/>
    <col min="8680" max="8680" width="50.75" style="533" customWidth="1"/>
    <col min="8681" max="8681" width="21.125" style="533" customWidth="1"/>
    <col min="8682" max="8683" width="0" style="533" hidden="1" customWidth="1"/>
    <col min="8684" max="8684" width="53.75" style="533" customWidth="1"/>
    <col min="8685" max="8685" width="54.375" style="533" customWidth="1"/>
    <col min="8686" max="8689" width="0" style="533" hidden="1" customWidth="1"/>
    <col min="8690" max="8934" width="9" style="533"/>
    <col min="8935" max="8935" width="4.875" style="533" customWidth="1"/>
    <col min="8936" max="8936" width="50.75" style="533" customWidth="1"/>
    <col min="8937" max="8937" width="21.125" style="533" customWidth="1"/>
    <col min="8938" max="8939" width="0" style="533" hidden="1" customWidth="1"/>
    <col min="8940" max="8940" width="53.75" style="533" customWidth="1"/>
    <col min="8941" max="8941" width="54.375" style="533" customWidth="1"/>
    <col min="8942" max="8945" width="0" style="533" hidden="1" customWidth="1"/>
    <col min="8946" max="9190" width="9" style="533"/>
    <col min="9191" max="9191" width="4.875" style="533" customWidth="1"/>
    <col min="9192" max="9192" width="50.75" style="533" customWidth="1"/>
    <col min="9193" max="9193" width="21.125" style="533" customWidth="1"/>
    <col min="9194" max="9195" width="0" style="533" hidden="1" customWidth="1"/>
    <col min="9196" max="9196" width="53.75" style="533" customWidth="1"/>
    <col min="9197" max="9197" width="54.375" style="533" customWidth="1"/>
    <col min="9198" max="9201" width="0" style="533" hidden="1" customWidth="1"/>
    <col min="9202" max="9446" width="9" style="533"/>
    <col min="9447" max="9447" width="4.875" style="533" customWidth="1"/>
    <col min="9448" max="9448" width="50.75" style="533" customWidth="1"/>
    <col min="9449" max="9449" width="21.125" style="533" customWidth="1"/>
    <col min="9450" max="9451" width="0" style="533" hidden="1" customWidth="1"/>
    <col min="9452" max="9452" width="53.75" style="533" customWidth="1"/>
    <col min="9453" max="9453" width="54.375" style="533" customWidth="1"/>
    <col min="9454" max="9457" width="0" style="533" hidden="1" customWidth="1"/>
    <col min="9458" max="9702" width="9" style="533"/>
    <col min="9703" max="9703" width="4.875" style="533" customWidth="1"/>
    <col min="9704" max="9704" width="50.75" style="533" customWidth="1"/>
    <col min="9705" max="9705" width="21.125" style="533" customWidth="1"/>
    <col min="9706" max="9707" width="0" style="533" hidden="1" customWidth="1"/>
    <col min="9708" max="9708" width="53.75" style="533" customWidth="1"/>
    <col min="9709" max="9709" width="54.375" style="533" customWidth="1"/>
    <col min="9710" max="9713" width="0" style="533" hidden="1" customWidth="1"/>
    <col min="9714" max="9958" width="9" style="533"/>
    <col min="9959" max="9959" width="4.875" style="533" customWidth="1"/>
    <col min="9960" max="9960" width="50.75" style="533" customWidth="1"/>
    <col min="9961" max="9961" width="21.125" style="533" customWidth="1"/>
    <col min="9962" max="9963" width="0" style="533" hidden="1" customWidth="1"/>
    <col min="9964" max="9964" width="53.75" style="533" customWidth="1"/>
    <col min="9965" max="9965" width="54.375" style="533" customWidth="1"/>
    <col min="9966" max="9969" width="0" style="533" hidden="1" customWidth="1"/>
    <col min="9970" max="10214" width="9" style="533"/>
    <col min="10215" max="10215" width="4.875" style="533" customWidth="1"/>
    <col min="10216" max="10216" width="50.75" style="533" customWidth="1"/>
    <col min="10217" max="10217" width="21.125" style="533" customWidth="1"/>
    <col min="10218" max="10219" width="0" style="533" hidden="1" customWidth="1"/>
    <col min="10220" max="10220" width="53.75" style="533" customWidth="1"/>
    <col min="10221" max="10221" width="54.375" style="533" customWidth="1"/>
    <col min="10222" max="10225" width="0" style="533" hidden="1" customWidth="1"/>
    <col min="10226" max="10470" width="9" style="533"/>
    <col min="10471" max="10471" width="4.875" style="533" customWidth="1"/>
    <col min="10472" max="10472" width="50.75" style="533" customWidth="1"/>
    <col min="10473" max="10473" width="21.125" style="533" customWidth="1"/>
    <col min="10474" max="10475" width="0" style="533" hidden="1" customWidth="1"/>
    <col min="10476" max="10476" width="53.75" style="533" customWidth="1"/>
    <col min="10477" max="10477" width="54.375" style="533" customWidth="1"/>
    <col min="10478" max="10481" width="0" style="533" hidden="1" customWidth="1"/>
    <col min="10482" max="10726" width="9" style="533"/>
    <col min="10727" max="10727" width="4.875" style="533" customWidth="1"/>
    <col min="10728" max="10728" width="50.75" style="533" customWidth="1"/>
    <col min="10729" max="10729" width="21.125" style="533" customWidth="1"/>
    <col min="10730" max="10731" width="0" style="533" hidden="1" customWidth="1"/>
    <col min="10732" max="10732" width="53.75" style="533" customWidth="1"/>
    <col min="10733" max="10733" width="54.375" style="533" customWidth="1"/>
    <col min="10734" max="10737" width="0" style="533" hidden="1" customWidth="1"/>
    <col min="10738" max="10982" width="9" style="533"/>
    <col min="10983" max="10983" width="4.875" style="533" customWidth="1"/>
    <col min="10984" max="10984" width="50.75" style="533" customWidth="1"/>
    <col min="10985" max="10985" width="21.125" style="533" customWidth="1"/>
    <col min="10986" max="10987" width="0" style="533" hidden="1" customWidth="1"/>
    <col min="10988" max="10988" width="53.75" style="533" customWidth="1"/>
    <col min="10989" max="10989" width="54.375" style="533" customWidth="1"/>
    <col min="10990" max="10993" width="0" style="533" hidden="1" customWidth="1"/>
    <col min="10994" max="11238" width="9" style="533"/>
    <col min="11239" max="11239" width="4.875" style="533" customWidth="1"/>
    <col min="11240" max="11240" width="50.75" style="533" customWidth="1"/>
    <col min="11241" max="11241" width="21.125" style="533" customWidth="1"/>
    <col min="11242" max="11243" width="0" style="533" hidden="1" customWidth="1"/>
    <col min="11244" max="11244" width="53.75" style="533" customWidth="1"/>
    <col min="11245" max="11245" width="54.375" style="533" customWidth="1"/>
    <col min="11246" max="11249" width="0" style="533" hidden="1" customWidth="1"/>
    <col min="11250" max="11494" width="9" style="533"/>
    <col min="11495" max="11495" width="4.875" style="533" customWidth="1"/>
    <col min="11496" max="11496" width="50.75" style="533" customWidth="1"/>
    <col min="11497" max="11497" width="21.125" style="533" customWidth="1"/>
    <col min="11498" max="11499" width="0" style="533" hidden="1" customWidth="1"/>
    <col min="11500" max="11500" width="53.75" style="533" customWidth="1"/>
    <col min="11501" max="11501" width="54.375" style="533" customWidth="1"/>
    <col min="11502" max="11505" width="0" style="533" hidden="1" customWidth="1"/>
    <col min="11506" max="11750" width="9" style="533"/>
    <col min="11751" max="11751" width="4.875" style="533" customWidth="1"/>
    <col min="11752" max="11752" width="50.75" style="533" customWidth="1"/>
    <col min="11753" max="11753" width="21.125" style="533" customWidth="1"/>
    <col min="11754" max="11755" width="0" style="533" hidden="1" customWidth="1"/>
    <col min="11756" max="11756" width="53.75" style="533" customWidth="1"/>
    <col min="11757" max="11757" width="54.375" style="533" customWidth="1"/>
    <col min="11758" max="11761" width="0" style="533" hidden="1" customWidth="1"/>
    <col min="11762" max="12006" width="9" style="533"/>
    <col min="12007" max="12007" width="4.875" style="533" customWidth="1"/>
    <col min="12008" max="12008" width="50.75" style="533" customWidth="1"/>
    <col min="12009" max="12009" width="21.125" style="533" customWidth="1"/>
    <col min="12010" max="12011" width="0" style="533" hidden="1" customWidth="1"/>
    <col min="12012" max="12012" width="53.75" style="533" customWidth="1"/>
    <col min="12013" max="12013" width="54.375" style="533" customWidth="1"/>
    <col min="12014" max="12017" width="0" style="533" hidden="1" customWidth="1"/>
    <col min="12018" max="12262" width="9" style="533"/>
    <col min="12263" max="12263" width="4.875" style="533" customWidth="1"/>
    <col min="12264" max="12264" width="50.75" style="533" customWidth="1"/>
    <col min="12265" max="12265" width="21.125" style="533" customWidth="1"/>
    <col min="12266" max="12267" width="0" style="533" hidden="1" customWidth="1"/>
    <col min="12268" max="12268" width="53.75" style="533" customWidth="1"/>
    <col min="12269" max="12269" width="54.375" style="533" customWidth="1"/>
    <col min="12270" max="12273" width="0" style="533" hidden="1" customWidth="1"/>
    <col min="12274" max="12518" width="9" style="533"/>
    <col min="12519" max="12519" width="4.875" style="533" customWidth="1"/>
    <col min="12520" max="12520" width="50.75" style="533" customWidth="1"/>
    <col min="12521" max="12521" width="21.125" style="533" customWidth="1"/>
    <col min="12522" max="12523" width="0" style="533" hidden="1" customWidth="1"/>
    <col min="12524" max="12524" width="53.75" style="533" customWidth="1"/>
    <col min="12525" max="12525" width="54.375" style="533" customWidth="1"/>
    <col min="12526" max="12529" width="0" style="533" hidden="1" customWidth="1"/>
    <col min="12530" max="12774" width="9" style="533"/>
    <col min="12775" max="12775" width="4.875" style="533" customWidth="1"/>
    <col min="12776" max="12776" width="50.75" style="533" customWidth="1"/>
    <col min="12777" max="12777" width="21.125" style="533" customWidth="1"/>
    <col min="12778" max="12779" width="0" style="533" hidden="1" customWidth="1"/>
    <col min="12780" max="12780" width="53.75" style="533" customWidth="1"/>
    <col min="12781" max="12781" width="54.375" style="533" customWidth="1"/>
    <col min="12782" max="12785" width="0" style="533" hidden="1" customWidth="1"/>
    <col min="12786" max="13030" width="9" style="533"/>
    <col min="13031" max="13031" width="4.875" style="533" customWidth="1"/>
    <col min="13032" max="13032" width="50.75" style="533" customWidth="1"/>
    <col min="13033" max="13033" width="21.125" style="533" customWidth="1"/>
    <col min="13034" max="13035" width="0" style="533" hidden="1" customWidth="1"/>
    <col min="13036" max="13036" width="53.75" style="533" customWidth="1"/>
    <col min="13037" max="13037" width="54.375" style="533" customWidth="1"/>
    <col min="13038" max="13041" width="0" style="533" hidden="1" customWidth="1"/>
    <col min="13042" max="13286" width="9" style="533"/>
    <col min="13287" max="13287" width="4.875" style="533" customWidth="1"/>
    <col min="13288" max="13288" width="50.75" style="533" customWidth="1"/>
    <col min="13289" max="13289" width="21.125" style="533" customWidth="1"/>
    <col min="13290" max="13291" width="0" style="533" hidden="1" customWidth="1"/>
    <col min="13292" max="13292" width="53.75" style="533" customWidth="1"/>
    <col min="13293" max="13293" width="54.375" style="533" customWidth="1"/>
    <col min="13294" max="13297" width="0" style="533" hidden="1" customWidth="1"/>
    <col min="13298" max="13542" width="9" style="533"/>
    <col min="13543" max="13543" width="4.875" style="533" customWidth="1"/>
    <col min="13544" max="13544" width="50.75" style="533" customWidth="1"/>
    <col min="13545" max="13545" width="21.125" style="533" customWidth="1"/>
    <col min="13546" max="13547" width="0" style="533" hidden="1" customWidth="1"/>
    <col min="13548" max="13548" width="53.75" style="533" customWidth="1"/>
    <col min="13549" max="13549" width="54.375" style="533" customWidth="1"/>
    <col min="13550" max="13553" width="0" style="533" hidden="1" customWidth="1"/>
    <col min="13554" max="13798" width="9" style="533"/>
    <col min="13799" max="13799" width="4.875" style="533" customWidth="1"/>
    <col min="13800" max="13800" width="50.75" style="533" customWidth="1"/>
    <col min="13801" max="13801" width="21.125" style="533" customWidth="1"/>
    <col min="13802" max="13803" width="0" style="533" hidden="1" customWidth="1"/>
    <col min="13804" max="13804" width="53.75" style="533" customWidth="1"/>
    <col min="13805" max="13805" width="54.375" style="533" customWidth="1"/>
    <col min="13806" max="13809" width="0" style="533" hidden="1" customWidth="1"/>
    <col min="13810" max="14054" width="9" style="533"/>
    <col min="14055" max="14055" width="4.875" style="533" customWidth="1"/>
    <col min="14056" max="14056" width="50.75" style="533" customWidth="1"/>
    <col min="14057" max="14057" width="21.125" style="533" customWidth="1"/>
    <col min="14058" max="14059" width="0" style="533" hidden="1" customWidth="1"/>
    <col min="14060" max="14060" width="53.75" style="533" customWidth="1"/>
    <col min="14061" max="14061" width="54.375" style="533" customWidth="1"/>
    <col min="14062" max="14065" width="0" style="533" hidden="1" customWidth="1"/>
    <col min="14066" max="14310" width="9" style="533"/>
    <col min="14311" max="14311" width="4.875" style="533" customWidth="1"/>
    <col min="14312" max="14312" width="50.75" style="533" customWidth="1"/>
    <col min="14313" max="14313" width="21.125" style="533" customWidth="1"/>
    <col min="14314" max="14315" width="0" style="533" hidden="1" customWidth="1"/>
    <col min="14316" max="14316" width="53.75" style="533" customWidth="1"/>
    <col min="14317" max="14317" width="54.375" style="533" customWidth="1"/>
    <col min="14318" max="14321" width="0" style="533" hidden="1" customWidth="1"/>
    <col min="14322" max="14566" width="9" style="533"/>
    <col min="14567" max="14567" width="4.875" style="533" customWidth="1"/>
    <col min="14568" max="14568" width="50.75" style="533" customWidth="1"/>
    <col min="14569" max="14569" width="21.125" style="533" customWidth="1"/>
    <col min="14570" max="14571" width="0" style="533" hidden="1" customWidth="1"/>
    <col min="14572" max="14572" width="53.75" style="533" customWidth="1"/>
    <col min="14573" max="14573" width="54.375" style="533" customWidth="1"/>
    <col min="14574" max="14577" width="0" style="533" hidden="1" customWidth="1"/>
    <col min="14578" max="14822" width="9" style="533"/>
    <col min="14823" max="14823" width="4.875" style="533" customWidth="1"/>
    <col min="14824" max="14824" width="50.75" style="533" customWidth="1"/>
    <col min="14825" max="14825" width="21.125" style="533" customWidth="1"/>
    <col min="14826" max="14827" width="0" style="533" hidden="1" customWidth="1"/>
    <col min="14828" max="14828" width="53.75" style="533" customWidth="1"/>
    <col min="14829" max="14829" width="54.375" style="533" customWidth="1"/>
    <col min="14830" max="14833" width="0" style="533" hidden="1" customWidth="1"/>
    <col min="14834" max="15078" width="9" style="533"/>
    <col min="15079" max="15079" width="4.875" style="533" customWidth="1"/>
    <col min="15080" max="15080" width="50.75" style="533" customWidth="1"/>
    <col min="15081" max="15081" width="21.125" style="533" customWidth="1"/>
    <col min="15082" max="15083" width="0" style="533" hidden="1" customWidth="1"/>
    <col min="15084" max="15084" width="53.75" style="533" customWidth="1"/>
    <col min="15085" max="15085" width="54.375" style="533" customWidth="1"/>
    <col min="15086" max="15089" width="0" style="533" hidden="1" customWidth="1"/>
    <col min="15090" max="15334" width="9" style="533"/>
    <col min="15335" max="15335" width="4.875" style="533" customWidth="1"/>
    <col min="15336" max="15336" width="50.75" style="533" customWidth="1"/>
    <col min="15337" max="15337" width="21.125" style="533" customWidth="1"/>
    <col min="15338" max="15339" width="0" style="533" hidden="1" customWidth="1"/>
    <col min="15340" max="15340" width="53.75" style="533" customWidth="1"/>
    <col min="15341" max="15341" width="54.375" style="533" customWidth="1"/>
    <col min="15342" max="15345" width="0" style="533" hidden="1" customWidth="1"/>
    <col min="15346" max="15590" width="9" style="533"/>
    <col min="15591" max="15591" width="4.875" style="533" customWidth="1"/>
    <col min="15592" max="15592" width="50.75" style="533" customWidth="1"/>
    <col min="15593" max="15593" width="21.125" style="533" customWidth="1"/>
    <col min="15594" max="15595" width="0" style="533" hidden="1" customWidth="1"/>
    <col min="15596" max="15596" width="53.75" style="533" customWidth="1"/>
    <col min="15597" max="15597" width="54.375" style="533" customWidth="1"/>
    <col min="15598" max="15601" width="0" style="533" hidden="1" customWidth="1"/>
    <col min="15602" max="15846" width="9" style="533"/>
    <col min="15847" max="15847" width="4.875" style="533" customWidth="1"/>
    <col min="15848" max="15848" width="50.75" style="533" customWidth="1"/>
    <col min="15849" max="15849" width="21.125" style="533" customWidth="1"/>
    <col min="15850" max="15851" width="0" style="533" hidden="1" customWidth="1"/>
    <col min="15852" max="15852" width="53.75" style="533" customWidth="1"/>
    <col min="15853" max="15853" width="54.375" style="533" customWidth="1"/>
    <col min="15854" max="15857" width="0" style="533" hidden="1" customWidth="1"/>
    <col min="15858" max="16102" width="9" style="533"/>
    <col min="16103" max="16103" width="4.875" style="533" customWidth="1"/>
    <col min="16104" max="16104" width="50.75" style="533" customWidth="1"/>
    <col min="16105" max="16105" width="21.125" style="533" customWidth="1"/>
    <col min="16106" max="16107" width="0" style="533" hidden="1" customWidth="1"/>
    <col min="16108" max="16108" width="53.75" style="533" customWidth="1"/>
    <col min="16109" max="16109" width="54.375" style="533" customWidth="1"/>
    <col min="16110" max="16113" width="0" style="533" hidden="1" customWidth="1"/>
    <col min="16114" max="16357" width="9" style="533"/>
    <col min="16358" max="16384" width="7.75" style="533" customWidth="1"/>
  </cols>
  <sheetData>
    <row r="1" spans="2:6" x14ac:dyDescent="0.4">
      <c r="C1" s="534" t="s">
        <v>0</v>
      </c>
    </row>
    <row r="2" spans="2:6" x14ac:dyDescent="0.4">
      <c r="C2" s="536">
        <v>44682</v>
      </c>
    </row>
    <row r="3" spans="2:6" x14ac:dyDescent="0.4">
      <c r="B3" s="537"/>
      <c r="C3" s="538" t="s">
        <v>1</v>
      </c>
    </row>
    <row r="4" spans="2:6" ht="24.95" customHeight="1" thickBot="1" x14ac:dyDescent="0.45">
      <c r="B4" s="539" t="s">
        <v>2</v>
      </c>
      <c r="C4" s="540" t="s">
        <v>321</v>
      </c>
      <c r="D4" s="539" t="s">
        <v>3</v>
      </c>
      <c r="E4" s="541" t="s">
        <v>4</v>
      </c>
      <c r="F4" s="541" t="s">
        <v>322</v>
      </c>
    </row>
    <row r="5" spans="2:6" ht="39.950000000000003" customHeight="1" x14ac:dyDescent="0.4">
      <c r="B5" s="542" t="s">
        <v>5</v>
      </c>
      <c r="C5" s="543">
        <v>20</v>
      </c>
      <c r="D5" s="984" t="s">
        <v>6</v>
      </c>
      <c r="E5" s="982" t="s">
        <v>7</v>
      </c>
      <c r="F5" s="982" t="s">
        <v>487</v>
      </c>
    </row>
    <row r="6" spans="2:6" ht="42.6" customHeight="1" thickBot="1" x14ac:dyDescent="0.45">
      <c r="B6" s="544" t="s">
        <v>8</v>
      </c>
      <c r="C6" s="545">
        <f>C5*2080</f>
        <v>41600</v>
      </c>
      <c r="D6" s="985"/>
      <c r="E6" s="983"/>
      <c r="F6" s="983"/>
    </row>
    <row r="7" spans="2:6" x14ac:dyDescent="0.4">
      <c r="B7" s="546" t="s">
        <v>9</v>
      </c>
      <c r="C7" s="543">
        <f>'[19]DC  CNA  DC III'!I19</f>
        <v>25.580080000000002</v>
      </c>
      <c r="D7" s="547" t="s">
        <v>10</v>
      </c>
      <c r="E7" s="982" t="s">
        <v>11</v>
      </c>
      <c r="F7" s="982" t="s">
        <v>323</v>
      </c>
    </row>
    <row r="8" spans="2:6" ht="46.5" customHeight="1" thickBot="1" x14ac:dyDescent="0.45">
      <c r="B8" s="548" t="s">
        <v>12</v>
      </c>
      <c r="C8" s="549">
        <f>C7*2080</f>
        <v>53206.566400000003</v>
      </c>
      <c r="D8" s="535" t="s">
        <v>488</v>
      </c>
      <c r="E8" s="986"/>
      <c r="F8" s="986"/>
    </row>
    <row r="9" spans="2:6" ht="26.1" customHeight="1" x14ac:dyDescent="0.4">
      <c r="B9" s="546" t="s">
        <v>13</v>
      </c>
      <c r="C9" s="543">
        <f>'[19]DC  CNA  DC III'!I11</f>
        <v>19.121599999999997</v>
      </c>
      <c r="D9" s="547"/>
      <c r="E9" s="982" t="s">
        <v>14</v>
      </c>
      <c r="F9" s="982" t="s">
        <v>324</v>
      </c>
    </row>
    <row r="10" spans="2:6" ht="27" thickBot="1" x14ac:dyDescent="0.45">
      <c r="B10" s="550" t="s">
        <v>15</v>
      </c>
      <c r="C10" s="545">
        <f>'[19]DC  CNA  DC III'!J11</f>
        <v>39772.927999999993</v>
      </c>
      <c r="D10" s="551"/>
      <c r="E10" s="983"/>
      <c r="F10" s="983"/>
    </row>
    <row r="11" spans="2:6" x14ac:dyDescent="0.4">
      <c r="B11" s="546" t="s">
        <v>16</v>
      </c>
      <c r="C11" s="543">
        <f>'[19]Case Social Worker.Manager'!J4</f>
        <v>28.180799999999998</v>
      </c>
      <c r="D11" s="547" t="s">
        <v>17</v>
      </c>
      <c r="E11" s="982" t="s">
        <v>18</v>
      </c>
      <c r="F11" s="982" t="s">
        <v>325</v>
      </c>
    </row>
    <row r="12" spans="2:6" ht="27" thickBot="1" x14ac:dyDescent="0.45">
      <c r="B12" s="548" t="s">
        <v>19</v>
      </c>
      <c r="C12" s="549">
        <f>C11*2080</f>
        <v>58616.063999999998</v>
      </c>
      <c r="D12" s="533" t="s">
        <v>20</v>
      </c>
      <c r="E12" s="986"/>
      <c r="F12" s="986"/>
    </row>
    <row r="13" spans="2:6" ht="52.5" x14ac:dyDescent="0.4">
      <c r="B13" s="552" t="s">
        <v>21</v>
      </c>
      <c r="C13" s="543">
        <f>'[19]Case Social Worker.Manager'!J11</f>
        <v>30.9283</v>
      </c>
      <c r="D13" s="547" t="s">
        <v>22</v>
      </c>
      <c r="E13" s="982" t="s">
        <v>23</v>
      </c>
      <c r="F13" s="982" t="s">
        <v>326</v>
      </c>
    </row>
    <row r="14" spans="2:6" ht="53.25" thickBot="1" x14ac:dyDescent="0.45">
      <c r="B14" s="553" t="s">
        <v>24</v>
      </c>
      <c r="C14" s="545">
        <f>C13*2080</f>
        <v>64330.864000000001</v>
      </c>
      <c r="D14" s="551" t="s">
        <v>25</v>
      </c>
      <c r="E14" s="983"/>
      <c r="F14" s="983"/>
    </row>
    <row r="15" spans="2:6" x14ac:dyDescent="0.4">
      <c r="B15" s="546" t="s">
        <v>35</v>
      </c>
      <c r="C15" s="543">
        <f>[19]Nursing!J2</f>
        <v>31.575200000000002</v>
      </c>
      <c r="D15" s="547"/>
      <c r="E15" s="982" t="s">
        <v>36</v>
      </c>
      <c r="F15" s="982" t="s">
        <v>327</v>
      </c>
    </row>
    <row r="16" spans="2:6" ht="27" thickBot="1" x14ac:dyDescent="0.45">
      <c r="B16" s="550" t="s">
        <v>37</v>
      </c>
      <c r="C16" s="545">
        <f>C15*2080</f>
        <v>65676.416000000012</v>
      </c>
      <c r="D16" s="551" t="s">
        <v>489</v>
      </c>
      <c r="E16" s="983"/>
      <c r="F16" s="983"/>
    </row>
    <row r="17" spans="2:6" x14ac:dyDescent="0.4">
      <c r="B17" s="546" t="s">
        <v>29</v>
      </c>
      <c r="C17" s="543">
        <f>[19]Clinical!J6</f>
        <v>38.753100000000003</v>
      </c>
      <c r="D17" s="547" t="s">
        <v>30</v>
      </c>
      <c r="E17" s="982" t="s">
        <v>31</v>
      </c>
      <c r="F17" s="982" t="s">
        <v>328</v>
      </c>
    </row>
    <row r="18" spans="2:6" ht="27" thickBot="1" x14ac:dyDescent="0.45">
      <c r="B18" s="550" t="s">
        <v>32</v>
      </c>
      <c r="C18" s="545">
        <f>C17*2080</f>
        <v>80606.448000000004</v>
      </c>
      <c r="D18" s="551"/>
      <c r="E18" s="983"/>
      <c r="F18" s="983"/>
    </row>
    <row r="19" spans="2:6" x14ac:dyDescent="0.4">
      <c r="B19" s="546" t="s">
        <v>329</v>
      </c>
      <c r="C19" s="554">
        <f>[19]Therapies!M2</f>
        <v>32.740400000000001</v>
      </c>
      <c r="D19" s="547"/>
      <c r="E19" s="982" t="s">
        <v>330</v>
      </c>
      <c r="F19" s="982" t="s">
        <v>331</v>
      </c>
    </row>
    <row r="20" spans="2:6" ht="27" thickBot="1" x14ac:dyDescent="0.45">
      <c r="B20" s="550" t="s">
        <v>332</v>
      </c>
      <c r="C20" s="545">
        <f>C19*2080</f>
        <v>68100.032000000007</v>
      </c>
      <c r="D20" s="551"/>
      <c r="E20" s="983"/>
      <c r="F20" s="983"/>
    </row>
    <row r="21" spans="2:6" x14ac:dyDescent="0.4">
      <c r="B21" s="548" t="s">
        <v>26</v>
      </c>
      <c r="C21" s="555">
        <f>[19]Management!J2</f>
        <v>38.180400000000006</v>
      </c>
      <c r="D21" s="533" t="s">
        <v>333</v>
      </c>
      <c r="E21" s="982" t="s">
        <v>27</v>
      </c>
      <c r="F21" s="987" t="s">
        <v>334</v>
      </c>
    </row>
    <row r="22" spans="2:6" ht="27" thickBot="1" x14ac:dyDescent="0.45">
      <c r="B22" s="550" t="s">
        <v>28</v>
      </c>
      <c r="C22" s="545">
        <f>C21*2080</f>
        <v>79415.232000000018</v>
      </c>
      <c r="D22" s="551" t="s">
        <v>335</v>
      </c>
      <c r="E22" s="983"/>
      <c r="F22" s="988"/>
    </row>
    <row r="23" spans="2:6" ht="39.950000000000003" customHeight="1" x14ac:dyDescent="0.4">
      <c r="B23" s="556" t="s">
        <v>490</v>
      </c>
      <c r="C23" s="555">
        <f>[19]Therapies!M8</f>
        <v>38.017499999999998</v>
      </c>
      <c r="D23" s="533" t="s">
        <v>336</v>
      </c>
      <c r="E23" s="982" t="s">
        <v>23</v>
      </c>
      <c r="F23" s="982" t="s">
        <v>491</v>
      </c>
    </row>
    <row r="24" spans="2:6" ht="39.950000000000003" customHeight="1" thickBot="1" x14ac:dyDescent="0.45">
      <c r="B24" s="544" t="s">
        <v>492</v>
      </c>
      <c r="C24" s="545">
        <f>C23*2080</f>
        <v>79076.399999999994</v>
      </c>
      <c r="D24" s="551"/>
      <c r="E24" s="983"/>
      <c r="F24" s="983"/>
    </row>
    <row r="25" spans="2:6" x14ac:dyDescent="0.4">
      <c r="B25" s="548" t="s">
        <v>337</v>
      </c>
      <c r="C25" s="555">
        <f>[19]Therapies!M14</f>
        <v>41.25168</v>
      </c>
      <c r="D25" s="533" t="s">
        <v>338</v>
      </c>
      <c r="E25" s="982" t="s">
        <v>23</v>
      </c>
      <c r="F25" s="982" t="s">
        <v>339</v>
      </c>
    </row>
    <row r="26" spans="2:6" ht="27" thickBot="1" x14ac:dyDescent="0.45">
      <c r="B26" s="550" t="s">
        <v>340</v>
      </c>
      <c r="C26" s="549">
        <f>C25*2080</f>
        <v>85803.494399999996</v>
      </c>
      <c r="E26" s="983"/>
      <c r="F26" s="983"/>
    </row>
    <row r="27" spans="2:6" x14ac:dyDescent="0.4">
      <c r="B27" s="546" t="s">
        <v>341</v>
      </c>
      <c r="C27" s="543">
        <f>[19]Clinical!J12</f>
        <v>48.742200000000004</v>
      </c>
      <c r="D27" s="989" t="s">
        <v>33</v>
      </c>
      <c r="E27" s="982" t="s">
        <v>34</v>
      </c>
      <c r="F27" s="982" t="s">
        <v>342</v>
      </c>
    </row>
    <row r="28" spans="2:6" ht="34.5" customHeight="1" thickBot="1" x14ac:dyDescent="0.45">
      <c r="B28" s="550" t="s">
        <v>343</v>
      </c>
      <c r="C28" s="545">
        <f>C27*2080</f>
        <v>101383.77600000001</v>
      </c>
      <c r="D28" s="990"/>
      <c r="E28" s="983"/>
      <c r="F28" s="983"/>
    </row>
    <row r="29" spans="2:6" x14ac:dyDescent="0.4">
      <c r="B29" s="542" t="s">
        <v>493</v>
      </c>
      <c r="C29" s="543">
        <f>[19]Therapies!M18</f>
        <v>42.756720000000001</v>
      </c>
      <c r="D29" s="547"/>
      <c r="E29" s="982" t="s">
        <v>23</v>
      </c>
      <c r="F29" s="982" t="s">
        <v>494</v>
      </c>
    </row>
    <row r="30" spans="2:6" ht="27" thickBot="1" x14ac:dyDescent="0.45">
      <c r="B30" s="544" t="s">
        <v>495</v>
      </c>
      <c r="C30" s="545">
        <f>C29*2080</f>
        <v>88933.977599999998</v>
      </c>
      <c r="D30" s="551"/>
      <c r="E30" s="983"/>
      <c r="F30" s="983"/>
    </row>
    <row r="31" spans="2:6" x14ac:dyDescent="0.4">
      <c r="B31" s="546" t="s">
        <v>38</v>
      </c>
      <c r="C31" s="543">
        <f>[19]Nursing!J6</f>
        <v>49.162799999999997</v>
      </c>
      <c r="D31" s="547"/>
      <c r="E31" s="982" t="s">
        <v>39</v>
      </c>
      <c r="F31" s="982" t="s">
        <v>344</v>
      </c>
    </row>
    <row r="32" spans="2:6" ht="38.450000000000003" customHeight="1" thickBot="1" x14ac:dyDescent="0.45">
      <c r="B32" s="550" t="s">
        <v>40</v>
      </c>
      <c r="C32" s="545">
        <f>C31*2080</f>
        <v>102258.624</v>
      </c>
      <c r="D32" s="551"/>
      <c r="E32" s="983"/>
      <c r="F32" s="983"/>
    </row>
    <row r="33" spans="2:6" x14ac:dyDescent="0.4">
      <c r="B33" s="546" t="s">
        <v>41</v>
      </c>
      <c r="C33" s="543">
        <f>[19]Nursing!J11</f>
        <v>65.162400000000005</v>
      </c>
      <c r="D33" s="547"/>
      <c r="E33" s="982" t="s">
        <v>42</v>
      </c>
      <c r="F33" s="982" t="s">
        <v>345</v>
      </c>
    </row>
    <row r="34" spans="2:6" ht="27" thickBot="1" x14ac:dyDescent="0.45">
      <c r="B34" s="550" t="s">
        <v>43</v>
      </c>
      <c r="C34" s="545">
        <f>C33*2080</f>
        <v>135537.79200000002</v>
      </c>
      <c r="D34" s="551"/>
      <c r="E34" s="983"/>
      <c r="F34" s="983"/>
    </row>
    <row r="36" spans="2:6" ht="52.5" x14ac:dyDescent="0.4">
      <c r="B36" s="557" t="s">
        <v>496</v>
      </c>
      <c r="C36" s="549">
        <f>C6</f>
        <v>41600</v>
      </c>
    </row>
    <row r="37" spans="2:6" x14ac:dyDescent="0.4">
      <c r="C37" s="558"/>
    </row>
    <row r="38" spans="2:6" x14ac:dyDescent="0.4">
      <c r="B38" s="559" t="s">
        <v>346</v>
      </c>
      <c r="C38" s="560">
        <v>0.27379999999999999</v>
      </c>
      <c r="D38" s="533" t="s">
        <v>497</v>
      </c>
    </row>
    <row r="39" spans="2:6" ht="34.35" customHeight="1" x14ac:dyDescent="0.4">
      <c r="B39" s="559"/>
      <c r="C39" s="558"/>
      <c r="D39" s="991" t="s">
        <v>347</v>
      </c>
      <c r="E39" s="991"/>
      <c r="F39" s="533"/>
    </row>
    <row r="40" spans="2:6" x14ac:dyDescent="0.4">
      <c r="C40" s="558"/>
    </row>
    <row r="41" spans="2:6" x14ac:dyDescent="0.4">
      <c r="B41" s="559" t="s">
        <v>44</v>
      </c>
      <c r="C41" s="561">
        <v>0.12</v>
      </c>
      <c r="D41" s="533" t="s">
        <v>45</v>
      </c>
    </row>
    <row r="42" spans="2:6" x14ac:dyDescent="0.4">
      <c r="B42" s="559"/>
      <c r="C42" s="562"/>
    </row>
    <row r="43" spans="2:6" x14ac:dyDescent="0.4">
      <c r="B43" s="992" t="s">
        <v>348</v>
      </c>
      <c r="C43" s="992"/>
      <c r="D43" s="992"/>
    </row>
    <row r="44" spans="2:6" x14ac:dyDescent="0.4">
      <c r="B44" s="563" t="s">
        <v>498</v>
      </c>
      <c r="C44" s="549">
        <v>247470</v>
      </c>
      <c r="D44" s="533" t="s">
        <v>499</v>
      </c>
    </row>
    <row r="45" spans="2:6" x14ac:dyDescent="0.4">
      <c r="B45" s="559" t="s">
        <v>349</v>
      </c>
      <c r="C45" s="549">
        <v>252850</v>
      </c>
      <c r="D45" s="533" t="s">
        <v>500</v>
      </c>
    </row>
    <row r="46" spans="2:6" x14ac:dyDescent="0.4">
      <c r="B46" s="559" t="s">
        <v>350</v>
      </c>
      <c r="C46" s="549">
        <f>'[19]M2022 53_PCT'!N33</f>
        <v>135424.64000000001</v>
      </c>
      <c r="D46" s="533" t="s">
        <v>501</v>
      </c>
    </row>
    <row r="47" spans="2:6" x14ac:dyDescent="0.4">
      <c r="B47" s="559" t="s">
        <v>502</v>
      </c>
      <c r="C47" s="564">
        <f>C6</f>
        <v>41600</v>
      </c>
      <c r="D47" s="533" t="s">
        <v>503</v>
      </c>
    </row>
    <row r="48" spans="2:6" x14ac:dyDescent="0.4">
      <c r="B48" s="559" t="s">
        <v>504</v>
      </c>
      <c r="C48" s="564">
        <f>AVERAGE(C6,C8)</f>
        <v>47403.283200000005</v>
      </c>
      <c r="D48" s="533" t="s">
        <v>505</v>
      </c>
    </row>
    <row r="49" spans="2:6" x14ac:dyDescent="0.4">
      <c r="B49" s="559" t="s">
        <v>506</v>
      </c>
      <c r="C49" s="549">
        <f>C8</f>
        <v>53206.566400000003</v>
      </c>
      <c r="D49" s="533" t="s">
        <v>507</v>
      </c>
    </row>
    <row r="50" spans="2:6" x14ac:dyDescent="0.4">
      <c r="B50" s="559" t="s">
        <v>508</v>
      </c>
      <c r="C50" s="549">
        <f>'[19]M2022 53_PCT'!N34</f>
        <v>40890.303999999996</v>
      </c>
      <c r="D50" s="533" t="s">
        <v>509</v>
      </c>
    </row>
    <row r="51" spans="2:6" x14ac:dyDescent="0.4">
      <c r="B51" s="559" t="s">
        <v>510</v>
      </c>
      <c r="C51" s="564">
        <f>'[19]M2022 53_PCT'!N37</f>
        <v>50652.160000000003</v>
      </c>
      <c r="D51" s="533" t="s">
        <v>511</v>
      </c>
    </row>
    <row r="52" spans="2:6" x14ac:dyDescent="0.4">
      <c r="B52" s="559" t="s">
        <v>512</v>
      </c>
      <c r="C52" s="564">
        <f>AVERAGE('[19]M2022 53_PCT'!N35,'[19]M2022 53_PCT'!N36)</f>
        <v>57014.464000000007</v>
      </c>
      <c r="D52" s="533" t="s">
        <v>513</v>
      </c>
    </row>
    <row r="53" spans="2:6" x14ac:dyDescent="0.4">
      <c r="B53" s="559"/>
      <c r="C53" s="564"/>
    </row>
    <row r="54" spans="2:6" x14ac:dyDescent="0.4">
      <c r="B54" s="559"/>
      <c r="C54" s="564"/>
    </row>
    <row r="55" spans="2:6" x14ac:dyDescent="0.4">
      <c r="B55" s="993" t="s">
        <v>514</v>
      </c>
      <c r="C55" s="993"/>
      <c r="D55" s="993"/>
      <c r="E55" s="993"/>
      <c r="F55" s="993"/>
    </row>
    <row r="56" spans="2:6" x14ac:dyDescent="0.4">
      <c r="B56" s="565" t="s">
        <v>515</v>
      </c>
      <c r="C56" s="533" t="s">
        <v>516</v>
      </c>
    </row>
    <row r="57" spans="2:6" ht="66.599999999999994" customHeight="1" x14ac:dyDescent="0.4">
      <c r="B57" s="566" t="s">
        <v>517</v>
      </c>
      <c r="C57" s="991" t="s">
        <v>518</v>
      </c>
      <c r="D57" s="991"/>
      <c r="E57" s="991"/>
      <c r="F57" s="991"/>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571EA-BD31-4668-91FC-39BA2CD7BC0A}">
  <sheetPr>
    <pageSetUpPr fitToPage="1"/>
  </sheetPr>
  <dimension ref="A1:AH103"/>
  <sheetViews>
    <sheetView tabSelected="1" topLeftCell="S1" zoomScaleNormal="100" workbookViewId="0">
      <pane activePane="bottomRight" state="frozen"/>
      <selection activeCell="AF33" sqref="AF33"/>
    </sheetView>
  </sheetViews>
  <sheetFormatPr defaultColWidth="7.75" defaultRowHeight="12.75" x14ac:dyDescent="0.2"/>
  <cols>
    <col min="1" max="1" width="4.5" style="58" customWidth="1"/>
    <col min="2" max="2" width="34.875" style="58" bestFit="1" customWidth="1"/>
    <col min="3" max="3" width="3.5" style="58" bestFit="1" customWidth="1"/>
    <col min="4" max="4" width="7.375" style="58" bestFit="1" customWidth="1"/>
    <col min="5" max="5" width="7.5" style="60" customWidth="1"/>
    <col min="6" max="6" width="10.5" style="58" bestFit="1" customWidth="1"/>
    <col min="7" max="7" width="3.25" style="58" customWidth="1"/>
    <col min="8" max="8" width="29.125" style="58" bestFit="1" customWidth="1"/>
    <col min="9" max="9" width="5.5" style="58" customWidth="1"/>
    <col min="10" max="10" width="7.25" style="58" customWidth="1"/>
    <col min="11" max="11" width="7" style="60" customWidth="1"/>
    <col min="12" max="12" width="10.875" style="58" bestFit="1" customWidth="1"/>
    <col min="13" max="13" width="3.875" style="59" customWidth="1"/>
    <col min="14" max="14" width="27.5" style="60" customWidth="1"/>
    <col min="15" max="15" width="3.5" style="61" bestFit="1" customWidth="1"/>
    <col min="16" max="16" width="7.375" style="61" bestFit="1" customWidth="1"/>
    <col min="17" max="17" width="5.75" style="58" customWidth="1"/>
    <col min="18" max="18" width="10.5" style="58" bestFit="1" customWidth="1"/>
    <col min="19" max="19" width="3.125" style="58" customWidth="1"/>
    <col min="20" max="20" width="26.25" style="58" bestFit="1" customWidth="1"/>
    <col min="21" max="21" width="3.5" style="58" bestFit="1" customWidth="1"/>
    <col min="22" max="22" width="7.375" style="58" bestFit="1" customWidth="1"/>
    <col min="23" max="23" width="8.875" style="58" bestFit="1" customWidth="1"/>
    <col min="24" max="24" width="10.5" style="58" bestFit="1" customWidth="1"/>
    <col min="25" max="25" width="3.5" style="58" customWidth="1"/>
    <col min="26" max="26" width="29" style="58" customWidth="1"/>
    <col min="27" max="27" width="3.5" style="58" bestFit="1" customWidth="1"/>
    <col min="28" max="28" width="7.75" style="58"/>
    <col min="29" max="29" width="8.875" style="58" bestFit="1" customWidth="1"/>
    <col min="30" max="30" width="10.5" style="58" bestFit="1" customWidth="1"/>
    <col min="31" max="31" width="7.75" style="58"/>
    <col min="32" max="32" width="35.5" style="58" customWidth="1"/>
    <col min="33" max="33" width="8.625" style="58" bestFit="1" customWidth="1"/>
    <col min="34" max="34" width="54" style="58" customWidth="1"/>
    <col min="35" max="16384" width="7.75" style="58"/>
  </cols>
  <sheetData>
    <row r="1" spans="1:34" ht="18" customHeight="1" x14ac:dyDescent="0.2"/>
    <row r="2" spans="1:34" ht="21" customHeight="1" thickBot="1" x14ac:dyDescent="0.25"/>
    <row r="3" spans="1:34" ht="23.25" customHeight="1" thickBot="1" x14ac:dyDescent="0.25">
      <c r="A3" s="62"/>
      <c r="B3" s="1073" t="s">
        <v>264</v>
      </c>
      <c r="C3" s="1074"/>
      <c r="D3" s="1074"/>
      <c r="E3" s="1074"/>
      <c r="F3" s="1075"/>
      <c r="H3" s="1073" t="s">
        <v>265</v>
      </c>
      <c r="I3" s="1074"/>
      <c r="J3" s="1074"/>
      <c r="K3" s="1074"/>
      <c r="L3" s="1075"/>
      <c r="N3" s="1073" t="s">
        <v>303</v>
      </c>
      <c r="O3" s="1074"/>
      <c r="P3" s="1074"/>
      <c r="Q3" s="1074"/>
      <c r="R3" s="1075"/>
      <c r="T3" s="1073" t="s">
        <v>304</v>
      </c>
      <c r="U3" s="1074"/>
      <c r="V3" s="1074"/>
      <c r="W3" s="1074"/>
      <c r="X3" s="1075"/>
      <c r="Z3" s="1073" t="s">
        <v>305</v>
      </c>
      <c r="AA3" s="1074"/>
      <c r="AB3" s="1074"/>
      <c r="AC3" s="1074"/>
      <c r="AD3" s="1075"/>
      <c r="AF3" s="1073" t="s">
        <v>263</v>
      </c>
      <c r="AG3" s="1074"/>
      <c r="AH3" s="1075"/>
    </row>
    <row r="4" spans="1:34" s="69" customFormat="1" ht="18.75" customHeight="1" x14ac:dyDescent="0.2">
      <c r="A4" s="63"/>
      <c r="B4" s="64" t="s">
        <v>268</v>
      </c>
      <c r="C4" s="65">
        <v>154</v>
      </c>
      <c r="D4" s="66"/>
      <c r="E4" s="67" t="s">
        <v>269</v>
      </c>
      <c r="F4" s="68">
        <f>C4*C5</f>
        <v>41888</v>
      </c>
      <c r="H4" s="64" t="s">
        <v>268</v>
      </c>
      <c r="I4" s="65">
        <v>158</v>
      </c>
      <c r="J4" s="66"/>
      <c r="K4" s="67" t="s">
        <v>269</v>
      </c>
      <c r="L4" s="68">
        <f>I5*I4</f>
        <v>42976</v>
      </c>
      <c r="M4" s="70"/>
      <c r="N4" s="64" t="s">
        <v>268</v>
      </c>
      <c r="O4" s="65">
        <v>137</v>
      </c>
      <c r="P4" s="66"/>
      <c r="Q4" s="67" t="s">
        <v>269</v>
      </c>
      <c r="R4" s="68">
        <f>O5*O4</f>
        <v>37264</v>
      </c>
      <c r="S4" s="58"/>
      <c r="T4" s="64" t="s">
        <v>268</v>
      </c>
      <c r="U4" s="65">
        <v>111</v>
      </c>
      <c r="V4" s="66"/>
      <c r="W4" s="67" t="s">
        <v>269</v>
      </c>
      <c r="X4" s="68">
        <f>U5*U4</f>
        <v>30192</v>
      </c>
      <c r="Y4" s="58"/>
      <c r="Z4" s="64" t="s">
        <v>268</v>
      </c>
      <c r="AA4" s="65">
        <v>114</v>
      </c>
      <c r="AB4" s="66"/>
      <c r="AC4" s="67" t="s">
        <v>269</v>
      </c>
      <c r="AD4" s="68">
        <f>AA5*AA4</f>
        <v>31008</v>
      </c>
      <c r="AF4" s="1070" t="s">
        <v>266</v>
      </c>
      <c r="AG4" s="1071"/>
      <c r="AH4" s="140" t="s">
        <v>267</v>
      </c>
    </row>
    <row r="5" spans="1:34" x14ac:dyDescent="0.2">
      <c r="A5" s="72"/>
      <c r="B5" s="73" t="s">
        <v>271</v>
      </c>
      <c r="C5" s="74">
        <v>272</v>
      </c>
      <c r="F5" s="75"/>
      <c r="H5" s="73" t="s">
        <v>271</v>
      </c>
      <c r="I5" s="74">
        <v>272</v>
      </c>
      <c r="L5" s="75"/>
      <c r="N5" s="73" t="s">
        <v>271</v>
      </c>
      <c r="O5" s="74">
        <v>272</v>
      </c>
      <c r="P5" s="58"/>
      <c r="Q5" s="60"/>
      <c r="R5" s="75"/>
      <c r="S5" s="126"/>
      <c r="T5" s="73" t="s">
        <v>271</v>
      </c>
      <c r="U5" s="74">
        <v>272</v>
      </c>
      <c r="W5" s="60"/>
      <c r="X5" s="75"/>
      <c r="Z5" s="73" t="s">
        <v>271</v>
      </c>
      <c r="AA5" s="74">
        <v>272</v>
      </c>
      <c r="AC5" s="60"/>
      <c r="AD5" s="75"/>
      <c r="AF5" s="71" t="s">
        <v>270</v>
      </c>
      <c r="AG5" s="146">
        <f>'M2024 BLS  (53_PCT)'!C22</f>
        <v>81486.911999999997</v>
      </c>
      <c r="AH5" s="139" t="s">
        <v>663</v>
      </c>
    </row>
    <row r="6" spans="1:34" ht="15" customHeight="1" x14ac:dyDescent="0.2">
      <c r="A6" s="72"/>
      <c r="B6" s="76"/>
      <c r="C6" s="77"/>
      <c r="D6" s="78" t="s">
        <v>66</v>
      </c>
      <c r="E6" s="78" t="s">
        <v>67</v>
      </c>
      <c r="F6" s="79" t="s">
        <v>68</v>
      </c>
      <c r="H6" s="76"/>
      <c r="I6" s="77"/>
      <c r="J6" s="78" t="s">
        <v>66</v>
      </c>
      <c r="K6" s="78" t="s">
        <v>67</v>
      </c>
      <c r="L6" s="79" t="s">
        <v>68</v>
      </c>
      <c r="N6" s="76"/>
      <c r="O6" s="77"/>
      <c r="P6" s="78" t="s">
        <v>66</v>
      </c>
      <c r="Q6" s="78" t="s">
        <v>67</v>
      </c>
      <c r="R6" s="79" t="s">
        <v>68</v>
      </c>
      <c r="T6" s="76"/>
      <c r="U6" s="77"/>
      <c r="V6" s="78" t="s">
        <v>66</v>
      </c>
      <c r="W6" s="78" t="s">
        <v>67</v>
      </c>
      <c r="X6" s="129" t="s">
        <v>68</v>
      </c>
      <c r="Z6" s="76"/>
      <c r="AA6" s="77"/>
      <c r="AB6" s="78" t="s">
        <v>66</v>
      </c>
      <c r="AC6" s="78" t="s">
        <v>67</v>
      </c>
      <c r="AD6" s="79" t="s">
        <v>68</v>
      </c>
      <c r="AF6" s="71" t="s">
        <v>272</v>
      </c>
      <c r="AG6" s="146">
        <f>AG5</f>
        <v>81486.911999999997</v>
      </c>
      <c r="AH6" s="139" t="s">
        <v>663</v>
      </c>
    </row>
    <row r="7" spans="1:34" ht="15.75" customHeight="1" x14ac:dyDescent="0.2">
      <c r="A7" s="80"/>
      <c r="B7" s="81" t="s">
        <v>274</v>
      </c>
      <c r="C7" s="82"/>
      <c r="D7" s="83"/>
      <c r="E7" s="83"/>
      <c r="F7" s="84"/>
      <c r="H7" s="81" t="s">
        <v>274</v>
      </c>
      <c r="I7" s="82"/>
      <c r="J7" s="83"/>
      <c r="K7" s="83"/>
      <c r="L7" s="84"/>
      <c r="N7" s="81" t="s">
        <v>274</v>
      </c>
      <c r="O7" s="82"/>
      <c r="P7" s="83"/>
      <c r="Q7" s="83"/>
      <c r="R7" s="84"/>
      <c r="S7" s="69"/>
      <c r="T7" s="81" t="s">
        <v>274</v>
      </c>
      <c r="U7" s="82"/>
      <c r="V7" s="83"/>
      <c r="W7" s="83"/>
      <c r="X7" s="84"/>
      <c r="Z7" s="81" t="s">
        <v>274</v>
      </c>
      <c r="AA7" s="82"/>
      <c r="AB7" s="83"/>
      <c r="AC7" s="83"/>
      <c r="AD7" s="84"/>
      <c r="AF7" s="71" t="s">
        <v>273</v>
      </c>
      <c r="AG7" s="146">
        <f>'M2024 BLS  (53_PCT)'!C28</f>
        <v>101806.432</v>
      </c>
      <c r="AH7" s="139" t="s">
        <v>663</v>
      </c>
    </row>
    <row r="8" spans="1:34" ht="17.25" customHeight="1" x14ac:dyDescent="0.2">
      <c r="A8" s="80"/>
      <c r="B8" s="85" t="str">
        <f>AF5</f>
        <v>Regional Management Oversight</v>
      </c>
      <c r="C8" s="82"/>
      <c r="D8" s="86">
        <f>AG5</f>
        <v>81486.911999999997</v>
      </c>
      <c r="E8" s="87">
        <f>AG12</f>
        <v>0.15</v>
      </c>
      <c r="F8" s="88">
        <f>D8*E8</f>
        <v>12223.0368</v>
      </c>
      <c r="H8" s="85" t="s">
        <v>270</v>
      </c>
      <c r="I8" s="82"/>
      <c r="J8" s="86">
        <f>D8</f>
        <v>81486.911999999997</v>
      </c>
      <c r="K8" s="87">
        <f>E8</f>
        <v>0.15</v>
      </c>
      <c r="L8" s="88">
        <f>J8*K8</f>
        <v>12223.0368</v>
      </c>
      <c r="N8" s="85" t="s">
        <v>270</v>
      </c>
      <c r="O8" s="82"/>
      <c r="P8" s="86">
        <f>D8</f>
        <v>81486.911999999997</v>
      </c>
      <c r="Q8" s="87">
        <v>0.15</v>
      </c>
      <c r="R8" s="88">
        <f>Q8*P8</f>
        <v>12223.0368</v>
      </c>
      <c r="T8" s="85" t="s">
        <v>270</v>
      </c>
      <c r="U8" s="82"/>
      <c r="V8" s="86">
        <f>P8</f>
        <v>81486.911999999997</v>
      </c>
      <c r="W8" s="87">
        <v>0.15</v>
      </c>
      <c r="X8" s="88">
        <f>W8*V8</f>
        <v>12223.0368</v>
      </c>
      <c r="Z8" s="85" t="s">
        <v>270</v>
      </c>
      <c r="AA8" s="82"/>
      <c r="AB8" s="86">
        <f>P8</f>
        <v>81486.911999999997</v>
      </c>
      <c r="AC8" s="87">
        <v>0.15</v>
      </c>
      <c r="AD8" s="88">
        <f>AC8*AB8</f>
        <v>12223.0368</v>
      </c>
      <c r="AF8" s="71" t="s">
        <v>686</v>
      </c>
      <c r="AG8" s="146">
        <f>'M2024 BLS  (53_PCT)'!C18</f>
        <v>84174.063999999998</v>
      </c>
      <c r="AH8" s="139" t="s">
        <v>687</v>
      </c>
    </row>
    <row r="9" spans="1:34" ht="19.5" customHeight="1" x14ac:dyDescent="0.2">
      <c r="A9" s="72"/>
      <c r="B9" s="85" t="str">
        <f>AF6</f>
        <v>Regional Manager</v>
      </c>
      <c r="D9" s="86">
        <f>AG6</f>
        <v>81486.911999999997</v>
      </c>
      <c r="E9" s="87">
        <f>AG13</f>
        <v>1</v>
      </c>
      <c r="F9" s="88">
        <f>D9*E9</f>
        <v>81486.911999999997</v>
      </c>
      <c r="H9" s="85" t="s">
        <v>272</v>
      </c>
      <c r="J9" s="86">
        <f t="shared" ref="J9:K11" si="0">D9</f>
        <v>81486.911999999997</v>
      </c>
      <c r="K9" s="87">
        <f t="shared" si="0"/>
        <v>1</v>
      </c>
      <c r="L9" s="88">
        <f>J9*K9</f>
        <v>81486.911999999997</v>
      </c>
      <c r="N9" s="85" t="s">
        <v>272</v>
      </c>
      <c r="O9" s="58"/>
      <c r="P9" s="86">
        <f>D9</f>
        <v>81486.911999999997</v>
      </c>
      <c r="Q9" s="87">
        <v>1</v>
      </c>
      <c r="R9" s="88">
        <f t="shared" ref="R9:R13" si="1">Q9*P9</f>
        <v>81486.911999999997</v>
      </c>
      <c r="T9" s="85" t="s">
        <v>272</v>
      </c>
      <c r="V9" s="86">
        <f>P9</f>
        <v>81486.911999999997</v>
      </c>
      <c r="W9" s="87">
        <v>1</v>
      </c>
      <c r="X9" s="88">
        <f t="shared" ref="X9:X13" si="2">W9*V9</f>
        <v>81486.911999999997</v>
      </c>
      <c r="Y9" s="59"/>
      <c r="Z9" s="85" t="s">
        <v>272</v>
      </c>
      <c r="AB9" s="86">
        <f>P9</f>
        <v>81486.911999999997</v>
      </c>
      <c r="AC9" s="87">
        <v>1</v>
      </c>
      <c r="AD9" s="88">
        <f t="shared" ref="AD9:AD11" si="3">AC9*AB9</f>
        <v>81486.911999999997</v>
      </c>
      <c r="AF9" s="71" t="s">
        <v>276</v>
      </c>
      <c r="AG9" s="146">
        <f>'M2024 BLS  (53_PCT)'!C8</f>
        <v>56388.633600000001</v>
      </c>
      <c r="AH9" s="139" t="s">
        <v>663</v>
      </c>
    </row>
    <row r="10" spans="1:34" ht="25.5" x14ac:dyDescent="0.2">
      <c r="A10" s="72"/>
      <c r="B10" s="90" t="str">
        <f>AF7</f>
        <v xml:space="preserve">Community Clinical Coordinator (Clinical Director) </v>
      </c>
      <c r="D10" s="86">
        <f>AG7</f>
        <v>101806.432</v>
      </c>
      <c r="E10" s="87">
        <f>AG14</f>
        <v>1</v>
      </c>
      <c r="F10" s="88">
        <f>D10*E10</f>
        <v>101806.432</v>
      </c>
      <c r="H10" s="90" t="s">
        <v>273</v>
      </c>
      <c r="J10" s="86">
        <f t="shared" si="0"/>
        <v>101806.432</v>
      </c>
      <c r="K10" s="87">
        <f t="shared" si="0"/>
        <v>1</v>
      </c>
      <c r="L10" s="88">
        <f>J10*K10</f>
        <v>101806.432</v>
      </c>
      <c r="N10" s="90" t="s">
        <v>273</v>
      </c>
      <c r="O10" s="58"/>
      <c r="P10" s="86">
        <f>D10</f>
        <v>101806.432</v>
      </c>
      <c r="Q10" s="87">
        <v>1</v>
      </c>
      <c r="R10" s="88">
        <f t="shared" si="1"/>
        <v>101806.432</v>
      </c>
      <c r="T10" s="90" t="s">
        <v>273</v>
      </c>
      <c r="V10" s="86">
        <f>P10</f>
        <v>101806.432</v>
      </c>
      <c r="W10" s="87">
        <v>1</v>
      </c>
      <c r="X10" s="88">
        <f t="shared" si="2"/>
        <v>101806.432</v>
      </c>
      <c r="Y10" s="59"/>
      <c r="Z10" s="90" t="s">
        <v>273</v>
      </c>
      <c r="AB10" s="86">
        <f>P10</f>
        <v>101806.432</v>
      </c>
      <c r="AC10" s="87">
        <v>1</v>
      </c>
      <c r="AD10" s="88">
        <f t="shared" si="3"/>
        <v>101806.432</v>
      </c>
      <c r="AF10" s="89"/>
      <c r="AG10" s="147" t="s">
        <v>277</v>
      </c>
      <c r="AH10" s="142"/>
    </row>
    <row r="11" spans="1:34" ht="14.25" customHeight="1" x14ac:dyDescent="0.2">
      <c r="A11" s="72"/>
      <c r="B11" s="92" t="str">
        <f>AF8</f>
        <v>Family Engagement Specialist (clinician)</v>
      </c>
      <c r="C11" s="93"/>
      <c r="D11" s="94">
        <f>AG8</f>
        <v>84174.063999999998</v>
      </c>
      <c r="E11" s="95">
        <f>AG15</f>
        <v>1</v>
      </c>
      <c r="F11" s="96">
        <f>D11*E11</f>
        <v>84174.063999999998</v>
      </c>
      <c r="H11" s="92" t="str">
        <f>B11</f>
        <v>Family Engagement Specialist (clinician)</v>
      </c>
      <c r="I11" s="93"/>
      <c r="J11" s="94">
        <f t="shared" si="0"/>
        <v>84174.063999999998</v>
      </c>
      <c r="K11" s="95">
        <f t="shared" si="0"/>
        <v>1</v>
      </c>
      <c r="L11" s="96">
        <f>J11*K11</f>
        <v>84174.063999999998</v>
      </c>
      <c r="N11" s="92" t="str">
        <f>H11</f>
        <v>Family Engagement Specialist (clinician)</v>
      </c>
      <c r="O11" s="93"/>
      <c r="P11" s="94">
        <f>D11</f>
        <v>84174.063999999998</v>
      </c>
      <c r="Q11" s="95">
        <v>1</v>
      </c>
      <c r="R11" s="96">
        <f t="shared" si="1"/>
        <v>84174.063999999998</v>
      </c>
      <c r="T11" s="92" t="str">
        <f>N11</f>
        <v>Family Engagement Specialist (clinician)</v>
      </c>
      <c r="U11" s="93"/>
      <c r="V11" s="94">
        <f>P11</f>
        <v>84174.063999999998</v>
      </c>
      <c r="W11" s="95">
        <v>1</v>
      </c>
      <c r="X11" s="96">
        <f t="shared" si="2"/>
        <v>84174.063999999998</v>
      </c>
      <c r="Y11" s="59"/>
      <c r="Z11" s="92" t="str">
        <f>T11</f>
        <v>Family Engagement Specialist (clinician)</v>
      </c>
      <c r="AA11" s="93"/>
      <c r="AB11" s="94">
        <f>P11</f>
        <v>84174.063999999998</v>
      </c>
      <c r="AC11" s="95">
        <v>1</v>
      </c>
      <c r="AD11" s="96">
        <f t="shared" si="3"/>
        <v>84174.063999999998</v>
      </c>
      <c r="AF11" s="91" t="s">
        <v>84</v>
      </c>
      <c r="AG11" s="148" t="s">
        <v>278</v>
      </c>
      <c r="AH11" s="143"/>
    </row>
    <row r="12" spans="1:34" x14ac:dyDescent="0.2">
      <c r="A12" s="72"/>
      <c r="B12" s="97" t="s">
        <v>280</v>
      </c>
      <c r="D12" s="86"/>
      <c r="E12" s="87"/>
      <c r="F12" s="88"/>
      <c r="H12" s="97" t="s">
        <v>280</v>
      </c>
      <c r="J12" s="86"/>
      <c r="K12" s="87"/>
      <c r="L12" s="88"/>
      <c r="N12" s="97" t="s">
        <v>280</v>
      </c>
      <c r="O12" s="58"/>
      <c r="P12" s="86"/>
      <c r="Q12" s="87"/>
      <c r="R12" s="88"/>
      <c r="T12" s="97" t="s">
        <v>280</v>
      </c>
      <c r="V12" s="86"/>
      <c r="W12" s="87"/>
      <c r="X12" s="88"/>
      <c r="Y12" s="59"/>
      <c r="Z12" s="97" t="s">
        <v>280</v>
      </c>
      <c r="AB12" s="86"/>
      <c r="AC12" s="87"/>
      <c r="AD12" s="88"/>
      <c r="AF12" s="71" t="s">
        <v>270</v>
      </c>
      <c r="AG12" s="149">
        <v>0.15</v>
      </c>
      <c r="AH12" s="141" t="s">
        <v>279</v>
      </c>
    </row>
    <row r="13" spans="1:34" x14ac:dyDescent="0.2">
      <c r="A13" s="953"/>
      <c r="B13" s="85" t="s">
        <v>281</v>
      </c>
      <c r="D13" s="86">
        <f>AG9</f>
        <v>56388.633600000001</v>
      </c>
      <c r="E13" s="87">
        <v>7</v>
      </c>
      <c r="F13" s="88">
        <f>D13*E13</f>
        <v>394720.43520000001</v>
      </c>
      <c r="H13" s="85" t="s">
        <v>281</v>
      </c>
      <c r="J13" s="86">
        <f>D13</f>
        <v>56388.633600000001</v>
      </c>
      <c r="K13" s="87">
        <v>7</v>
      </c>
      <c r="L13" s="88">
        <f>J13*K13</f>
        <v>394720.43520000001</v>
      </c>
      <c r="N13" s="85" t="s">
        <v>281</v>
      </c>
      <c r="O13" s="58"/>
      <c r="P13" s="86">
        <f>D13</f>
        <v>56388.633600000001</v>
      </c>
      <c r="Q13" s="87">
        <v>7</v>
      </c>
      <c r="R13" s="88">
        <f t="shared" si="1"/>
        <v>394720.43520000001</v>
      </c>
      <c r="T13" s="85" t="s">
        <v>281</v>
      </c>
      <c r="V13" s="86">
        <f>P13</f>
        <v>56388.633600000001</v>
      </c>
      <c r="W13" s="87">
        <v>7</v>
      </c>
      <c r="X13" s="88">
        <f t="shared" si="2"/>
        <v>394720.43520000001</v>
      </c>
      <c r="Y13" s="59"/>
      <c r="Z13" s="85" t="s">
        <v>281</v>
      </c>
      <c r="AB13" s="86">
        <f>P13</f>
        <v>56388.633600000001</v>
      </c>
      <c r="AC13" s="87">
        <v>7</v>
      </c>
      <c r="AD13" s="88">
        <f t="shared" ref="AD13" si="4">AC13*AB13</f>
        <v>394720.43520000001</v>
      </c>
      <c r="AF13" s="71" t="s">
        <v>272</v>
      </c>
      <c r="AG13" s="149">
        <f>[22]RawContractData!BO9</f>
        <v>1</v>
      </c>
      <c r="AH13" s="141" t="s">
        <v>279</v>
      </c>
    </row>
    <row r="14" spans="1:34" x14ac:dyDescent="0.2">
      <c r="A14" s="954"/>
      <c r="B14" s="85"/>
      <c r="D14" s="86"/>
      <c r="E14" s="87"/>
      <c r="F14" s="88"/>
      <c r="H14" s="85"/>
      <c r="J14" s="86"/>
      <c r="K14" s="87"/>
      <c r="L14" s="88"/>
      <c r="N14" s="85"/>
      <c r="O14" s="58"/>
      <c r="P14" s="86"/>
      <c r="Q14" s="87"/>
      <c r="R14" s="88"/>
      <c r="T14" s="85"/>
      <c r="V14" s="86"/>
      <c r="W14" s="87"/>
      <c r="X14" s="88"/>
      <c r="Y14" s="59"/>
      <c r="Z14" s="85"/>
      <c r="AB14" s="86"/>
      <c r="AC14" s="87"/>
      <c r="AD14" s="88"/>
      <c r="AF14" s="71" t="s">
        <v>273</v>
      </c>
      <c r="AG14" s="149">
        <v>1</v>
      </c>
      <c r="AH14" s="141" t="s">
        <v>279</v>
      </c>
    </row>
    <row r="15" spans="1:34" x14ac:dyDescent="0.2">
      <c r="A15" s="954"/>
      <c r="B15" s="589" t="s">
        <v>538</v>
      </c>
      <c r="C15" s="585"/>
      <c r="D15" s="586"/>
      <c r="E15" s="587">
        <f>SUM(E8:E13)</f>
        <v>10.15</v>
      </c>
      <c r="F15" s="588">
        <f>SUM(F8:F14)</f>
        <v>674410.88</v>
      </c>
      <c r="H15" s="589" t="s">
        <v>538</v>
      </c>
      <c r="I15" s="585"/>
      <c r="J15" s="586"/>
      <c r="K15" s="587">
        <f>SUM(K8:K13)</f>
        <v>10.15</v>
      </c>
      <c r="L15" s="588">
        <f>SUM(L8:L14)</f>
        <v>674410.88</v>
      </c>
      <c r="N15" s="589" t="s">
        <v>538</v>
      </c>
      <c r="O15" s="585"/>
      <c r="P15" s="586"/>
      <c r="Q15" s="587">
        <f>SUM(Q8:Q13)</f>
        <v>10.15</v>
      </c>
      <c r="R15" s="588">
        <f>SUM(R8:R14)</f>
        <v>674410.88</v>
      </c>
      <c r="T15" s="589" t="s">
        <v>538</v>
      </c>
      <c r="U15" s="585"/>
      <c r="V15" s="586"/>
      <c r="W15" s="587">
        <f>SUM(W8:W13)</f>
        <v>10.15</v>
      </c>
      <c r="X15" s="588">
        <f>SUM(X8:X14)</f>
        <v>674410.88</v>
      </c>
      <c r="Y15" s="59"/>
      <c r="Z15" s="589" t="s">
        <v>538</v>
      </c>
      <c r="AA15" s="585"/>
      <c r="AB15" s="586"/>
      <c r="AC15" s="587">
        <f>SUM(AC8:AC13)</f>
        <v>10.15</v>
      </c>
      <c r="AD15" s="588">
        <f>SUM(AD8:AD14)</f>
        <v>674410.88</v>
      </c>
      <c r="AF15" s="71" t="s">
        <v>275</v>
      </c>
      <c r="AG15" s="149">
        <v>1</v>
      </c>
      <c r="AH15" s="141" t="s">
        <v>279</v>
      </c>
    </row>
    <row r="16" spans="1:34" x14ac:dyDescent="0.2">
      <c r="A16" s="954"/>
      <c r="B16" s="949" t="s">
        <v>80</v>
      </c>
      <c r="C16" s="38"/>
      <c r="D16" s="239"/>
      <c r="E16" s="265">
        <f>'M2024 BLS  (53_PCT)'!C38</f>
        <v>0.24970000000000001</v>
      </c>
      <c r="F16" s="307">
        <f>F15*E16</f>
        <v>168400.396736</v>
      </c>
      <c r="H16" s="949" t="s">
        <v>80</v>
      </c>
      <c r="I16" s="38"/>
      <c r="J16" s="239"/>
      <c r="K16" s="265">
        <f>E16</f>
        <v>0.24970000000000001</v>
      </c>
      <c r="L16" s="307">
        <f>L15*K16</f>
        <v>168400.396736</v>
      </c>
      <c r="N16" s="949" t="s">
        <v>80</v>
      </c>
      <c r="O16" s="38"/>
      <c r="P16" s="239"/>
      <c r="Q16" s="265">
        <f>K16</f>
        <v>0.24970000000000001</v>
      </c>
      <c r="R16" s="307">
        <f>R15*Q16</f>
        <v>168400.396736</v>
      </c>
      <c r="T16" s="949" t="s">
        <v>80</v>
      </c>
      <c r="U16" s="38"/>
      <c r="V16" s="239"/>
      <c r="W16" s="265">
        <f>Q16</f>
        <v>0.24970000000000001</v>
      </c>
      <c r="X16" s="307">
        <f>X15*W16</f>
        <v>168400.396736</v>
      </c>
      <c r="Y16" s="59"/>
      <c r="Z16" s="949" t="s">
        <v>80</v>
      </c>
      <c r="AA16" s="38"/>
      <c r="AB16" s="239"/>
      <c r="AC16" s="265">
        <f>W16</f>
        <v>0.24970000000000001</v>
      </c>
      <c r="AD16" s="307">
        <f>AD15*AC16</f>
        <v>168400.396736</v>
      </c>
      <c r="AF16" s="100" t="s">
        <v>282</v>
      </c>
      <c r="AG16" s="150">
        <v>1</v>
      </c>
      <c r="AH16" s="142" t="s">
        <v>279</v>
      </c>
    </row>
    <row r="17" spans="1:34" ht="17.25" customHeight="1" thickBot="1" x14ac:dyDescent="0.25">
      <c r="A17" s="954"/>
      <c r="B17" s="950" t="s">
        <v>539</v>
      </c>
      <c r="C17" s="584"/>
      <c r="D17" s="584"/>
      <c r="E17" s="584"/>
      <c r="F17" s="605">
        <f>SUM(F15:F16)</f>
        <v>842811.27673599997</v>
      </c>
      <c r="H17" s="950" t="s">
        <v>539</v>
      </c>
      <c r="I17" s="584"/>
      <c r="J17" s="584"/>
      <c r="K17" s="584"/>
      <c r="L17" s="605">
        <f>SUM(L15:L16)</f>
        <v>842811.27673599997</v>
      </c>
      <c r="N17" s="950" t="s">
        <v>539</v>
      </c>
      <c r="O17" s="584"/>
      <c r="P17" s="584"/>
      <c r="Q17" s="584"/>
      <c r="R17" s="605">
        <f>SUM(R15:R16)</f>
        <v>842811.27673599997</v>
      </c>
      <c r="T17" s="950" t="s">
        <v>539</v>
      </c>
      <c r="U17" s="584"/>
      <c r="V17" s="584"/>
      <c r="W17" s="584"/>
      <c r="X17" s="605">
        <f>SUM(X15:X16)</f>
        <v>842811.27673599997</v>
      </c>
      <c r="Y17" s="59"/>
      <c r="Z17" s="950" t="s">
        <v>539</v>
      </c>
      <c r="AA17" s="584"/>
      <c r="AB17" s="584"/>
      <c r="AC17" s="584"/>
      <c r="AD17" s="605">
        <f>SUM(AD15:AD16)</f>
        <v>842811.27673599997</v>
      </c>
      <c r="AF17" s="104" t="s">
        <v>283</v>
      </c>
      <c r="AG17" s="146"/>
      <c r="AH17" s="144"/>
    </row>
    <row r="18" spans="1:34" ht="17.25" customHeight="1" thickTop="1" x14ac:dyDescent="0.2">
      <c r="A18" s="954"/>
      <c r="B18" s="73"/>
      <c r="C18" s="82"/>
      <c r="D18" s="82"/>
      <c r="E18" s="109"/>
      <c r="F18" s="640"/>
      <c r="H18" s="73"/>
      <c r="I18" s="82"/>
      <c r="J18" s="82"/>
      <c r="K18" s="109"/>
      <c r="L18" s="640"/>
      <c r="N18" s="73"/>
      <c r="O18" s="82"/>
      <c r="P18" s="82"/>
      <c r="Q18" s="109"/>
      <c r="R18" s="640"/>
      <c r="T18" s="73"/>
      <c r="U18" s="82"/>
      <c r="V18" s="82"/>
      <c r="W18" s="109"/>
      <c r="X18" s="640"/>
      <c r="Y18" s="59"/>
      <c r="Z18" s="73"/>
      <c r="AA18" s="82"/>
      <c r="AB18" s="82"/>
      <c r="AC18" s="109"/>
      <c r="AD18" s="640"/>
      <c r="AF18" s="107" t="s">
        <v>284</v>
      </c>
      <c r="AG18" s="151">
        <f>11.42*(2.71%+1)</f>
        <v>11.729481999999999</v>
      </c>
      <c r="AH18" s="141" t="s">
        <v>685</v>
      </c>
    </row>
    <row r="19" spans="1:34" ht="17.25" customHeight="1" x14ac:dyDescent="0.2">
      <c r="A19" s="421"/>
      <c r="B19" s="951" t="s">
        <v>540</v>
      </c>
      <c r="C19" s="82"/>
      <c r="D19" s="82"/>
      <c r="E19" s="109"/>
      <c r="F19" s="640"/>
      <c r="H19" s="951" t="s">
        <v>540</v>
      </c>
      <c r="I19" s="82"/>
      <c r="J19" s="82"/>
      <c r="K19" s="109"/>
      <c r="L19" s="640"/>
      <c r="N19" s="951" t="s">
        <v>540</v>
      </c>
      <c r="O19" s="82"/>
      <c r="P19" s="82"/>
      <c r="Q19" s="109"/>
      <c r="R19" s="640"/>
      <c r="T19" s="951" t="s">
        <v>540</v>
      </c>
      <c r="U19" s="82"/>
      <c r="V19" s="82"/>
      <c r="W19" s="109"/>
      <c r="X19" s="640"/>
      <c r="Y19" s="59"/>
      <c r="Z19" s="951" t="s">
        <v>540</v>
      </c>
      <c r="AA19" s="82"/>
      <c r="AB19" s="82"/>
      <c r="AC19" s="109"/>
      <c r="AD19" s="640"/>
      <c r="AF19" s="107" t="s">
        <v>285</v>
      </c>
      <c r="AG19" s="151">
        <f>'FY24 UFR CSN'!H37</f>
        <v>5.8850744843391904</v>
      </c>
      <c r="AH19" s="141" t="s">
        <v>675</v>
      </c>
    </row>
    <row r="20" spans="1:34" s="59" customFormat="1" x14ac:dyDescent="0.2">
      <c r="A20" s="952"/>
      <c r="B20" s="108" t="s">
        <v>83</v>
      </c>
      <c r="C20" s="82"/>
      <c r="D20" s="82"/>
      <c r="E20" s="109"/>
      <c r="F20" s="88">
        <f>F4*AG18</f>
        <v>491324.54201599996</v>
      </c>
      <c r="G20" s="58"/>
      <c r="H20" s="108" t="s">
        <v>83</v>
      </c>
      <c r="I20" s="82"/>
      <c r="J20" s="82"/>
      <c r="K20" s="109"/>
      <c r="L20" s="88">
        <f>L4*AG19</f>
        <v>252916.96103896105</v>
      </c>
      <c r="N20" s="108" t="s">
        <v>83</v>
      </c>
      <c r="O20" s="82"/>
      <c r="P20" s="82"/>
      <c r="Q20" s="109"/>
      <c r="R20" s="88">
        <f>R4*AG20</f>
        <v>251548.01298701297</v>
      </c>
      <c r="S20" s="58"/>
      <c r="T20" s="108" t="s">
        <v>83</v>
      </c>
      <c r="U20" s="82"/>
      <c r="V20" s="82"/>
      <c r="W20" s="109"/>
      <c r="X20" s="134">
        <f>X4*AG22</f>
        <v>645012.22655999998</v>
      </c>
      <c r="Z20" s="108" t="s">
        <v>83</v>
      </c>
      <c r="AA20" s="82"/>
      <c r="AB20" s="82"/>
      <c r="AC20" s="109"/>
      <c r="AD20" s="88">
        <f>AD4*AG21</f>
        <v>220695.85714285713</v>
      </c>
      <c r="AF20" s="107" t="s">
        <v>287</v>
      </c>
      <c r="AG20" s="151">
        <f>'FY24 UFR CSN'!H38</f>
        <v>6.7504297173414818</v>
      </c>
      <c r="AH20" s="141" t="s">
        <v>675</v>
      </c>
    </row>
    <row r="21" spans="1:34" s="59" customFormat="1" x14ac:dyDescent="0.2">
      <c r="A21" s="72"/>
      <c r="B21" s="108" t="s">
        <v>286</v>
      </c>
      <c r="C21" s="58"/>
      <c r="D21" s="58"/>
      <c r="E21" s="110"/>
      <c r="F21" s="88">
        <f>E15*AG24</f>
        <v>6004.8374400000002</v>
      </c>
      <c r="G21" s="58"/>
      <c r="H21" s="108" t="s">
        <v>286</v>
      </c>
      <c r="I21" s="58"/>
      <c r="J21" s="58"/>
      <c r="K21" s="110"/>
      <c r="L21" s="88">
        <f t="shared" ref="L21:L23" si="5">F21</f>
        <v>6004.8374400000002</v>
      </c>
      <c r="N21" s="108" t="s">
        <v>286</v>
      </c>
      <c r="O21" s="58"/>
      <c r="P21" s="58"/>
      <c r="Q21" s="110"/>
      <c r="R21" s="88">
        <f t="shared" ref="R21:R23" si="6">F21</f>
        <v>6004.8374400000002</v>
      </c>
      <c r="S21" s="58"/>
      <c r="T21" s="108" t="s">
        <v>286</v>
      </c>
      <c r="U21" s="58"/>
      <c r="V21" s="58"/>
      <c r="W21" s="110"/>
      <c r="X21" s="88">
        <f>R21</f>
        <v>6004.8374400000002</v>
      </c>
      <c r="Z21" s="108" t="s">
        <v>286</v>
      </c>
      <c r="AA21" s="58"/>
      <c r="AB21" s="58"/>
      <c r="AC21" s="110"/>
      <c r="AD21" s="160">
        <f>X21</f>
        <v>6004.8374400000002</v>
      </c>
      <c r="AF21" s="107" t="s">
        <v>289</v>
      </c>
      <c r="AG21" s="151">
        <f>'FY24 UFR CSN'!H39</f>
        <v>7.1173844537815123</v>
      </c>
      <c r="AH21" s="141" t="s">
        <v>675</v>
      </c>
    </row>
    <row r="22" spans="1:34" s="59" customFormat="1" x14ac:dyDescent="0.2">
      <c r="A22" s="72"/>
      <c r="B22" s="108" t="s">
        <v>288</v>
      </c>
      <c r="C22" s="58"/>
      <c r="D22" s="58"/>
      <c r="E22" s="110"/>
      <c r="F22" s="88">
        <f>AG25*12</f>
        <v>16084.385999999999</v>
      </c>
      <c r="G22" s="58"/>
      <c r="H22" s="108" t="s">
        <v>288</v>
      </c>
      <c r="I22" s="58"/>
      <c r="J22" s="58"/>
      <c r="K22" s="110"/>
      <c r="L22" s="88">
        <f t="shared" si="5"/>
        <v>16084.385999999999</v>
      </c>
      <c r="N22" s="108" t="s">
        <v>288</v>
      </c>
      <c r="O22" s="58"/>
      <c r="P22" s="58"/>
      <c r="Q22" s="110"/>
      <c r="R22" s="88">
        <f t="shared" si="6"/>
        <v>16084.385999999999</v>
      </c>
      <c r="S22" s="58"/>
      <c r="T22" s="108" t="s">
        <v>288</v>
      </c>
      <c r="U22" s="58"/>
      <c r="V22" s="58"/>
      <c r="W22" s="110"/>
      <c r="X22" s="88">
        <f t="shared" ref="X22:X23" si="7">R22</f>
        <v>16084.385999999999</v>
      </c>
      <c r="Z22" s="108" t="s">
        <v>288</v>
      </c>
      <c r="AA22" s="58"/>
      <c r="AB22" s="58"/>
      <c r="AC22" s="110"/>
      <c r="AD22" s="88">
        <f>R22</f>
        <v>16084.385999999999</v>
      </c>
      <c r="AF22" s="107" t="s">
        <v>291</v>
      </c>
      <c r="AG22" s="151">
        <f>20.8*(2.71%+1)</f>
        <v>21.363679999999999</v>
      </c>
      <c r="AH22" s="141" t="s">
        <v>685</v>
      </c>
    </row>
    <row r="23" spans="1:34" s="59" customFormat="1" ht="17.25" customHeight="1" x14ac:dyDescent="0.2">
      <c r="A23" s="72"/>
      <c r="B23" s="108" t="s">
        <v>290</v>
      </c>
      <c r="C23" s="58"/>
      <c r="D23" s="58"/>
      <c r="E23" s="110"/>
      <c r="F23" s="88">
        <f>AG26*3</f>
        <v>38201.957399999999</v>
      </c>
      <c r="G23" s="58"/>
      <c r="H23" s="108" t="s">
        <v>290</v>
      </c>
      <c r="I23" s="58"/>
      <c r="J23" s="58"/>
      <c r="K23" s="110"/>
      <c r="L23" s="88">
        <f t="shared" si="5"/>
        <v>38201.957399999999</v>
      </c>
      <c r="N23" s="108" t="s">
        <v>290</v>
      </c>
      <c r="O23" s="58"/>
      <c r="P23" s="58"/>
      <c r="Q23" s="110"/>
      <c r="R23" s="88">
        <f t="shared" si="6"/>
        <v>38201.957399999999</v>
      </c>
      <c r="S23" s="58"/>
      <c r="T23" s="108" t="s">
        <v>290</v>
      </c>
      <c r="U23" s="58"/>
      <c r="V23" s="58"/>
      <c r="W23" s="110"/>
      <c r="X23" s="88">
        <f t="shared" si="7"/>
        <v>38201.957399999999</v>
      </c>
      <c r="Z23" s="108" t="s">
        <v>290</v>
      </c>
      <c r="AA23" s="58"/>
      <c r="AB23" s="58"/>
      <c r="AC23" s="110"/>
      <c r="AD23" s="88">
        <f>R23</f>
        <v>38201.957399999999</v>
      </c>
      <c r="AF23" s="107" t="s">
        <v>80</v>
      </c>
      <c r="AG23" s="152">
        <f>'M2024 BLS  (53_PCT)'!C38</f>
        <v>0.24970000000000001</v>
      </c>
      <c r="AH23" s="57" t="s">
        <v>355</v>
      </c>
    </row>
    <row r="24" spans="1:34" s="59" customFormat="1" x14ac:dyDescent="0.2">
      <c r="A24" s="72"/>
      <c r="B24" s="108" t="s">
        <v>292</v>
      </c>
      <c r="C24" s="58"/>
      <c r="D24" s="58"/>
      <c r="E24" s="110"/>
      <c r="F24" s="88">
        <f>AG27*C4</f>
        <v>35589.014999999992</v>
      </c>
      <c r="G24" s="58"/>
      <c r="H24" s="108" t="s">
        <v>292</v>
      </c>
      <c r="I24" s="58"/>
      <c r="J24" s="58"/>
      <c r="K24" s="110"/>
      <c r="L24" s="88">
        <f>AG27*I4</f>
        <v>36513.404999999992</v>
      </c>
      <c r="N24" s="108" t="s">
        <v>292</v>
      </c>
      <c r="O24" s="58"/>
      <c r="P24" s="58"/>
      <c r="Q24" s="110"/>
      <c r="R24" s="88">
        <f>AG27*O4</f>
        <v>31660.357499999995</v>
      </c>
      <c r="S24" s="58"/>
      <c r="T24" s="108" t="s">
        <v>292</v>
      </c>
      <c r="U24" s="58"/>
      <c r="V24" s="58"/>
      <c r="W24" s="110"/>
      <c r="X24" s="88">
        <f>AG27*U4</f>
        <v>25651.822499999995</v>
      </c>
      <c r="Z24" s="108" t="s">
        <v>292</v>
      </c>
      <c r="AA24" s="58"/>
      <c r="AB24" s="58"/>
      <c r="AC24" s="110"/>
      <c r="AD24" s="88">
        <f>AG27*AA4</f>
        <v>26345.114999999998</v>
      </c>
      <c r="AF24" s="107" t="s">
        <v>286</v>
      </c>
      <c r="AG24" s="153">
        <f>576*(2.71%+1)</f>
        <v>591.6096</v>
      </c>
      <c r="AH24" s="141" t="s">
        <v>678</v>
      </c>
    </row>
    <row r="25" spans="1:34" s="59" customFormat="1" ht="17.25" customHeight="1" x14ac:dyDescent="0.2">
      <c r="A25" s="72"/>
      <c r="B25" s="108" t="s">
        <v>293</v>
      </c>
      <c r="C25" s="58"/>
      <c r="D25" s="58"/>
      <c r="E25" s="110"/>
      <c r="F25" s="88">
        <f>AG28*C4</f>
        <v>17873.5942</v>
      </c>
      <c r="G25" s="58"/>
      <c r="H25" s="108" t="s">
        <v>293</v>
      </c>
      <c r="I25" s="58"/>
      <c r="J25" s="58"/>
      <c r="K25" s="110"/>
      <c r="L25" s="88">
        <f>AG28*I4</f>
        <v>18337.843399999998</v>
      </c>
      <c r="N25" s="108" t="s">
        <v>293</v>
      </c>
      <c r="O25" s="58"/>
      <c r="P25" s="58"/>
      <c r="Q25" s="110"/>
      <c r="R25" s="88">
        <f>AG28*O4</f>
        <v>15900.535099999999</v>
      </c>
      <c r="S25" s="58"/>
      <c r="T25" s="108" t="s">
        <v>293</v>
      </c>
      <c r="U25" s="58"/>
      <c r="V25" s="58"/>
      <c r="W25" s="110"/>
      <c r="X25" s="88">
        <f>AG28*U4</f>
        <v>12882.915299999999</v>
      </c>
      <c r="Z25" s="108" t="s">
        <v>293</v>
      </c>
      <c r="AA25" s="58"/>
      <c r="AB25" s="58"/>
      <c r="AC25" s="110"/>
      <c r="AD25" s="88">
        <f>AG28*AA4</f>
        <v>13231.102199999999</v>
      </c>
      <c r="AF25" s="107" t="s">
        <v>295</v>
      </c>
      <c r="AG25" s="153">
        <f>1305*(2.71%+1)</f>
        <v>1340.3654999999999</v>
      </c>
      <c r="AH25" s="141" t="s">
        <v>404</v>
      </c>
    </row>
    <row r="26" spans="1:34" s="59" customFormat="1" ht="18.75" customHeight="1" thickBot="1" x14ac:dyDescent="0.25">
      <c r="A26" s="72"/>
      <c r="B26" s="101" t="s">
        <v>294</v>
      </c>
      <c r="C26" s="102"/>
      <c r="D26" s="102"/>
      <c r="E26" s="111"/>
      <c r="F26" s="103">
        <f>AG29*C4</f>
        <v>89526.14439999999</v>
      </c>
      <c r="G26" s="58"/>
      <c r="H26" s="101" t="s">
        <v>294</v>
      </c>
      <c r="I26" s="102"/>
      <c r="J26" s="102"/>
      <c r="K26" s="111"/>
      <c r="L26" s="103">
        <f>AG29*I4</f>
        <v>91851.498799999987</v>
      </c>
      <c r="N26" s="101" t="s">
        <v>294</v>
      </c>
      <c r="O26" s="102"/>
      <c r="P26" s="102"/>
      <c r="Q26" s="111"/>
      <c r="R26" s="103">
        <f>AG29*O4</f>
        <v>79643.388199999987</v>
      </c>
      <c r="S26" s="58"/>
      <c r="T26" s="101" t="s">
        <v>294</v>
      </c>
      <c r="U26" s="102"/>
      <c r="V26" s="102"/>
      <c r="W26" s="111"/>
      <c r="X26" s="103">
        <f>AG29*U4</f>
        <v>64528.584599999995</v>
      </c>
      <c r="Z26" s="101" t="s">
        <v>294</v>
      </c>
      <c r="AA26" s="102"/>
      <c r="AB26" s="102"/>
      <c r="AC26" s="111"/>
      <c r="AD26" s="103">
        <f>AG29*AA4</f>
        <v>66272.600399999996</v>
      </c>
      <c r="AF26" s="107" t="s">
        <v>290</v>
      </c>
      <c r="AG26" s="153">
        <f>12398*(2.71%+1)</f>
        <v>12733.985799999999</v>
      </c>
      <c r="AH26" s="141" t="s">
        <v>679</v>
      </c>
    </row>
    <row r="27" spans="1:34" s="59" customFormat="1" ht="14.25" thickTop="1" thickBot="1" x14ac:dyDescent="0.25">
      <c r="A27" s="72"/>
      <c r="B27" s="1045" t="s">
        <v>541</v>
      </c>
      <c r="C27" s="1072"/>
      <c r="D27" s="105"/>
      <c r="E27" s="112"/>
      <c r="F27" s="106">
        <f>SUM(F20:F26)</f>
        <v>694604.476456</v>
      </c>
      <c r="G27" s="58"/>
      <c r="H27" s="1045" t="s">
        <v>541</v>
      </c>
      <c r="I27" s="1072"/>
      <c r="J27" s="105"/>
      <c r="K27" s="112"/>
      <c r="L27" s="106">
        <f>SUM(L20:L26)</f>
        <v>459910.88907896105</v>
      </c>
      <c r="N27" s="1045" t="s">
        <v>541</v>
      </c>
      <c r="O27" s="1072"/>
      <c r="P27" s="105"/>
      <c r="Q27" s="112"/>
      <c r="R27" s="106">
        <f>SUM(R20:R26)</f>
        <v>439043.47462701291</v>
      </c>
      <c r="S27" s="58"/>
      <c r="T27" s="1045" t="s">
        <v>541</v>
      </c>
      <c r="U27" s="1072"/>
      <c r="V27" s="105"/>
      <c r="W27" s="112"/>
      <c r="X27" s="132">
        <f>SUM(X20:X26)</f>
        <v>808366.72979999986</v>
      </c>
      <c r="Z27" s="1045" t="s">
        <v>541</v>
      </c>
      <c r="AA27" s="1072"/>
      <c r="AB27" s="105"/>
      <c r="AC27" s="112"/>
      <c r="AD27" s="106">
        <f>SUM(AD20:AD26)</f>
        <v>386835.85558285716</v>
      </c>
      <c r="AF27" s="107" t="s">
        <v>296</v>
      </c>
      <c r="AG27" s="153">
        <f>225*(2.71%+1)</f>
        <v>231.09749999999997</v>
      </c>
      <c r="AH27" s="141" t="s">
        <v>403</v>
      </c>
    </row>
    <row r="28" spans="1:34" s="59" customFormat="1" ht="13.5" thickTop="1" x14ac:dyDescent="0.2">
      <c r="A28" s="72"/>
      <c r="B28" s="607"/>
      <c r="C28" s="34"/>
      <c r="D28" s="82"/>
      <c r="E28" s="83"/>
      <c r="F28" s="640"/>
      <c r="G28" s="58"/>
      <c r="H28" s="607"/>
      <c r="I28" s="34"/>
      <c r="J28" s="82"/>
      <c r="K28" s="83"/>
      <c r="L28" s="640"/>
      <c r="N28" s="607"/>
      <c r="O28" s="34"/>
      <c r="P28" s="82"/>
      <c r="Q28" s="83"/>
      <c r="R28" s="640"/>
      <c r="S28" s="58"/>
      <c r="T28" s="607"/>
      <c r="U28" s="34"/>
      <c r="V28" s="82"/>
      <c r="W28" s="83"/>
      <c r="X28" s="641"/>
      <c r="Z28" s="607"/>
      <c r="AA28" s="34"/>
      <c r="AB28" s="82"/>
      <c r="AC28" s="83"/>
      <c r="AD28" s="640"/>
      <c r="AF28" s="107" t="s">
        <v>298</v>
      </c>
      <c r="AG28" s="153">
        <f>113*(2.71%+1)</f>
        <v>116.06229999999999</v>
      </c>
      <c r="AH28" s="141" t="s">
        <v>403</v>
      </c>
    </row>
    <row r="29" spans="1:34" s="59" customFormat="1" x14ac:dyDescent="0.2">
      <c r="A29" s="72"/>
      <c r="B29" s="1061" t="s">
        <v>357</v>
      </c>
      <c r="C29" s="1069"/>
      <c r="D29" s="422"/>
      <c r="E29" s="423"/>
      <c r="F29" s="424">
        <f>F17+F27</f>
        <v>1537415.7531920001</v>
      </c>
      <c r="G29" s="58"/>
      <c r="H29" s="1061" t="s">
        <v>357</v>
      </c>
      <c r="I29" s="1069"/>
      <c r="J29" s="422"/>
      <c r="K29" s="423"/>
      <c r="L29" s="424">
        <f>L27+L17</f>
        <v>1302722.1658149611</v>
      </c>
      <c r="N29" s="1061" t="s">
        <v>357</v>
      </c>
      <c r="O29" s="1069"/>
      <c r="P29" s="422"/>
      <c r="Q29" s="423"/>
      <c r="R29" s="424">
        <f>R27+R17</f>
        <v>1281854.7513630129</v>
      </c>
      <c r="S29" s="58"/>
      <c r="T29" s="1061" t="s">
        <v>357</v>
      </c>
      <c r="U29" s="1069"/>
      <c r="V29" s="422"/>
      <c r="W29" s="423"/>
      <c r="X29" s="424">
        <f>X27+X17</f>
        <v>1651178.0065359999</v>
      </c>
      <c r="Z29" s="1061" t="s">
        <v>357</v>
      </c>
      <c r="AA29" s="1069"/>
      <c r="AB29" s="422"/>
      <c r="AC29" s="423"/>
      <c r="AD29" s="424">
        <f>AD27+AD17</f>
        <v>1229647.1323188571</v>
      </c>
      <c r="AF29" s="107" t="s">
        <v>299</v>
      </c>
      <c r="AG29" s="153">
        <f>566*(2.71%+1)</f>
        <v>581.33859999999993</v>
      </c>
      <c r="AH29" s="141" t="s">
        <v>403</v>
      </c>
    </row>
    <row r="30" spans="1:34" s="59" customFormat="1" x14ac:dyDescent="0.2">
      <c r="A30" s="58"/>
      <c r="B30" s="241" t="s">
        <v>89</v>
      </c>
      <c r="C30" s="33"/>
      <c r="D30" s="346">
        <f>AG30</f>
        <v>0.12</v>
      </c>
      <c r="E30" s="353"/>
      <c r="F30" s="336">
        <f>F29*D30</f>
        <v>184489.89038304001</v>
      </c>
      <c r="G30" s="58"/>
      <c r="H30" s="241" t="s">
        <v>89</v>
      </c>
      <c r="I30" s="33"/>
      <c r="J30" s="346">
        <f>D30</f>
        <v>0.12</v>
      </c>
      <c r="K30" s="353"/>
      <c r="L30" s="336">
        <f>L29*J30</f>
        <v>156326.65989779533</v>
      </c>
      <c r="N30" s="241" t="s">
        <v>89</v>
      </c>
      <c r="O30" s="33"/>
      <c r="P30" s="346">
        <f>J30</f>
        <v>0.12</v>
      </c>
      <c r="Q30" s="353"/>
      <c r="R30" s="336">
        <f>R29*P30</f>
        <v>153822.57016356156</v>
      </c>
      <c r="S30" s="58"/>
      <c r="T30" s="241" t="s">
        <v>89</v>
      </c>
      <c r="U30" s="33"/>
      <c r="V30" s="346">
        <f>P30</f>
        <v>0.12</v>
      </c>
      <c r="W30" s="353"/>
      <c r="X30" s="336">
        <f>X29*V30</f>
        <v>198141.36078431999</v>
      </c>
      <c r="Y30" s="58"/>
      <c r="Z30" s="241" t="s">
        <v>89</v>
      </c>
      <c r="AA30" s="33"/>
      <c r="AB30" s="346">
        <f>V30</f>
        <v>0.12</v>
      </c>
      <c r="AC30" s="353"/>
      <c r="AD30" s="336">
        <f>AD29*AB30</f>
        <v>147557.65587826286</v>
      </c>
      <c r="AF30" s="157" t="s">
        <v>297</v>
      </c>
      <c r="AG30" s="158">
        <v>0.12</v>
      </c>
      <c r="AH30" s="41" t="s">
        <v>355</v>
      </c>
    </row>
    <row r="31" spans="1:34" s="59" customFormat="1" ht="13.5" thickBot="1" x14ac:dyDescent="0.25">
      <c r="A31" s="58"/>
      <c r="B31" s="241" t="s">
        <v>46</v>
      </c>
      <c r="C31" s="33"/>
      <c r="D31" s="346">
        <f>'CAF Spring 2025'!CT26</f>
        <v>2.5282070971092779E-2</v>
      </c>
      <c r="E31" s="38"/>
      <c r="F31" s="307">
        <f>D31*(F29+F30)</f>
        <v>43533.340686389354</v>
      </c>
      <c r="G31" s="58"/>
      <c r="H31" s="241" t="s">
        <v>46</v>
      </c>
      <c r="I31" s="33"/>
      <c r="J31" s="346">
        <f>D31</f>
        <v>2.5282070971092779E-2</v>
      </c>
      <c r="K31" s="38"/>
      <c r="L31" s="307">
        <f>J31*(L29+L30)</f>
        <v>36887.775961959487</v>
      </c>
      <c r="N31" s="241" t="s">
        <v>46</v>
      </c>
      <c r="O31" s="33"/>
      <c r="P31" s="346">
        <f>J31</f>
        <v>2.5282070971092779E-2</v>
      </c>
      <c r="Q31" s="38"/>
      <c r="R31" s="307">
        <f>P31*(R29+R30)</f>
        <v>36296.895934423243</v>
      </c>
      <c r="S31" s="58"/>
      <c r="T31" s="241" t="s">
        <v>46</v>
      </c>
      <c r="U31" s="33"/>
      <c r="V31" s="346">
        <f>P31</f>
        <v>2.5282070971092779E-2</v>
      </c>
      <c r="W31" s="38"/>
      <c r="X31" s="307">
        <f>V31*(X29+X30)</f>
        <v>46754.623492808721</v>
      </c>
      <c r="Y31" s="58"/>
      <c r="Z31" s="241" t="s">
        <v>46</v>
      </c>
      <c r="AA31" s="33"/>
      <c r="AB31" s="346">
        <f>V31</f>
        <v>2.5282070971092779E-2</v>
      </c>
      <c r="AC31" s="38"/>
      <c r="AD31" s="307">
        <f>AB31*(AD29+AD30)</f>
        <v>34818.589196928384</v>
      </c>
      <c r="AF31" s="115" t="s">
        <v>665</v>
      </c>
      <c r="AG31" s="154">
        <f>'CAF Spring 2025'!CT26</f>
        <v>2.5282070971092779E-2</v>
      </c>
      <c r="AH31" s="145" t="s">
        <v>689</v>
      </c>
    </row>
    <row r="32" spans="1:34" s="59" customFormat="1" ht="17.25" customHeight="1" thickBot="1" x14ac:dyDescent="0.25">
      <c r="A32" s="58"/>
      <c r="B32" s="98" t="s">
        <v>91</v>
      </c>
      <c r="C32" s="113"/>
      <c r="D32" s="113"/>
      <c r="E32" s="114"/>
      <c r="F32" s="99">
        <f>SUM(F29:F31)</f>
        <v>1765438.9842614294</v>
      </c>
      <c r="G32" s="58"/>
      <c r="H32" s="98" t="s">
        <v>91</v>
      </c>
      <c r="I32" s="113"/>
      <c r="J32" s="113"/>
      <c r="K32" s="114"/>
      <c r="L32" s="99">
        <f>SUM(L29:L31)</f>
        <v>1495936.601674716</v>
      </c>
      <c r="N32" s="98" t="s">
        <v>91</v>
      </c>
      <c r="O32" s="113"/>
      <c r="P32" s="113"/>
      <c r="Q32" s="114"/>
      <c r="R32" s="99">
        <f>SUM(R29:R31)</f>
        <v>1471974.2174609976</v>
      </c>
      <c r="S32" s="58"/>
      <c r="T32" s="98" t="s">
        <v>91</v>
      </c>
      <c r="U32" s="113"/>
      <c r="V32" s="113"/>
      <c r="W32" s="114"/>
      <c r="X32" s="99">
        <f>SUM(X29:X31)</f>
        <v>1896073.9908131287</v>
      </c>
      <c r="Y32" s="58"/>
      <c r="Z32" s="98" t="s">
        <v>91</v>
      </c>
      <c r="AA32" s="113"/>
      <c r="AB32" s="113"/>
      <c r="AC32" s="114"/>
      <c r="AD32" s="99">
        <f>SUM(AD29:AD31)</f>
        <v>1412023.3773940483</v>
      </c>
    </row>
    <row r="33" spans="1:34" s="59" customFormat="1" x14ac:dyDescent="0.2">
      <c r="A33" s="58"/>
      <c r="B33" s="108"/>
      <c r="C33" s="58"/>
      <c r="D33" s="58"/>
      <c r="E33" s="60"/>
      <c r="F33" s="116" t="s">
        <v>300</v>
      </c>
      <c r="G33" s="58"/>
      <c r="H33" s="108"/>
      <c r="I33" s="58"/>
      <c r="J33" s="58"/>
      <c r="K33" s="60"/>
      <c r="L33" s="116" t="s">
        <v>300</v>
      </c>
      <c r="N33" s="108"/>
      <c r="O33" s="58"/>
      <c r="P33" s="58"/>
      <c r="Q33" s="60"/>
      <c r="R33" s="116" t="s">
        <v>300</v>
      </c>
      <c r="S33" s="58"/>
      <c r="T33" s="108"/>
      <c r="U33" s="58"/>
      <c r="V33" s="58"/>
      <c r="W33" s="60"/>
      <c r="X33" s="135" t="s">
        <v>300</v>
      </c>
      <c r="Y33" s="69"/>
      <c r="Z33" s="108"/>
      <c r="AA33" s="58"/>
      <c r="AB33" s="58"/>
      <c r="AC33" s="60"/>
      <c r="AD33" s="116" t="s">
        <v>300</v>
      </c>
    </row>
    <row r="34" spans="1:34" s="59" customFormat="1" ht="15" customHeight="1" thickBot="1" x14ac:dyDescent="0.25">
      <c r="A34" s="58"/>
      <c r="B34" s="118" t="s">
        <v>302</v>
      </c>
      <c r="C34" s="119"/>
      <c r="D34" s="119"/>
      <c r="E34" s="120"/>
      <c r="F34" s="121">
        <f>F32/F4</f>
        <v>42.146652603643751</v>
      </c>
      <c r="G34" s="58"/>
      <c r="H34" s="118" t="s">
        <v>302</v>
      </c>
      <c r="I34" s="119"/>
      <c r="J34" s="119"/>
      <c r="K34" s="120"/>
      <c r="L34" s="121">
        <f>(L32/L4)-0.1</f>
        <v>34.708651379251577</v>
      </c>
      <c r="N34" s="118" t="s">
        <v>302</v>
      </c>
      <c r="O34" s="119"/>
      <c r="P34" s="119"/>
      <c r="Q34" s="120"/>
      <c r="R34" s="121">
        <f>(R32/R4)+0.49</f>
        <v>39.991240271065848</v>
      </c>
      <c r="S34" s="58"/>
      <c r="T34" s="118" t="s">
        <v>302</v>
      </c>
      <c r="U34" s="119"/>
      <c r="V34" s="119"/>
      <c r="W34" s="120"/>
      <c r="X34" s="136">
        <f>(X32/X4)+1.52</f>
        <v>64.320542885967427</v>
      </c>
      <c r="Y34" s="58"/>
      <c r="Z34" s="118" t="s">
        <v>302</v>
      </c>
      <c r="AA34" s="119"/>
      <c r="AB34" s="119"/>
      <c r="AC34" s="120"/>
      <c r="AD34" s="121">
        <f>(AD32/AD4)+1.37</f>
        <v>46.907389621841077</v>
      </c>
    </row>
    <row r="35" spans="1:34" s="59" customFormat="1" x14ac:dyDescent="0.2">
      <c r="A35" s="58"/>
      <c r="B35" s="58"/>
      <c r="C35" s="58"/>
      <c r="D35" s="123"/>
      <c r="E35" s="124"/>
      <c r="F35" s="125"/>
      <c r="G35" s="156"/>
      <c r="H35" s="58"/>
      <c r="I35" s="58"/>
      <c r="J35" s="123"/>
      <c r="K35" s="124"/>
      <c r="L35" s="127"/>
      <c r="M35" s="159"/>
      <c r="N35" s="60"/>
      <c r="O35" s="61"/>
      <c r="P35" s="61"/>
      <c r="Q35" s="58"/>
      <c r="R35" s="58"/>
      <c r="S35" s="58"/>
      <c r="T35" s="58"/>
      <c r="U35" s="58"/>
      <c r="V35" s="58"/>
      <c r="W35" s="58"/>
      <c r="X35" s="58"/>
      <c r="Y35" s="58"/>
      <c r="Z35" s="58"/>
      <c r="AA35" s="58"/>
      <c r="AB35" s="58"/>
      <c r="AC35" s="58"/>
      <c r="AD35" s="58"/>
      <c r="AF35" s="58"/>
      <c r="AG35" s="58"/>
      <c r="AH35" s="58"/>
    </row>
    <row r="36" spans="1:34" s="59" customFormat="1" x14ac:dyDescent="0.2">
      <c r="A36" s="58"/>
      <c r="B36" s="58"/>
      <c r="C36" s="58"/>
      <c r="D36" s="123"/>
      <c r="E36" s="124"/>
      <c r="F36" s="125"/>
      <c r="G36" s="156"/>
      <c r="H36" s="58"/>
      <c r="I36" s="58"/>
      <c r="J36" s="123"/>
      <c r="K36" s="124"/>
      <c r="L36" s="127"/>
      <c r="N36" s="60"/>
      <c r="O36" s="61"/>
      <c r="P36" s="61"/>
      <c r="Q36" s="58"/>
      <c r="R36" s="58"/>
      <c r="S36" s="58"/>
      <c r="T36" s="58"/>
      <c r="U36" s="58"/>
      <c r="V36" s="58"/>
      <c r="W36" s="58"/>
      <c r="X36" s="58"/>
      <c r="Y36" s="58"/>
      <c r="Z36" s="58"/>
      <c r="AA36" s="58"/>
      <c r="AB36" s="58"/>
      <c r="AC36" s="58"/>
      <c r="AD36" s="58"/>
      <c r="AF36" s="58"/>
      <c r="AG36" s="58"/>
      <c r="AH36" s="58"/>
    </row>
    <row r="37" spans="1:34" s="59" customFormat="1" x14ac:dyDescent="0.2">
      <c r="A37" s="58"/>
      <c r="N37" s="60"/>
      <c r="O37" s="61"/>
      <c r="P37" s="61"/>
      <c r="Q37" s="58"/>
      <c r="R37" s="58"/>
      <c r="S37" s="58"/>
      <c r="T37" s="58"/>
      <c r="U37" s="58"/>
      <c r="V37" s="58"/>
      <c r="W37" s="58"/>
      <c r="X37" s="58"/>
      <c r="Y37" s="58"/>
      <c r="Z37" s="58"/>
      <c r="AA37" s="58"/>
      <c r="AB37" s="58"/>
      <c r="AC37" s="58"/>
      <c r="AD37" s="58"/>
      <c r="AF37" s="58"/>
      <c r="AG37" s="58"/>
      <c r="AH37" s="58"/>
    </row>
    <row r="39" spans="1:34" ht="21.75" customHeight="1" x14ac:dyDescent="0.2">
      <c r="M39" s="128"/>
    </row>
    <row r="40" spans="1:34" ht="23.25" customHeight="1" x14ac:dyDescent="0.2">
      <c r="A40" s="62"/>
    </row>
    <row r="41" spans="1:34" s="69" customFormat="1" ht="18.75" customHeight="1" x14ac:dyDescent="0.2">
      <c r="A41" s="63"/>
      <c r="M41" s="70"/>
      <c r="N41" s="60"/>
      <c r="O41" s="61"/>
      <c r="P41" s="61"/>
      <c r="Q41" s="58"/>
      <c r="R41" s="58"/>
      <c r="S41" s="58"/>
      <c r="T41" s="58"/>
      <c r="U41" s="58"/>
      <c r="V41" s="58"/>
      <c r="W41" s="58"/>
      <c r="X41" s="58"/>
      <c r="Y41" s="58"/>
      <c r="Z41" s="58"/>
      <c r="AA41" s="58"/>
      <c r="AB41" s="58"/>
      <c r="AC41" s="58"/>
      <c r="AD41" s="58"/>
      <c r="AF41" s="58"/>
      <c r="AG41" s="58"/>
      <c r="AH41" s="58"/>
    </row>
    <row r="42" spans="1:34" x14ac:dyDescent="0.2">
      <c r="A42" s="72"/>
    </row>
    <row r="43" spans="1:34" ht="15" customHeight="1" x14ac:dyDescent="0.2">
      <c r="A43" s="72"/>
    </row>
    <row r="44" spans="1:34" ht="15.75" customHeight="1" x14ac:dyDescent="0.2">
      <c r="A44" s="80"/>
    </row>
    <row r="45" spans="1:34" x14ac:dyDescent="0.2">
      <c r="A45" s="80"/>
    </row>
    <row r="46" spans="1:34" ht="22.9" customHeight="1" x14ac:dyDescent="0.2">
      <c r="A46" s="72"/>
      <c r="Q46" s="59"/>
      <c r="R46" s="59"/>
      <c r="S46" s="59"/>
      <c r="T46" s="59"/>
      <c r="U46" s="59"/>
      <c r="V46" s="59"/>
      <c r="W46" s="59"/>
      <c r="X46" s="59"/>
      <c r="Y46" s="59"/>
      <c r="Z46" s="59"/>
      <c r="AA46" s="59"/>
      <c r="AB46" s="59"/>
      <c r="AC46" s="59"/>
      <c r="AD46" s="59"/>
    </row>
    <row r="47" spans="1:34" ht="40.9" customHeight="1" x14ac:dyDescent="0.2">
      <c r="A47" s="72"/>
      <c r="N47" s="59"/>
      <c r="Q47" s="59"/>
      <c r="R47" s="59"/>
      <c r="S47" s="59"/>
      <c r="T47" s="59"/>
      <c r="U47" s="59"/>
      <c r="V47" s="59"/>
      <c r="W47" s="59"/>
      <c r="X47" s="59"/>
      <c r="Y47" s="59"/>
      <c r="Z47" s="59"/>
      <c r="AA47" s="59"/>
      <c r="AB47" s="59"/>
      <c r="AC47" s="59"/>
      <c r="AD47" s="59"/>
    </row>
    <row r="48" spans="1:34" x14ac:dyDescent="0.2">
      <c r="A48" s="72"/>
      <c r="N48" s="59"/>
      <c r="Q48" s="59"/>
      <c r="R48" s="59"/>
      <c r="S48" s="59"/>
      <c r="T48" s="59"/>
      <c r="U48" s="59"/>
      <c r="V48" s="59"/>
      <c r="W48" s="59"/>
      <c r="X48" s="59"/>
      <c r="Y48" s="59"/>
      <c r="Z48" s="59"/>
      <c r="AA48" s="59"/>
      <c r="AB48" s="59"/>
      <c r="AC48" s="59"/>
      <c r="AD48" s="59"/>
    </row>
    <row r="49" spans="1:34" x14ac:dyDescent="0.2">
      <c r="A49" s="72"/>
      <c r="N49" s="59"/>
      <c r="Q49" s="59"/>
      <c r="R49" s="59"/>
      <c r="S49" s="59"/>
      <c r="T49" s="59"/>
      <c r="U49" s="59"/>
      <c r="V49" s="59"/>
      <c r="W49" s="59"/>
      <c r="X49" s="59"/>
      <c r="Y49" s="59"/>
      <c r="Z49" s="59"/>
      <c r="AA49" s="59"/>
      <c r="AB49" s="59"/>
      <c r="AC49" s="59"/>
      <c r="AD49" s="59"/>
    </row>
    <row r="50" spans="1:34" x14ac:dyDescent="0.2">
      <c r="A50" s="72"/>
      <c r="N50" s="59"/>
      <c r="Q50" s="59"/>
      <c r="R50" s="59"/>
      <c r="S50" s="59"/>
      <c r="T50" s="59"/>
      <c r="U50" s="59"/>
      <c r="V50" s="59"/>
      <c r="W50" s="59"/>
      <c r="X50" s="59"/>
      <c r="Y50" s="59"/>
      <c r="Z50" s="59"/>
      <c r="AA50" s="59"/>
      <c r="AB50" s="59"/>
      <c r="AC50" s="59"/>
      <c r="AD50" s="59"/>
    </row>
    <row r="51" spans="1:34" x14ac:dyDescent="0.2">
      <c r="A51" s="72"/>
      <c r="N51" s="59"/>
      <c r="Q51" s="59"/>
      <c r="R51" s="59"/>
      <c r="S51" s="59"/>
      <c r="T51" s="59"/>
      <c r="U51" s="59"/>
      <c r="V51" s="59"/>
      <c r="W51" s="59"/>
      <c r="X51" s="59"/>
      <c r="Y51" s="59"/>
      <c r="Z51" s="59"/>
      <c r="AA51" s="59"/>
      <c r="AB51" s="59"/>
      <c r="AC51" s="59"/>
      <c r="AD51" s="59"/>
    </row>
    <row r="52" spans="1:34" x14ac:dyDescent="0.2">
      <c r="A52" s="72"/>
      <c r="N52" s="59"/>
      <c r="Q52" s="59"/>
      <c r="R52" s="59"/>
      <c r="S52" s="59"/>
      <c r="T52" s="59"/>
      <c r="U52" s="59"/>
      <c r="V52" s="59"/>
      <c r="W52" s="59"/>
      <c r="X52" s="59"/>
      <c r="Y52" s="59"/>
      <c r="Z52" s="59"/>
      <c r="AA52" s="59"/>
      <c r="AB52" s="59"/>
      <c r="AC52" s="59"/>
      <c r="AD52" s="59"/>
    </row>
    <row r="53" spans="1:34" ht="17.25" customHeight="1" x14ac:dyDescent="0.2">
      <c r="A53" s="72"/>
      <c r="N53" s="59"/>
      <c r="Q53" s="59"/>
      <c r="R53" s="59"/>
      <c r="S53" s="59"/>
      <c r="T53" s="59"/>
      <c r="U53" s="59"/>
      <c r="V53" s="59"/>
      <c r="W53" s="59"/>
      <c r="X53" s="59"/>
      <c r="Y53" s="59"/>
      <c r="Z53" s="59"/>
      <c r="AA53" s="59"/>
      <c r="AB53" s="59"/>
      <c r="AC53" s="59"/>
      <c r="AD53" s="59"/>
    </row>
    <row r="54" spans="1:34" s="59" customFormat="1" x14ac:dyDescent="0.2">
      <c r="A54" s="72"/>
      <c r="O54" s="61"/>
      <c r="P54" s="61"/>
      <c r="AF54" s="58"/>
      <c r="AG54" s="58"/>
      <c r="AH54" s="58"/>
    </row>
    <row r="55" spans="1:34" s="59" customFormat="1" x14ac:dyDescent="0.2">
      <c r="A55" s="72"/>
      <c r="O55" s="61"/>
      <c r="P55" s="61"/>
      <c r="AF55" s="58"/>
      <c r="AG55" s="58"/>
      <c r="AH55" s="58"/>
    </row>
    <row r="56" spans="1:34" s="59" customFormat="1" x14ac:dyDescent="0.2">
      <c r="A56" s="72"/>
      <c r="O56" s="61"/>
      <c r="P56" s="61"/>
      <c r="AF56" s="58"/>
      <c r="AG56" s="58"/>
      <c r="AH56" s="58"/>
    </row>
    <row r="57" spans="1:34" s="59" customFormat="1" ht="17.25" customHeight="1" x14ac:dyDescent="0.2">
      <c r="A57" s="72"/>
      <c r="O57" s="61"/>
      <c r="P57" s="61"/>
      <c r="AF57" s="58"/>
      <c r="AG57" s="58"/>
      <c r="AH57" s="58"/>
    </row>
    <row r="58" spans="1:34" s="59" customFormat="1" ht="15.75" customHeight="1" x14ac:dyDescent="0.2">
      <c r="A58" s="72"/>
      <c r="O58" s="61"/>
      <c r="P58" s="61"/>
      <c r="AF58" s="58"/>
      <c r="AG58" s="58"/>
      <c r="AH58" s="58"/>
    </row>
    <row r="59" spans="1:34" s="59" customFormat="1" ht="17.25" customHeight="1" x14ac:dyDescent="0.2">
      <c r="A59" s="72"/>
      <c r="O59" s="61"/>
      <c r="P59" s="61"/>
      <c r="AF59" s="58"/>
      <c r="AG59" s="58"/>
      <c r="AH59" s="58"/>
    </row>
    <row r="60" spans="1:34" s="59" customFormat="1" ht="18.75" customHeight="1" x14ac:dyDescent="0.2">
      <c r="A60" s="72"/>
      <c r="O60" s="61"/>
      <c r="P60" s="61"/>
      <c r="AF60" s="58"/>
      <c r="AG60" s="58"/>
      <c r="AH60" s="58"/>
    </row>
    <row r="61" spans="1:34" s="59" customFormat="1" x14ac:dyDescent="0.2">
      <c r="A61" s="72"/>
      <c r="O61" s="61"/>
      <c r="P61" s="61"/>
      <c r="AF61" s="58"/>
      <c r="AG61" s="58"/>
      <c r="AH61" s="58"/>
    </row>
    <row r="62" spans="1:34" s="59" customFormat="1" x14ac:dyDescent="0.2">
      <c r="A62" s="72"/>
      <c r="O62" s="61"/>
      <c r="P62" s="61"/>
      <c r="AF62" s="58"/>
      <c r="AG62" s="58"/>
      <c r="AH62" s="58"/>
    </row>
    <row r="63" spans="1:34" s="59" customFormat="1" x14ac:dyDescent="0.2">
      <c r="A63" s="58"/>
      <c r="N63" s="60"/>
      <c r="O63" s="61"/>
      <c r="P63" s="61"/>
      <c r="Q63" s="58"/>
      <c r="R63" s="58"/>
      <c r="S63" s="58"/>
      <c r="T63" s="58"/>
      <c r="U63" s="58"/>
      <c r="V63" s="58"/>
      <c r="W63" s="58"/>
      <c r="X63" s="58"/>
      <c r="Y63" s="58"/>
      <c r="Z63" s="58"/>
      <c r="AA63" s="58"/>
      <c r="AB63" s="58"/>
      <c r="AC63" s="58"/>
      <c r="AD63" s="58"/>
      <c r="AF63" s="58"/>
      <c r="AG63" s="58"/>
      <c r="AH63" s="58"/>
    </row>
    <row r="64" spans="1:34" s="59" customFormat="1" x14ac:dyDescent="0.2">
      <c r="A64" s="58"/>
      <c r="N64" s="60"/>
      <c r="O64" s="61"/>
      <c r="P64" s="61"/>
      <c r="Q64" s="58"/>
      <c r="R64" s="58"/>
      <c r="S64" s="58"/>
      <c r="T64" s="58"/>
      <c r="U64" s="58"/>
      <c r="V64" s="58"/>
      <c r="W64" s="58"/>
      <c r="X64" s="58"/>
      <c r="Y64" s="58"/>
      <c r="Z64" s="58"/>
      <c r="AA64" s="58"/>
      <c r="AB64" s="58"/>
      <c r="AC64" s="58"/>
      <c r="AD64" s="58"/>
      <c r="AF64" s="58"/>
      <c r="AG64" s="58"/>
      <c r="AH64" s="58"/>
    </row>
    <row r="65" spans="1:34" s="59" customFormat="1" ht="17.25" customHeight="1" x14ac:dyDescent="0.2">
      <c r="A65" s="58"/>
      <c r="B65" s="58"/>
      <c r="C65" s="58"/>
      <c r="D65" s="58"/>
      <c r="E65" s="60"/>
      <c r="F65" s="137"/>
      <c r="G65" s="156"/>
      <c r="H65" s="58"/>
      <c r="I65" s="58"/>
      <c r="N65" s="60"/>
      <c r="O65" s="61"/>
      <c r="P65" s="61"/>
      <c r="Q65" s="58"/>
      <c r="R65" s="58"/>
      <c r="S65" s="58"/>
      <c r="T65" s="58"/>
      <c r="U65" s="58"/>
      <c r="V65" s="58"/>
      <c r="W65" s="58"/>
      <c r="X65" s="58"/>
      <c r="Y65" s="58"/>
      <c r="Z65" s="58"/>
      <c r="AA65" s="58"/>
      <c r="AB65" s="58"/>
      <c r="AC65" s="58"/>
      <c r="AD65" s="58"/>
      <c r="AF65" s="58"/>
      <c r="AG65" s="58"/>
      <c r="AH65" s="58"/>
    </row>
    <row r="66" spans="1:34" s="59" customFormat="1" x14ac:dyDescent="0.2">
      <c r="A66" s="58"/>
      <c r="B66" s="58"/>
      <c r="C66" s="58"/>
      <c r="D66" s="58"/>
      <c r="E66" s="60"/>
      <c r="F66" s="137"/>
      <c r="G66" s="58"/>
      <c r="H66" s="58"/>
      <c r="I66" s="58"/>
      <c r="N66" s="60"/>
      <c r="O66" s="61"/>
      <c r="P66" s="61"/>
      <c r="Q66" s="58"/>
      <c r="R66" s="58"/>
      <c r="S66" s="58"/>
      <c r="T66" s="58"/>
      <c r="U66" s="58"/>
      <c r="V66" s="58"/>
      <c r="W66" s="58"/>
      <c r="X66" s="58"/>
      <c r="Y66" s="58"/>
      <c r="Z66" s="58"/>
      <c r="AA66" s="58"/>
      <c r="AB66" s="58"/>
      <c r="AC66" s="58"/>
      <c r="AD66" s="58"/>
      <c r="AF66" s="58"/>
      <c r="AG66" s="58"/>
      <c r="AH66" s="58"/>
    </row>
    <row r="67" spans="1:34" s="59" customFormat="1" x14ac:dyDescent="0.2">
      <c r="A67" s="58"/>
      <c r="G67" s="58"/>
      <c r="H67" s="58"/>
      <c r="I67" s="58"/>
      <c r="N67" s="60"/>
      <c r="O67" s="61"/>
      <c r="P67" s="61"/>
      <c r="Q67" s="58"/>
      <c r="R67" s="58"/>
      <c r="S67" s="58"/>
      <c r="T67" s="58"/>
      <c r="U67" s="58"/>
      <c r="V67" s="58"/>
      <c r="W67" s="58"/>
      <c r="X67" s="58"/>
      <c r="Y67" s="58"/>
      <c r="Z67" s="58"/>
      <c r="AA67" s="58"/>
      <c r="AB67" s="58"/>
      <c r="AC67" s="58"/>
      <c r="AD67" s="58"/>
      <c r="AF67" s="58"/>
      <c r="AG67" s="58"/>
      <c r="AH67" s="58"/>
    </row>
    <row r="68" spans="1:34" s="59" customFormat="1" ht="15" customHeight="1" x14ac:dyDescent="0.2">
      <c r="A68" s="58"/>
      <c r="G68" s="58"/>
      <c r="H68" s="58"/>
      <c r="I68" s="58"/>
      <c r="N68" s="60"/>
      <c r="O68" s="61"/>
      <c r="P68" s="61"/>
      <c r="Q68" s="58"/>
      <c r="R68" s="58"/>
      <c r="S68" s="58"/>
      <c r="T68" s="58"/>
      <c r="U68" s="58"/>
      <c r="V68" s="58"/>
      <c r="W68" s="58"/>
      <c r="X68" s="58"/>
      <c r="Y68" s="58"/>
      <c r="Z68" s="58"/>
      <c r="AA68" s="58"/>
      <c r="AB68" s="58"/>
      <c r="AC68" s="58"/>
      <c r="AD68" s="58"/>
      <c r="AF68" s="58"/>
      <c r="AG68" s="58"/>
      <c r="AH68" s="58"/>
    </row>
    <row r="69" spans="1:34" s="59" customFormat="1" x14ac:dyDescent="0.2">
      <c r="A69" s="58"/>
      <c r="G69" s="58"/>
      <c r="H69" s="58"/>
      <c r="I69" s="58"/>
      <c r="N69" s="60"/>
      <c r="O69" s="61"/>
      <c r="P69" s="61"/>
      <c r="Q69" s="58"/>
      <c r="R69" s="58"/>
      <c r="S69" s="58"/>
      <c r="T69" s="58"/>
      <c r="U69" s="58"/>
      <c r="V69" s="58"/>
      <c r="W69" s="58"/>
      <c r="X69" s="58"/>
      <c r="Y69" s="58"/>
      <c r="Z69" s="58"/>
      <c r="AA69" s="58"/>
      <c r="AB69" s="58"/>
      <c r="AC69" s="58"/>
      <c r="AD69" s="58"/>
      <c r="AF69" s="58"/>
      <c r="AG69" s="58"/>
      <c r="AH69" s="58"/>
    </row>
    <row r="70" spans="1:34" s="59" customFormat="1" x14ac:dyDescent="0.2">
      <c r="A70" s="58"/>
      <c r="G70" s="58"/>
      <c r="H70" s="58"/>
      <c r="I70" s="58"/>
      <c r="N70" s="60"/>
      <c r="O70" s="61"/>
      <c r="P70" s="61"/>
      <c r="Q70" s="58"/>
      <c r="R70" s="58"/>
      <c r="S70" s="58"/>
      <c r="T70" s="58"/>
      <c r="U70" s="58"/>
      <c r="V70" s="58"/>
      <c r="W70" s="58"/>
      <c r="X70" s="58"/>
      <c r="Y70" s="58"/>
      <c r="Z70" s="58"/>
      <c r="AA70" s="58"/>
      <c r="AB70" s="58"/>
      <c r="AC70" s="58"/>
      <c r="AD70" s="58"/>
      <c r="AF70" s="58"/>
      <c r="AG70" s="58"/>
      <c r="AH70" s="58"/>
    </row>
    <row r="71" spans="1:34" x14ac:dyDescent="0.2">
      <c r="G71" s="126"/>
    </row>
    <row r="72" spans="1:34" ht="28.5" customHeight="1" x14ac:dyDescent="0.2"/>
    <row r="73" spans="1:34" ht="18.75" customHeight="1" x14ac:dyDescent="0.2"/>
    <row r="74" spans="1:34" ht="15" customHeight="1" x14ac:dyDescent="0.2"/>
    <row r="75" spans="1:34" ht="18.600000000000001" customHeight="1" x14ac:dyDescent="0.2"/>
    <row r="77" spans="1:34" ht="19.899999999999999" customHeight="1" x14ac:dyDescent="0.2"/>
    <row r="78" spans="1:34" ht="19.899999999999999" customHeight="1" x14ac:dyDescent="0.2"/>
    <row r="79" spans="1:34" ht="19.899999999999999" customHeight="1" x14ac:dyDescent="0.2"/>
    <row r="80" spans="1:34" ht="38.450000000000003" customHeight="1" x14ac:dyDescent="0.2"/>
    <row r="81" spans="7:7" ht="19.899999999999999" customHeight="1" x14ac:dyDescent="0.2"/>
    <row r="82" spans="7:7" ht="19.899999999999999" customHeight="1" x14ac:dyDescent="0.2"/>
    <row r="83" spans="7:7" ht="19.899999999999999" customHeight="1" x14ac:dyDescent="0.2"/>
    <row r="95" spans="7:7" x14ac:dyDescent="0.2">
      <c r="G95" s="156"/>
    </row>
    <row r="103" spans="7:7" x14ac:dyDescent="0.2">
      <c r="G103" s="126"/>
    </row>
  </sheetData>
  <mergeCells count="17">
    <mergeCell ref="AF3:AH3"/>
    <mergeCell ref="B3:F3"/>
    <mergeCell ref="H3:L3"/>
    <mergeCell ref="N3:R3"/>
    <mergeCell ref="T3:X3"/>
    <mergeCell ref="Z3:AD3"/>
    <mergeCell ref="AF4:AG4"/>
    <mergeCell ref="B27:C27"/>
    <mergeCell ref="H27:I27"/>
    <mergeCell ref="N27:O27"/>
    <mergeCell ref="T27:U27"/>
    <mergeCell ref="Z27:AA27"/>
    <mergeCell ref="B29:C29"/>
    <mergeCell ref="H29:I29"/>
    <mergeCell ref="N29:O29"/>
    <mergeCell ref="T29:U29"/>
    <mergeCell ref="Z29:AA29"/>
  </mergeCells>
  <pageMargins left="0.25" right="0.25" top="0.25" bottom="0.25" header="0.3" footer="0.3"/>
  <pageSetup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6087-9F44-4EA0-A4BC-0D6C71B50137}">
  <dimension ref="A1:E17"/>
  <sheetViews>
    <sheetView zoomScale="90" zoomScaleNormal="90" workbookViewId="0">
      <selection activeCell="C20" sqref="C20"/>
    </sheetView>
  </sheetViews>
  <sheetFormatPr defaultColWidth="8.75" defaultRowHeight="15" x14ac:dyDescent="0.25"/>
  <cols>
    <col min="1" max="1" width="32.625" style="5" customWidth="1"/>
    <col min="2" max="2" width="18.25" style="5" customWidth="1"/>
    <col min="3" max="3" width="18.125" style="5" customWidth="1"/>
    <col min="4" max="4" width="12.625" style="5" customWidth="1"/>
    <col min="5" max="5" width="16.125" style="5" customWidth="1"/>
    <col min="6" max="16384" width="8.75" style="5"/>
  </cols>
  <sheetData>
    <row r="1" spans="1:5" ht="15.75" thickBot="1" x14ac:dyDescent="0.3"/>
    <row r="2" spans="1:5" ht="60.75" thickBot="1" x14ac:dyDescent="0.3">
      <c r="A2" s="4"/>
      <c r="B2" s="18" t="s">
        <v>306</v>
      </c>
      <c r="C2" s="17" t="s">
        <v>307</v>
      </c>
      <c r="E2" s="16" t="s">
        <v>308</v>
      </c>
    </row>
    <row r="3" spans="1:5" x14ac:dyDescent="0.25">
      <c r="A3" s="6" t="s">
        <v>66</v>
      </c>
      <c r="B3" s="19">
        <f>'M2024 BLS  (53_PCT)'!C6</f>
        <v>46842.432000000008</v>
      </c>
      <c r="C3" s="7">
        <f>'M2024 BLS  (53_PCT)'!C8</f>
        <v>56388.633600000001</v>
      </c>
      <c r="E3" s="164">
        <f>10000</f>
        <v>10000</v>
      </c>
    </row>
    <row r="4" spans="1:5" x14ac:dyDescent="0.25">
      <c r="A4" s="8" t="s">
        <v>309</v>
      </c>
      <c r="B4" s="20">
        <f>'M2024 BLS  (53_PCT)'!C38</f>
        <v>0.24970000000000001</v>
      </c>
      <c r="C4" s="9">
        <f>B4</f>
        <v>0.24970000000000001</v>
      </c>
      <c r="D4" s="25"/>
      <c r="E4" s="27"/>
    </row>
    <row r="5" spans="1:5" x14ac:dyDescent="0.25">
      <c r="A5" s="8" t="s">
        <v>310</v>
      </c>
      <c r="B5" s="21">
        <f>B3*B4</f>
        <v>11696.555270400002</v>
      </c>
      <c r="C5" s="10">
        <f>C3*C4</f>
        <v>14080.24180992</v>
      </c>
      <c r="D5" s="25"/>
    </row>
    <row r="6" spans="1:5" x14ac:dyDescent="0.25">
      <c r="A6" s="8" t="s">
        <v>81</v>
      </c>
      <c r="B6" s="21">
        <f>B5+B3</f>
        <v>58538.987270400008</v>
      </c>
      <c r="C6" s="10">
        <f>C5+C3</f>
        <v>70468.875409920001</v>
      </c>
    </row>
    <row r="7" spans="1:5" ht="15.75" thickBot="1" x14ac:dyDescent="0.3">
      <c r="A7" s="8" t="s">
        <v>364</v>
      </c>
      <c r="B7" s="161">
        <f>B6*'CAF Spring 2025'!CT26</f>
        <v>1479.9868307461497</v>
      </c>
      <c r="C7" s="162">
        <f>C6*'CAF Spring 2025'!CT26</f>
        <v>1781.5991093666923</v>
      </c>
      <c r="D7" s="24"/>
      <c r="E7" s="24"/>
    </row>
    <row r="8" spans="1:5" ht="16.5" thickTop="1" thickBot="1" x14ac:dyDescent="0.3">
      <c r="A8" s="11" t="s">
        <v>680</v>
      </c>
      <c r="B8" s="22">
        <f>(B6+B7)/12</f>
        <v>5001.5811750955136</v>
      </c>
      <c r="C8" s="12">
        <f>(C6+C7)/12</f>
        <v>6020.8728766072245</v>
      </c>
      <c r="E8" s="904"/>
    </row>
    <row r="9" spans="1:5" ht="15.75" thickBot="1" x14ac:dyDescent="0.3">
      <c r="A9" s="13" t="s">
        <v>681</v>
      </c>
      <c r="B9" s="23">
        <f>B8*0.5</f>
        <v>2500.7905875477568</v>
      </c>
      <c r="C9" s="14">
        <f>C8*0.5</f>
        <v>3010.4364383036122</v>
      </c>
    </row>
    <row r="10" spans="1:5" x14ac:dyDescent="0.25">
      <c r="A10" s="28"/>
      <c r="B10" s="29"/>
      <c r="C10" s="29"/>
    </row>
    <row r="11" spans="1:5" x14ac:dyDescent="0.25">
      <c r="A11" s="25"/>
      <c r="B11" s="26"/>
      <c r="C11" s="26"/>
    </row>
    <row r="12" spans="1:5" x14ac:dyDescent="0.25">
      <c r="A12" s="25"/>
      <c r="B12" s="163"/>
      <c r="C12" s="163"/>
    </row>
    <row r="13" spans="1:5" x14ac:dyDescent="0.25">
      <c r="A13" s="25"/>
      <c r="B13" s="26"/>
      <c r="C13" s="26"/>
    </row>
    <row r="14" spans="1:5" x14ac:dyDescent="0.25">
      <c r="A14" s="25"/>
      <c r="B14" s="163"/>
      <c r="C14" s="163"/>
    </row>
    <row r="16" spans="1:5" x14ac:dyDescent="0.25">
      <c r="B16" s="15"/>
    </row>
    <row r="17" ht="12.75" customHeight="1" x14ac:dyDescent="0.25"/>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F1C13-B5F5-4510-A55A-0C19737ECEAD}">
  <sheetPr>
    <pageSetUpPr fitToPage="1"/>
  </sheetPr>
  <dimension ref="A1:K36"/>
  <sheetViews>
    <sheetView zoomScaleNormal="100" workbookViewId="0">
      <pane activePane="bottomRight" state="frozen"/>
      <selection activeCell="J33" sqref="J33"/>
    </sheetView>
  </sheetViews>
  <sheetFormatPr defaultColWidth="8" defaultRowHeight="12.75" x14ac:dyDescent="0.2"/>
  <cols>
    <col min="1" max="1" width="11.125" style="165" customWidth="1"/>
    <col min="2" max="2" width="27.375" style="165" customWidth="1"/>
    <col min="3" max="3" width="4.5" style="165" customWidth="1"/>
    <col min="4" max="4" width="7.125" style="165" bestFit="1" customWidth="1"/>
    <col min="5" max="5" width="7.75" style="166" customWidth="1"/>
    <col min="6" max="6" width="8.25" style="165" customWidth="1"/>
    <col min="7" max="7" width="3.875" style="165" customWidth="1"/>
    <col min="8" max="8" width="37.25" style="165" customWidth="1"/>
    <col min="9" max="9" width="6.5" style="166" bestFit="1" customWidth="1"/>
    <col min="10" max="10" width="41.375" style="165" customWidth="1"/>
    <col min="11" max="16384" width="8" style="165"/>
  </cols>
  <sheetData>
    <row r="1" spans="1:11" ht="18" customHeight="1" x14ac:dyDescent="0.2"/>
    <row r="2" spans="1:11" ht="21" customHeight="1" thickBot="1" x14ac:dyDescent="0.25"/>
    <row r="3" spans="1:11" ht="34.9" customHeight="1" thickBot="1" x14ac:dyDescent="0.25">
      <c r="A3" s="168"/>
      <c r="B3" s="1076" t="s">
        <v>311</v>
      </c>
      <c r="C3" s="1077"/>
      <c r="D3" s="1077"/>
      <c r="E3" s="1077"/>
      <c r="F3" s="1078"/>
      <c r="H3" s="1079" t="s">
        <v>266</v>
      </c>
      <c r="I3" s="1080"/>
      <c r="J3" s="1081"/>
    </row>
    <row r="4" spans="1:11" s="172" customFormat="1" x14ac:dyDescent="0.2">
      <c r="A4" s="169"/>
      <c r="B4" s="170" t="s">
        <v>312</v>
      </c>
      <c r="C4" s="454">
        <v>20</v>
      </c>
      <c r="D4" s="455"/>
      <c r="E4" s="456" t="s">
        <v>269</v>
      </c>
      <c r="F4" s="171">
        <f>C4*C5</f>
        <v>5200</v>
      </c>
      <c r="H4" s="442"/>
      <c r="I4" s="443"/>
      <c r="J4" s="444"/>
    </row>
    <row r="5" spans="1:11" ht="15.6" customHeight="1" x14ac:dyDescent="0.2">
      <c r="A5" s="173"/>
      <c r="B5" s="174" t="s">
        <v>271</v>
      </c>
      <c r="C5" s="74">
        <v>260</v>
      </c>
      <c r="D5" s="457"/>
      <c r="E5" s="458"/>
      <c r="F5" s="175"/>
      <c r="H5" s="442" t="s">
        <v>313</v>
      </c>
      <c r="I5" s="443">
        <f>'M2024 BLS  (53_PCT)'!C12</f>
        <v>66537.12000000001</v>
      </c>
      <c r="J5" s="139" t="s">
        <v>663</v>
      </c>
    </row>
    <row r="6" spans="1:11" x14ac:dyDescent="0.2">
      <c r="A6" s="173"/>
      <c r="B6" s="179"/>
      <c r="C6" s="176"/>
      <c r="D6" s="177" t="s">
        <v>66</v>
      </c>
      <c r="E6" s="177" t="s">
        <v>67</v>
      </c>
      <c r="F6" s="178" t="s">
        <v>68</v>
      </c>
      <c r="H6" s="1082" t="s">
        <v>314</v>
      </c>
      <c r="I6" s="1083"/>
      <c r="J6" s="1084"/>
    </row>
    <row r="7" spans="1:11" ht="32.25" customHeight="1" x14ac:dyDescent="0.2">
      <c r="A7" s="180"/>
      <c r="B7" s="977" t="s">
        <v>313</v>
      </c>
      <c r="C7" s="459"/>
      <c r="D7" s="460">
        <f>I5</f>
        <v>66537.12000000001</v>
      </c>
      <c r="E7" s="87">
        <f>I7</f>
        <v>1</v>
      </c>
      <c r="F7" s="181">
        <f>D7*E7</f>
        <v>66537.12000000001</v>
      </c>
      <c r="H7" s="442" t="str">
        <f>H5</f>
        <v>Substance Abuse Case Worker (BA Level Social Work)</v>
      </c>
      <c r="I7" s="445">
        <v>1</v>
      </c>
      <c r="J7" s="444" t="s">
        <v>315</v>
      </c>
    </row>
    <row r="8" spans="1:11" ht="19.149999999999999" customHeight="1" x14ac:dyDescent="0.2">
      <c r="A8" s="180"/>
      <c r="B8" s="442"/>
      <c r="C8" s="459"/>
      <c r="D8" s="460"/>
      <c r="E8" s="87"/>
      <c r="F8" s="181"/>
      <c r="H8" s="1082" t="s">
        <v>283</v>
      </c>
      <c r="I8" s="1083"/>
      <c r="J8" s="1084"/>
    </row>
    <row r="9" spans="1:11" x14ac:dyDescent="0.2">
      <c r="A9" s="180"/>
      <c r="B9" s="589" t="s">
        <v>538</v>
      </c>
      <c r="C9" s="585"/>
      <c r="D9" s="586"/>
      <c r="E9" s="639">
        <f>SUM(E7)</f>
        <v>1</v>
      </c>
      <c r="F9" s="588">
        <f>SUM(F7:F8)</f>
        <v>66537.12000000001</v>
      </c>
      <c r="H9" s="442" t="s">
        <v>316</v>
      </c>
      <c r="I9" s="446">
        <f>'M2024 BLS  (53_PCT)'!C38</f>
        <v>0.24970000000000001</v>
      </c>
      <c r="J9" s="441" t="s">
        <v>355</v>
      </c>
    </row>
    <row r="10" spans="1:11" ht="25.5" x14ac:dyDescent="0.2">
      <c r="A10" s="180"/>
      <c r="B10" s="604" t="s">
        <v>80</v>
      </c>
      <c r="C10" s="38"/>
      <c r="D10" s="239"/>
      <c r="E10" s="265">
        <f>I9</f>
        <v>0.24970000000000001</v>
      </c>
      <c r="F10" s="307">
        <f>F9*E10</f>
        <v>16614.318864000004</v>
      </c>
      <c r="H10" s="447" t="s">
        <v>318</v>
      </c>
      <c r="I10" s="448">
        <f>14000*(2.71%+1)</f>
        <v>14379.399999999998</v>
      </c>
      <c r="J10" s="453" t="s">
        <v>690</v>
      </c>
    </row>
    <row r="11" spans="1:11" ht="15.75" thickBot="1" x14ac:dyDescent="0.3">
      <c r="A11" s="173"/>
      <c r="B11" s="590" t="s">
        <v>539</v>
      </c>
      <c r="C11" s="584"/>
      <c r="D11" s="584"/>
      <c r="E11" s="584"/>
      <c r="F11" s="605">
        <f>SUM(F9:F10)</f>
        <v>83151.438864000011</v>
      </c>
      <c r="H11" s="449" t="s">
        <v>320</v>
      </c>
      <c r="I11" s="182">
        <f>'M2024 BLS  (53_PCT)'!C41</f>
        <v>0.12</v>
      </c>
      <c r="J11" s="41" t="s">
        <v>355</v>
      </c>
    </row>
    <row r="12" spans="1:11" ht="16.5" thickTop="1" thickBot="1" x14ac:dyDescent="0.3">
      <c r="A12" s="173"/>
      <c r="B12" s="583"/>
      <c r="C12" s="242"/>
      <c r="D12" s="242"/>
      <c r="E12" s="242"/>
      <c r="F12" s="336"/>
      <c r="H12" s="450" t="s">
        <v>676</v>
      </c>
      <c r="I12" s="451">
        <f>'CAF Spring 2025'!CT26</f>
        <v>2.5282070971092779E-2</v>
      </c>
      <c r="J12" s="145" t="s">
        <v>677</v>
      </c>
    </row>
    <row r="13" spans="1:11" ht="15" x14ac:dyDescent="0.25">
      <c r="A13" s="173"/>
      <c r="B13" s="583" t="s">
        <v>540</v>
      </c>
      <c r="C13" s="242"/>
      <c r="D13" s="195" t="s">
        <v>78</v>
      </c>
      <c r="E13" s="294"/>
      <c r="F13" s="336"/>
    </row>
    <row r="14" spans="1:11" ht="19.5" customHeight="1" x14ac:dyDescent="0.2">
      <c r="A14" s="173"/>
      <c r="B14" s="461" t="s">
        <v>319</v>
      </c>
      <c r="C14" s="462"/>
      <c r="D14" s="463">
        <f>I10</f>
        <v>14379.399999999998</v>
      </c>
      <c r="E14" s="464"/>
      <c r="F14" s="465">
        <f>D14*E9</f>
        <v>14379.399999999998</v>
      </c>
    </row>
    <row r="15" spans="1:11" s="167" customFormat="1" ht="15.75" thickBot="1" x14ac:dyDescent="0.3">
      <c r="A15" s="173"/>
      <c r="B15" s="1045" t="s">
        <v>541</v>
      </c>
      <c r="C15" s="1025"/>
      <c r="D15" s="592"/>
      <c r="E15" s="593"/>
      <c r="F15" s="594">
        <f>SUM(F13:F14)</f>
        <v>14379.399999999998</v>
      </c>
      <c r="G15" s="165"/>
      <c r="K15" s="165"/>
    </row>
    <row r="16" spans="1:11" s="167" customFormat="1" ht="15.75" thickTop="1" x14ac:dyDescent="0.25">
      <c r="A16" s="173"/>
      <c r="B16" s="1061" t="s">
        <v>357</v>
      </c>
      <c r="C16" s="1027"/>
      <c r="D16" s="422"/>
      <c r="E16" s="423"/>
      <c r="F16" s="424">
        <f>F11+F15</f>
        <v>97530.838864000005</v>
      </c>
      <c r="G16" s="165"/>
      <c r="H16" s="165"/>
      <c r="I16" s="166"/>
      <c r="J16" s="165"/>
      <c r="K16" s="165"/>
    </row>
    <row r="17" spans="1:11" s="167" customFormat="1" x14ac:dyDescent="0.2">
      <c r="A17" s="173"/>
      <c r="B17" s="241" t="s">
        <v>89</v>
      </c>
      <c r="C17" s="33"/>
      <c r="D17" s="346">
        <f>I11</f>
        <v>0.12</v>
      </c>
      <c r="E17" s="353"/>
      <c r="F17" s="336">
        <f>F16*D17</f>
        <v>11703.70066368</v>
      </c>
      <c r="G17" s="165"/>
      <c r="H17" s="165"/>
      <c r="I17" s="166"/>
      <c r="J17" s="165"/>
      <c r="K17" s="165"/>
    </row>
    <row r="18" spans="1:11" s="167" customFormat="1" x14ac:dyDescent="0.2">
      <c r="A18" s="165"/>
      <c r="B18" s="241" t="s">
        <v>46</v>
      </c>
      <c r="C18" s="33"/>
      <c r="D18" s="346">
        <f>I12</f>
        <v>2.5282070971092779E-2</v>
      </c>
      <c r="E18" s="38"/>
      <c r="F18" s="307">
        <f>D18*(F16+F17)</f>
        <v>2761.6753808334452</v>
      </c>
      <c r="G18" s="165"/>
      <c r="H18" s="165"/>
      <c r="I18" s="166"/>
      <c r="J18" s="165"/>
      <c r="K18" s="165"/>
    </row>
    <row r="19" spans="1:11" s="167" customFormat="1" ht="13.5" thickBot="1" x14ac:dyDescent="0.25">
      <c r="A19" s="165"/>
      <c r="B19" s="348" t="s">
        <v>91</v>
      </c>
      <c r="C19" s="349"/>
      <c r="D19" s="350"/>
      <c r="E19" s="351"/>
      <c r="F19" s="352">
        <f>SUM(F16:F18)</f>
        <v>111996.21490851344</v>
      </c>
      <c r="G19" s="165"/>
      <c r="H19" s="165"/>
      <c r="I19" s="166"/>
      <c r="J19" s="165"/>
      <c r="K19" s="165"/>
    </row>
    <row r="20" spans="1:11" s="167" customFormat="1" ht="14.25" thickTop="1" thickBot="1" x14ac:dyDescent="0.25">
      <c r="A20" s="165"/>
      <c r="B20" s="183" t="s">
        <v>302</v>
      </c>
      <c r="C20" s="184"/>
      <c r="D20" s="184"/>
      <c r="E20" s="185">
        <f>F16/F4</f>
        <v>18.755930550769232</v>
      </c>
      <c r="F20" s="466">
        <f>F19/F4</f>
        <v>21.537733636252586</v>
      </c>
      <c r="G20" s="165"/>
      <c r="H20" s="165"/>
      <c r="I20" s="166"/>
      <c r="J20" s="165"/>
      <c r="K20" s="165"/>
    </row>
    <row r="21" spans="1:11" s="167" customFormat="1" ht="15" customHeight="1" x14ac:dyDescent="0.2">
      <c r="A21" s="165"/>
      <c r="B21" s="165"/>
      <c r="C21" s="165"/>
      <c r="D21" s="186"/>
      <c r="E21" s="187"/>
      <c r="F21" s="188"/>
      <c r="G21" s="165"/>
      <c r="H21" s="165"/>
      <c r="I21" s="166"/>
      <c r="J21" s="165"/>
      <c r="K21" s="165"/>
    </row>
    <row r="22" spans="1:11" s="167" customFormat="1" x14ac:dyDescent="0.2">
      <c r="A22" s="165"/>
      <c r="B22" s="165"/>
      <c r="C22" s="165"/>
      <c r="D22" s="186"/>
      <c r="E22" s="187"/>
      <c r="F22" s="189"/>
      <c r="G22" s="165"/>
      <c r="K22" s="165"/>
    </row>
    <row r="23" spans="1:11" s="167" customFormat="1" x14ac:dyDescent="0.2">
      <c r="A23" s="165"/>
      <c r="B23" s="165"/>
      <c r="C23" s="165"/>
      <c r="D23" s="165"/>
      <c r="E23" s="166"/>
      <c r="F23" s="165"/>
      <c r="G23" s="165"/>
      <c r="K23" s="165"/>
    </row>
    <row r="24" spans="1:11" x14ac:dyDescent="0.2">
      <c r="D24" s="188"/>
      <c r="E24" s="188"/>
      <c r="F24" s="188"/>
      <c r="I24" s="165"/>
    </row>
    <row r="25" spans="1:11" x14ac:dyDescent="0.2">
      <c r="I25" s="165"/>
    </row>
    <row r="26" spans="1:11" x14ac:dyDescent="0.2">
      <c r="I26" s="165"/>
    </row>
    <row r="27" spans="1:11" x14ac:dyDescent="0.2">
      <c r="I27" s="165"/>
    </row>
    <row r="28" spans="1:11" x14ac:dyDescent="0.2">
      <c r="I28" s="165"/>
    </row>
    <row r="29" spans="1:11" s="167" customFormat="1" x14ac:dyDescent="0.2">
      <c r="A29" s="165"/>
      <c r="B29" s="165"/>
      <c r="C29" s="165"/>
      <c r="D29" s="165"/>
      <c r="E29" s="166"/>
      <c r="F29" s="165"/>
      <c r="G29" s="165"/>
      <c r="K29" s="165"/>
    </row>
    <row r="30" spans="1:11" s="167" customFormat="1" x14ac:dyDescent="0.2">
      <c r="A30" s="165"/>
      <c r="B30" s="165"/>
      <c r="C30" s="165"/>
      <c r="D30" s="165"/>
      <c r="E30" s="166"/>
      <c r="F30" s="165"/>
      <c r="G30" s="165"/>
      <c r="K30" s="165"/>
    </row>
    <row r="31" spans="1:11" x14ac:dyDescent="0.2">
      <c r="I31" s="165"/>
    </row>
    <row r="36" spans="8:8" x14ac:dyDescent="0.2">
      <c r="H36" s="33"/>
    </row>
  </sheetData>
  <mergeCells count="6">
    <mergeCell ref="B16:C16"/>
    <mergeCell ref="B3:F3"/>
    <mergeCell ref="H3:J3"/>
    <mergeCell ref="H6:J6"/>
    <mergeCell ref="H8:J8"/>
    <mergeCell ref="B15:C15"/>
  </mergeCells>
  <pageMargins left="0.25" right="0.25" top="0.75" bottom="0.75" header="0.3" footer="0.3"/>
  <pageSetup scale="5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1AF9-2B6D-48B6-AA52-809CE98028FB}">
  <dimension ref="A1:DG28"/>
  <sheetViews>
    <sheetView topLeftCell="CB1" workbookViewId="0">
      <selection activeCell="CE21" sqref="CE21"/>
    </sheetView>
  </sheetViews>
  <sheetFormatPr defaultRowHeight="12.75" x14ac:dyDescent="0.2"/>
  <cols>
    <col min="1" max="1" width="33.625" style="467" customWidth="1"/>
    <col min="2" max="2" width="11.25" style="472" customWidth="1"/>
    <col min="3" max="78" width="6.75" style="467" hidden="1" customWidth="1"/>
    <col min="79" max="82" width="6.75" style="467" customWidth="1"/>
    <col min="83" max="16384" width="9" style="467"/>
  </cols>
  <sheetData>
    <row r="1" spans="1:111" ht="18" x14ac:dyDescent="0.25">
      <c r="A1" s="1085" t="s">
        <v>159</v>
      </c>
      <c r="B1" s="1086"/>
    </row>
    <row r="2" spans="1:111" ht="15.75" x14ac:dyDescent="0.25">
      <c r="A2" s="468" t="s">
        <v>648</v>
      </c>
      <c r="B2" s="469"/>
    </row>
    <row r="3" spans="1:111" ht="15.75" thickBot="1" x14ac:dyDescent="0.3">
      <c r="A3" s="470" t="s">
        <v>160</v>
      </c>
      <c r="B3" s="471"/>
    </row>
    <row r="6" spans="1:111" x14ac:dyDescent="0.2">
      <c r="CC6" s="806"/>
      <c r="CD6" s="806"/>
      <c r="CE6" s="806"/>
      <c r="CF6" s="806"/>
      <c r="CG6" s="807" t="s">
        <v>384</v>
      </c>
      <c r="CH6" s="807" t="s">
        <v>384</v>
      </c>
      <c r="CI6" s="807" t="s">
        <v>384</v>
      </c>
      <c r="CJ6" s="807" t="s">
        <v>384</v>
      </c>
      <c r="CK6" s="808" t="s">
        <v>385</v>
      </c>
      <c r="CL6" s="808" t="s">
        <v>385</v>
      </c>
      <c r="CM6" s="808" t="s">
        <v>385</v>
      </c>
      <c r="CN6" s="808" t="s">
        <v>385</v>
      </c>
      <c r="CO6" s="809" t="s">
        <v>649</v>
      </c>
      <c r="CP6" s="809" t="s">
        <v>649</v>
      </c>
      <c r="CQ6" s="809" t="s">
        <v>649</v>
      </c>
      <c r="CR6" s="809" t="s">
        <v>649</v>
      </c>
      <c r="CS6" s="810" t="s">
        <v>650</v>
      </c>
      <c r="CT6" s="810" t="s">
        <v>650</v>
      </c>
      <c r="CU6" s="810" t="s">
        <v>650</v>
      </c>
      <c r="CV6" s="810" t="s">
        <v>650</v>
      </c>
    </row>
    <row r="7" spans="1:111" s="472" customFormat="1" x14ac:dyDescent="0.2">
      <c r="B7" s="472" t="s">
        <v>164</v>
      </c>
      <c r="C7" s="478" t="s">
        <v>165</v>
      </c>
      <c r="D7" s="478" t="s">
        <v>166</v>
      </c>
      <c r="E7" s="478" t="s">
        <v>167</v>
      </c>
      <c r="F7" s="478" t="s">
        <v>168</v>
      </c>
      <c r="G7" s="478" t="s">
        <v>169</v>
      </c>
      <c r="H7" s="478" t="s">
        <v>170</v>
      </c>
      <c r="I7" s="478" t="s">
        <v>171</v>
      </c>
      <c r="J7" s="478" t="s">
        <v>172</v>
      </c>
      <c r="K7" s="478" t="s">
        <v>173</v>
      </c>
      <c r="L7" s="478" t="s">
        <v>174</v>
      </c>
      <c r="M7" s="478" t="s">
        <v>175</v>
      </c>
      <c r="N7" s="478" t="s">
        <v>176</v>
      </c>
      <c r="O7" s="478" t="s">
        <v>177</v>
      </c>
      <c r="P7" s="478" t="s">
        <v>178</v>
      </c>
      <c r="Q7" s="478" t="s">
        <v>179</v>
      </c>
      <c r="R7" s="478" t="s">
        <v>180</v>
      </c>
      <c r="S7" s="478" t="s">
        <v>181</v>
      </c>
      <c r="T7" s="478" t="s">
        <v>182</v>
      </c>
      <c r="U7" s="478" t="s">
        <v>183</v>
      </c>
      <c r="V7" s="478" t="s">
        <v>184</v>
      </c>
      <c r="W7" s="478" t="s">
        <v>185</v>
      </c>
      <c r="X7" s="478" t="s">
        <v>186</v>
      </c>
      <c r="Y7" s="478" t="s">
        <v>187</v>
      </c>
      <c r="Z7" s="478" t="s">
        <v>188</v>
      </c>
      <c r="AA7" s="478" t="s">
        <v>189</v>
      </c>
      <c r="AB7" s="478" t="s">
        <v>190</v>
      </c>
      <c r="AC7" s="478" t="s">
        <v>191</v>
      </c>
      <c r="AD7" s="478" t="s">
        <v>192</v>
      </c>
      <c r="AE7" s="478" t="s">
        <v>193</v>
      </c>
      <c r="AF7" s="478" t="s">
        <v>194</v>
      </c>
      <c r="AG7" s="478" t="s">
        <v>195</v>
      </c>
      <c r="AH7" s="478" t="s">
        <v>196</v>
      </c>
      <c r="AI7" s="478" t="s">
        <v>197</v>
      </c>
      <c r="AJ7" s="478" t="s">
        <v>198</v>
      </c>
      <c r="AK7" s="478" t="s">
        <v>199</v>
      </c>
      <c r="AL7" s="478" t="s">
        <v>200</v>
      </c>
      <c r="AM7" s="478" t="s">
        <v>201</v>
      </c>
      <c r="AN7" s="478" t="s">
        <v>202</v>
      </c>
      <c r="AO7" s="478" t="s">
        <v>203</v>
      </c>
      <c r="AP7" s="478" t="s">
        <v>204</v>
      </c>
      <c r="AQ7" s="478" t="s">
        <v>205</v>
      </c>
      <c r="AR7" s="478" t="s">
        <v>206</v>
      </c>
      <c r="AS7" s="478" t="s">
        <v>207</v>
      </c>
      <c r="AT7" s="478" t="s">
        <v>208</v>
      </c>
      <c r="AU7" s="472" t="s">
        <v>209</v>
      </c>
      <c r="AV7" s="472" t="s">
        <v>210</v>
      </c>
      <c r="AW7" s="472" t="s">
        <v>211</v>
      </c>
      <c r="AX7" s="472" t="s">
        <v>212</v>
      </c>
      <c r="AY7" s="472" t="s">
        <v>213</v>
      </c>
      <c r="AZ7" s="472" t="s">
        <v>214</v>
      </c>
      <c r="BA7" s="472" t="s">
        <v>215</v>
      </c>
      <c r="BB7" s="472" t="s">
        <v>216</v>
      </c>
      <c r="BC7" s="472" t="s">
        <v>217</v>
      </c>
      <c r="BD7" s="472" t="s">
        <v>218</v>
      </c>
      <c r="BE7" s="472" t="s">
        <v>219</v>
      </c>
      <c r="BF7" s="472" t="s">
        <v>220</v>
      </c>
      <c r="BG7" s="472" t="s">
        <v>221</v>
      </c>
      <c r="BH7" s="472" t="s">
        <v>222</v>
      </c>
      <c r="BI7" s="472" t="s">
        <v>223</v>
      </c>
      <c r="BJ7" s="472" t="s">
        <v>224</v>
      </c>
      <c r="BK7" s="472" t="s">
        <v>225</v>
      </c>
      <c r="BL7" s="472" t="s">
        <v>226</v>
      </c>
      <c r="BM7" s="472" t="s">
        <v>227</v>
      </c>
      <c r="BN7" s="472" t="s">
        <v>228</v>
      </c>
      <c r="BO7" s="472" t="s">
        <v>229</v>
      </c>
      <c r="BP7" s="472" t="s">
        <v>230</v>
      </c>
      <c r="BQ7" s="472" t="s">
        <v>231</v>
      </c>
      <c r="BR7" s="472" t="s">
        <v>232</v>
      </c>
      <c r="BS7" s="472" t="s">
        <v>233</v>
      </c>
      <c r="BT7" s="472" t="s">
        <v>234</v>
      </c>
      <c r="BU7" s="472" t="s">
        <v>235</v>
      </c>
      <c r="BV7" s="472" t="s">
        <v>236</v>
      </c>
      <c r="BW7" s="472" t="s">
        <v>237</v>
      </c>
      <c r="BX7" s="472" t="s">
        <v>238</v>
      </c>
      <c r="BY7" s="472" t="s">
        <v>239</v>
      </c>
      <c r="BZ7" s="472" t="s">
        <v>240</v>
      </c>
      <c r="CA7" s="472" t="s">
        <v>241</v>
      </c>
      <c r="CB7" s="472" t="s">
        <v>242</v>
      </c>
      <c r="CC7" s="472" t="s">
        <v>243</v>
      </c>
      <c r="CD7" s="472" t="s">
        <v>244</v>
      </c>
      <c r="CE7" s="472" t="s">
        <v>245</v>
      </c>
      <c r="CF7" s="472" t="s">
        <v>246</v>
      </c>
      <c r="CG7" s="472" t="s">
        <v>247</v>
      </c>
      <c r="CH7" s="472" t="s">
        <v>248</v>
      </c>
      <c r="CI7" s="472" t="s">
        <v>249</v>
      </c>
      <c r="CJ7" s="472" t="s">
        <v>250</v>
      </c>
      <c r="CK7" s="472" t="s">
        <v>251</v>
      </c>
      <c r="CL7" s="472" t="s">
        <v>252</v>
      </c>
      <c r="CM7" s="472" t="s">
        <v>386</v>
      </c>
      <c r="CN7" s="472" t="s">
        <v>387</v>
      </c>
      <c r="CO7" s="472" t="s">
        <v>388</v>
      </c>
      <c r="CP7" s="472" t="s">
        <v>389</v>
      </c>
      <c r="CQ7" s="472" t="s">
        <v>390</v>
      </c>
      <c r="CR7" s="472" t="s">
        <v>391</v>
      </c>
      <c r="CS7" s="472" t="s">
        <v>392</v>
      </c>
      <c r="CT7" s="472" t="s">
        <v>393</v>
      </c>
      <c r="CU7" s="472" t="s">
        <v>394</v>
      </c>
      <c r="CV7" s="472" t="s">
        <v>395</v>
      </c>
      <c r="CW7" s="472" t="s">
        <v>396</v>
      </c>
      <c r="CX7" s="472" t="s">
        <v>397</v>
      </c>
      <c r="CY7" s="472" t="s">
        <v>651</v>
      </c>
      <c r="CZ7" s="472" t="s">
        <v>652</v>
      </c>
      <c r="DA7" s="472" t="s">
        <v>653</v>
      </c>
      <c r="DB7" s="472" t="s">
        <v>654</v>
      </c>
      <c r="DC7" s="472" t="s">
        <v>655</v>
      </c>
      <c r="DD7" s="472" t="s">
        <v>656</v>
      </c>
      <c r="DE7" s="472" t="s">
        <v>657</v>
      </c>
      <c r="DF7" s="472" t="s">
        <v>658</v>
      </c>
    </row>
    <row r="8" spans="1:111" x14ac:dyDescent="0.2">
      <c r="A8" s="472" t="s">
        <v>253</v>
      </c>
      <c r="B8" s="472" t="s">
        <v>254</v>
      </c>
      <c r="C8" s="479">
        <v>2.0063242019995098</v>
      </c>
      <c r="D8" s="479">
        <v>2.0291282349893098</v>
      </c>
      <c r="E8" s="479">
        <v>2.0375396537992998</v>
      </c>
      <c r="F8" s="479">
        <v>2.0605757461988299</v>
      </c>
      <c r="G8" s="479">
        <v>2.0744916701599601</v>
      </c>
      <c r="H8" s="479">
        <v>2.0847415521764501</v>
      </c>
      <c r="I8" s="479">
        <v>2.1206428407981601</v>
      </c>
      <c r="J8" s="479">
        <v>2.1424538059801699</v>
      </c>
      <c r="K8" s="479">
        <v>2.1577760921196698</v>
      </c>
      <c r="L8" s="479">
        <v>2.18317446723852</v>
      </c>
      <c r="M8" s="479">
        <v>2.2041735816988299</v>
      </c>
      <c r="N8" s="479">
        <v>2.1895839731400302</v>
      </c>
      <c r="O8" s="479">
        <v>2.2079881141659499</v>
      </c>
      <c r="P8" s="479">
        <v>2.2276611594626199</v>
      </c>
      <c r="Q8" s="479">
        <v>2.2459850074152801</v>
      </c>
      <c r="R8" s="479">
        <v>2.2732860401443298</v>
      </c>
      <c r="S8" s="479">
        <v>2.2978325902332899</v>
      </c>
      <c r="T8" s="479">
        <v>2.3346020605495701</v>
      </c>
      <c r="U8" s="479">
        <v>2.3735276211582401</v>
      </c>
      <c r="V8" s="479">
        <v>2.3215409716883499</v>
      </c>
      <c r="W8" s="479">
        <v>2.3038226527588002</v>
      </c>
      <c r="X8" s="479">
        <v>2.3145837090650598</v>
      </c>
      <c r="Y8" s="479">
        <v>2.3339717038978098</v>
      </c>
      <c r="Z8" s="479">
        <v>2.3520758531232699</v>
      </c>
      <c r="AA8" s="479">
        <v>2.3568446385384498</v>
      </c>
      <c r="AB8" s="479">
        <v>2.3598082084575198</v>
      </c>
      <c r="AC8" s="479">
        <v>2.3676526808939902</v>
      </c>
      <c r="AD8" s="479">
        <v>2.38950697283444</v>
      </c>
      <c r="AE8" s="479">
        <v>2.4083550647675001</v>
      </c>
      <c r="AF8" s="479">
        <v>2.4444130504222099</v>
      </c>
      <c r="AG8" s="479">
        <v>2.4604640784842702</v>
      </c>
      <c r="AH8" s="479">
        <v>2.4673874511369598</v>
      </c>
      <c r="AI8" s="479">
        <v>2.4804181534887402</v>
      </c>
      <c r="AJ8" s="479">
        <v>2.4867756454644101</v>
      </c>
      <c r="AK8" s="479">
        <v>2.4979566250823502</v>
      </c>
      <c r="AL8" s="479">
        <v>2.5174388651260799</v>
      </c>
      <c r="AM8" s="479">
        <v>2.5233148246383998</v>
      </c>
      <c r="AN8" s="479">
        <v>2.5235914844993701</v>
      </c>
      <c r="AO8" s="479">
        <v>2.5384869576563101</v>
      </c>
      <c r="AP8" s="479">
        <v>2.5493165220603302</v>
      </c>
      <c r="AQ8" s="479">
        <v>2.5640878270376</v>
      </c>
      <c r="AR8" s="479">
        <v>2.5682010799061801</v>
      </c>
      <c r="AS8" s="479">
        <v>2.5745284656131302</v>
      </c>
      <c r="AT8" s="479">
        <v>2.5703540066002799</v>
      </c>
      <c r="AU8" s="479">
        <v>2.5620964089634599</v>
      </c>
      <c r="AV8" s="479">
        <v>2.5737808658450598</v>
      </c>
      <c r="AW8" s="479">
        <v>2.5763433131395899</v>
      </c>
      <c r="AX8" s="479">
        <v>2.5766992708793199</v>
      </c>
      <c r="AY8" s="479">
        <v>2.5717107318479902</v>
      </c>
      <c r="AZ8" s="479">
        <v>2.5921156618377301</v>
      </c>
      <c r="BA8" s="479">
        <v>2.6069387531606401</v>
      </c>
      <c r="BB8" s="479">
        <v>2.6253431904293598</v>
      </c>
      <c r="BC8" s="479">
        <v>2.6431101616580301</v>
      </c>
      <c r="BD8" s="479">
        <v>2.6454235385008298</v>
      </c>
      <c r="BE8" s="479">
        <v>2.6515794028402699</v>
      </c>
      <c r="BF8" s="479">
        <v>2.6730735090076099</v>
      </c>
      <c r="BG8" s="479">
        <v>2.7025845040057699</v>
      </c>
      <c r="BH8" s="479">
        <v>2.7191562543850001</v>
      </c>
      <c r="BI8" s="479">
        <v>2.7259924929413102</v>
      </c>
      <c r="BJ8" s="479">
        <v>2.73992606692231</v>
      </c>
      <c r="BK8" s="479">
        <v>2.7502945492423101</v>
      </c>
      <c r="BL8" s="479">
        <v>2.7689500101723898</v>
      </c>
      <c r="BM8" s="479">
        <v>2.7814096361355198</v>
      </c>
      <c r="BN8" s="479">
        <v>2.7939823611208201</v>
      </c>
      <c r="BO8" s="479">
        <v>2.8066571115732</v>
      </c>
      <c r="BP8" s="479">
        <v>2.789069417081</v>
      </c>
      <c r="BQ8" s="479">
        <v>2.8003358691635101</v>
      </c>
      <c r="BR8" s="479">
        <v>2.8138932593987098</v>
      </c>
      <c r="BS8" s="479">
        <v>2.8441364271136802</v>
      </c>
      <c r="BT8" s="479">
        <v>2.8773216475971899</v>
      </c>
      <c r="BU8" s="479">
        <v>2.91889734231578</v>
      </c>
      <c r="BV8" s="479">
        <v>2.9746409679231198</v>
      </c>
      <c r="BW8" s="479">
        <v>3.0357131501719299</v>
      </c>
      <c r="BX8" s="479">
        <v>3.0936413828755098</v>
      </c>
      <c r="BY8" s="479">
        <v>3.1296486651784101</v>
      </c>
      <c r="BZ8" s="479">
        <v>3.1622026276566801</v>
      </c>
      <c r="CA8" s="479">
        <v>3.1722489121908599</v>
      </c>
      <c r="CB8" s="479">
        <v>3.1732614751305199</v>
      </c>
      <c r="CC8" s="479">
        <v>3.19804134092354</v>
      </c>
      <c r="CD8" s="479">
        <v>3.22162837939393</v>
      </c>
      <c r="CE8" s="479">
        <v>3.2544930937994199</v>
      </c>
      <c r="CF8" s="479">
        <v>3.3022200302311102</v>
      </c>
      <c r="CG8" s="479">
        <v>3.3166050351231502</v>
      </c>
      <c r="CH8" s="479">
        <v>3.3368236923679002</v>
      </c>
      <c r="CI8" s="479">
        <v>3.37011065424548</v>
      </c>
      <c r="CJ8" s="479">
        <v>3.41939449308809</v>
      </c>
      <c r="CK8" s="479">
        <v>3.45067500590967</v>
      </c>
      <c r="CL8" s="479">
        <v>3.4736821386754499</v>
      </c>
      <c r="CM8" s="479">
        <v>3.49931506549617</v>
      </c>
      <c r="CN8" s="479">
        <v>3.51338511253658</v>
      </c>
      <c r="CO8" s="479">
        <v>3.5359237438715101</v>
      </c>
      <c r="CP8" s="479">
        <v>3.55894446256021</v>
      </c>
      <c r="CQ8" s="479">
        <v>3.5750398262796899</v>
      </c>
      <c r="CR8" s="479">
        <v>3.5903136808117901</v>
      </c>
      <c r="CS8" s="479">
        <v>3.6008049107670601</v>
      </c>
      <c r="CT8" s="479">
        <v>3.6183053339686699</v>
      </c>
      <c r="CU8" s="479">
        <v>3.6376951812524898</v>
      </c>
      <c r="CV8" s="479">
        <v>3.6560774959501501</v>
      </c>
      <c r="CW8" s="479">
        <v>3.67014251725467</v>
      </c>
      <c r="CX8" s="479">
        <v>3.6862303022121599</v>
      </c>
      <c r="CY8" s="479">
        <v>3.7022035803381499</v>
      </c>
      <c r="CZ8" s="479">
        <v>3.7206821665280301</v>
      </c>
      <c r="DA8" s="479">
        <v>3.7408389759534</v>
      </c>
      <c r="DB8" s="479">
        <v>3.7603426628221102</v>
      </c>
      <c r="DC8" s="479">
        <v>3.7806564682541799</v>
      </c>
      <c r="DD8" s="479">
        <v>3.8005635136687999</v>
      </c>
      <c r="DE8" s="479">
        <v>3.8228124453516701</v>
      </c>
      <c r="DF8" s="479">
        <v>3.8451437846978598</v>
      </c>
      <c r="DG8" s="479"/>
    </row>
    <row r="9" spans="1:111" x14ac:dyDescent="0.2">
      <c r="A9" s="472" t="s">
        <v>255</v>
      </c>
      <c r="B9" s="472" t="s">
        <v>256</v>
      </c>
      <c r="C9" s="479">
        <v>2.0063242019995098</v>
      </c>
      <c r="D9" s="479">
        <v>2.0291282349893098</v>
      </c>
      <c r="E9" s="479">
        <v>2.0375396537992998</v>
      </c>
      <c r="F9" s="479">
        <v>2.0605757461988299</v>
      </c>
      <c r="G9" s="479">
        <v>2.0744916701599601</v>
      </c>
      <c r="H9" s="479">
        <v>2.0847415521764501</v>
      </c>
      <c r="I9" s="479">
        <v>2.1206428407981601</v>
      </c>
      <c r="J9" s="479">
        <v>2.1424538059801699</v>
      </c>
      <c r="K9" s="479">
        <v>2.1577760921196698</v>
      </c>
      <c r="L9" s="479">
        <v>2.18317446723852</v>
      </c>
      <c r="M9" s="479">
        <v>2.2041735816988299</v>
      </c>
      <c r="N9" s="479">
        <v>2.1895839731400302</v>
      </c>
      <c r="O9" s="479">
        <v>2.2079881141659499</v>
      </c>
      <c r="P9" s="479">
        <v>2.2276611594626199</v>
      </c>
      <c r="Q9" s="479">
        <v>2.2459850074152801</v>
      </c>
      <c r="R9" s="479">
        <v>2.2732860401443298</v>
      </c>
      <c r="S9" s="479">
        <v>2.2978325902332899</v>
      </c>
      <c r="T9" s="479">
        <v>2.3346020605495701</v>
      </c>
      <c r="U9" s="479">
        <v>2.3735276211582401</v>
      </c>
      <c r="V9" s="479">
        <v>2.3215409716883499</v>
      </c>
      <c r="W9" s="479">
        <v>2.3038226527588002</v>
      </c>
      <c r="X9" s="479">
        <v>2.3145837090650598</v>
      </c>
      <c r="Y9" s="479">
        <v>2.3339717038978098</v>
      </c>
      <c r="Z9" s="479">
        <v>2.3520758531232699</v>
      </c>
      <c r="AA9" s="479">
        <v>2.3568446385384498</v>
      </c>
      <c r="AB9" s="479">
        <v>2.3598082084575198</v>
      </c>
      <c r="AC9" s="479">
        <v>2.3676526808939902</v>
      </c>
      <c r="AD9" s="479">
        <v>2.38950697283444</v>
      </c>
      <c r="AE9" s="479">
        <v>2.4083550647675001</v>
      </c>
      <c r="AF9" s="479">
        <v>2.4444130504222099</v>
      </c>
      <c r="AG9" s="479">
        <v>2.4604640784842702</v>
      </c>
      <c r="AH9" s="479">
        <v>2.4673874511369598</v>
      </c>
      <c r="AI9" s="479">
        <v>2.4804181534887402</v>
      </c>
      <c r="AJ9" s="479">
        <v>2.4867756454644101</v>
      </c>
      <c r="AK9" s="479">
        <v>2.4979566250823502</v>
      </c>
      <c r="AL9" s="479">
        <v>2.5174388651260799</v>
      </c>
      <c r="AM9" s="479">
        <v>2.5233148246383998</v>
      </c>
      <c r="AN9" s="479">
        <v>2.5235914844993701</v>
      </c>
      <c r="AO9" s="479">
        <v>2.5384869576563101</v>
      </c>
      <c r="AP9" s="479">
        <v>2.5493165220603302</v>
      </c>
      <c r="AQ9" s="479">
        <v>2.5640878270376</v>
      </c>
      <c r="AR9" s="479">
        <v>2.5682010799061801</v>
      </c>
      <c r="AS9" s="479">
        <v>2.5745284656131302</v>
      </c>
      <c r="AT9" s="479">
        <v>2.5703540066002799</v>
      </c>
      <c r="AU9" s="479">
        <v>2.5620964089634599</v>
      </c>
      <c r="AV9" s="479">
        <v>2.5737808658450598</v>
      </c>
      <c r="AW9" s="479">
        <v>2.5763433131395899</v>
      </c>
      <c r="AX9" s="479">
        <v>2.5766992708793199</v>
      </c>
      <c r="AY9" s="479">
        <v>2.5717107318479902</v>
      </c>
      <c r="AZ9" s="479">
        <v>2.5921156618377301</v>
      </c>
      <c r="BA9" s="479">
        <v>2.6069387531606401</v>
      </c>
      <c r="BB9" s="479">
        <v>2.6253431904293598</v>
      </c>
      <c r="BC9" s="479">
        <v>2.6431101616580301</v>
      </c>
      <c r="BD9" s="479">
        <v>2.6454235385008298</v>
      </c>
      <c r="BE9" s="479">
        <v>2.6515794028402699</v>
      </c>
      <c r="BF9" s="479">
        <v>2.6730735090076099</v>
      </c>
      <c r="BG9" s="479">
        <v>2.7025845040057699</v>
      </c>
      <c r="BH9" s="479">
        <v>2.7191562543850001</v>
      </c>
      <c r="BI9" s="479">
        <v>2.7259924929413102</v>
      </c>
      <c r="BJ9" s="479">
        <v>2.73992606692231</v>
      </c>
      <c r="BK9" s="479">
        <v>2.7502945492423101</v>
      </c>
      <c r="BL9" s="479">
        <v>2.7689500101723898</v>
      </c>
      <c r="BM9" s="479">
        <v>2.7814096361355198</v>
      </c>
      <c r="BN9" s="479">
        <v>2.7939823611208201</v>
      </c>
      <c r="BO9" s="479">
        <v>2.8066571115732</v>
      </c>
      <c r="BP9" s="479">
        <v>2.789069417081</v>
      </c>
      <c r="BQ9" s="479">
        <v>2.8003358691635101</v>
      </c>
      <c r="BR9" s="479">
        <v>2.8138932593987098</v>
      </c>
      <c r="BS9" s="479">
        <v>2.8441364271136802</v>
      </c>
      <c r="BT9" s="479">
        <v>2.8773216475971899</v>
      </c>
      <c r="BU9" s="479">
        <v>2.91889734231578</v>
      </c>
      <c r="BV9" s="479">
        <v>2.9746409679231198</v>
      </c>
      <c r="BW9" s="479">
        <v>3.0357131501719299</v>
      </c>
      <c r="BX9" s="479">
        <v>3.0936413828755098</v>
      </c>
      <c r="BY9" s="479">
        <v>3.1296486651784101</v>
      </c>
      <c r="BZ9" s="479">
        <v>3.1622026276566801</v>
      </c>
      <c r="CA9" s="479">
        <v>3.1722489121908599</v>
      </c>
      <c r="CB9" s="479">
        <v>3.1732614751305199</v>
      </c>
      <c r="CC9" s="479">
        <v>3.19804134092354</v>
      </c>
      <c r="CD9" s="479">
        <v>3.22162837939393</v>
      </c>
      <c r="CE9" s="479">
        <v>3.2544930937994199</v>
      </c>
      <c r="CF9" s="479">
        <v>3.3022200302311102</v>
      </c>
      <c r="CG9" s="479">
        <v>3.3166050351231502</v>
      </c>
      <c r="CH9" s="479">
        <v>3.3368236923679002</v>
      </c>
      <c r="CI9" s="479">
        <v>3.3688295561688402</v>
      </c>
      <c r="CJ9" s="479">
        <v>3.4164282930560699</v>
      </c>
      <c r="CK9" s="479">
        <v>3.4450962826692599</v>
      </c>
      <c r="CL9" s="479">
        <v>3.4656982418569302</v>
      </c>
      <c r="CM9" s="479">
        <v>3.4893258871105699</v>
      </c>
      <c r="CN9" s="479">
        <v>3.5012608009988599</v>
      </c>
      <c r="CO9" s="479">
        <v>3.5216497885078502</v>
      </c>
      <c r="CP9" s="479">
        <v>3.5424924063985399</v>
      </c>
      <c r="CQ9" s="479">
        <v>3.5564566997386602</v>
      </c>
      <c r="CR9" s="479">
        <v>3.5694961527343798</v>
      </c>
      <c r="CS9" s="479">
        <v>3.5778296502729199</v>
      </c>
      <c r="CT9" s="479">
        <v>3.59326814397232</v>
      </c>
      <c r="CU9" s="479">
        <v>3.6106226083089101</v>
      </c>
      <c r="CV9" s="479">
        <v>3.6269728245152302</v>
      </c>
      <c r="CW9" s="479">
        <v>3.63905833590412</v>
      </c>
      <c r="CX9" s="479">
        <v>3.6529940700760402</v>
      </c>
      <c r="CY9" s="479">
        <v>3.6669504329226501</v>
      </c>
      <c r="CZ9" s="479">
        <v>3.68320445217674</v>
      </c>
      <c r="DA9" s="479">
        <v>3.7009457185407002</v>
      </c>
      <c r="DB9" s="479">
        <v>3.7178753205516601</v>
      </c>
      <c r="DC9" s="479">
        <v>3.7356257581638301</v>
      </c>
      <c r="DD9" s="479">
        <v>3.7527221934945199</v>
      </c>
      <c r="DE9" s="479">
        <v>3.77199471431567</v>
      </c>
      <c r="DF9" s="479">
        <v>3.7911728201144701</v>
      </c>
      <c r="DG9" s="479"/>
    </row>
    <row r="10" spans="1:111" x14ac:dyDescent="0.2">
      <c r="A10" s="472" t="s">
        <v>257</v>
      </c>
      <c r="B10" s="472" t="s">
        <v>258</v>
      </c>
      <c r="C10" s="479">
        <v>2.0063242019995098</v>
      </c>
      <c r="D10" s="479">
        <v>2.0291282349893098</v>
      </c>
      <c r="E10" s="479">
        <v>2.0375396537992998</v>
      </c>
      <c r="F10" s="479">
        <v>2.0605757461988299</v>
      </c>
      <c r="G10" s="479">
        <v>2.0744916701599601</v>
      </c>
      <c r="H10" s="479">
        <v>2.0847415521764501</v>
      </c>
      <c r="I10" s="479">
        <v>2.1206428407981601</v>
      </c>
      <c r="J10" s="479">
        <v>2.1424538059801699</v>
      </c>
      <c r="K10" s="479">
        <v>2.1577760921196698</v>
      </c>
      <c r="L10" s="479">
        <v>2.18317446723852</v>
      </c>
      <c r="M10" s="479">
        <v>2.2041735816988299</v>
      </c>
      <c r="N10" s="479">
        <v>2.1895839731400302</v>
      </c>
      <c r="O10" s="479">
        <v>2.2079881141659499</v>
      </c>
      <c r="P10" s="479">
        <v>2.2276611594626199</v>
      </c>
      <c r="Q10" s="479">
        <v>2.2459850074152801</v>
      </c>
      <c r="R10" s="479">
        <v>2.2732860401443298</v>
      </c>
      <c r="S10" s="479">
        <v>2.2978325902332899</v>
      </c>
      <c r="T10" s="479">
        <v>2.3346020605495701</v>
      </c>
      <c r="U10" s="479">
        <v>2.3735276211582401</v>
      </c>
      <c r="V10" s="479">
        <v>2.3215409716883499</v>
      </c>
      <c r="W10" s="479">
        <v>2.3038226527588002</v>
      </c>
      <c r="X10" s="479">
        <v>2.3145837090650598</v>
      </c>
      <c r="Y10" s="479">
        <v>2.3339717038978098</v>
      </c>
      <c r="Z10" s="479">
        <v>2.3520758531232699</v>
      </c>
      <c r="AA10" s="479">
        <v>2.3568446385384498</v>
      </c>
      <c r="AB10" s="479">
        <v>2.3598082084575198</v>
      </c>
      <c r="AC10" s="479">
        <v>2.3676526808939902</v>
      </c>
      <c r="AD10" s="479">
        <v>2.38950697283444</v>
      </c>
      <c r="AE10" s="479">
        <v>2.4083550647675001</v>
      </c>
      <c r="AF10" s="479">
        <v>2.4444130504222099</v>
      </c>
      <c r="AG10" s="479">
        <v>2.4604640784842702</v>
      </c>
      <c r="AH10" s="479">
        <v>2.4673874511369598</v>
      </c>
      <c r="AI10" s="479">
        <v>2.4804181534887402</v>
      </c>
      <c r="AJ10" s="479">
        <v>2.4867756454644101</v>
      </c>
      <c r="AK10" s="479">
        <v>2.4979566250823502</v>
      </c>
      <c r="AL10" s="479">
        <v>2.5174388651260799</v>
      </c>
      <c r="AM10" s="479">
        <v>2.5233148246383998</v>
      </c>
      <c r="AN10" s="479">
        <v>2.5235914844993701</v>
      </c>
      <c r="AO10" s="479">
        <v>2.5384869576563101</v>
      </c>
      <c r="AP10" s="479">
        <v>2.5493165220603302</v>
      </c>
      <c r="AQ10" s="479">
        <v>2.5640878270376</v>
      </c>
      <c r="AR10" s="479">
        <v>2.5682010799061801</v>
      </c>
      <c r="AS10" s="479">
        <v>2.5745284656131302</v>
      </c>
      <c r="AT10" s="479">
        <v>2.5703540066002799</v>
      </c>
      <c r="AU10" s="479">
        <v>2.5620964089634599</v>
      </c>
      <c r="AV10" s="479">
        <v>2.5737808658450598</v>
      </c>
      <c r="AW10" s="479">
        <v>2.5763433131395899</v>
      </c>
      <c r="AX10" s="479">
        <v>2.5766992708793199</v>
      </c>
      <c r="AY10" s="479">
        <v>2.5717107318479902</v>
      </c>
      <c r="AZ10" s="479">
        <v>2.5921156618377301</v>
      </c>
      <c r="BA10" s="479">
        <v>2.6069387531606401</v>
      </c>
      <c r="BB10" s="479">
        <v>2.6253431904293598</v>
      </c>
      <c r="BC10" s="479">
        <v>2.6431101616580301</v>
      </c>
      <c r="BD10" s="479">
        <v>2.6454235385008298</v>
      </c>
      <c r="BE10" s="479">
        <v>2.6515794028402699</v>
      </c>
      <c r="BF10" s="479">
        <v>2.6730735090076099</v>
      </c>
      <c r="BG10" s="479">
        <v>2.7025845040057699</v>
      </c>
      <c r="BH10" s="479">
        <v>2.7191562543850001</v>
      </c>
      <c r="BI10" s="479">
        <v>2.7259924929413102</v>
      </c>
      <c r="BJ10" s="479">
        <v>2.73992606692231</v>
      </c>
      <c r="BK10" s="479">
        <v>2.7502945492423101</v>
      </c>
      <c r="BL10" s="479">
        <v>2.7689500101723898</v>
      </c>
      <c r="BM10" s="479">
        <v>2.7814096361355198</v>
      </c>
      <c r="BN10" s="479">
        <v>2.7939823611208201</v>
      </c>
      <c r="BO10" s="479">
        <v>2.8066571115732</v>
      </c>
      <c r="BP10" s="479">
        <v>2.789069417081</v>
      </c>
      <c r="BQ10" s="479">
        <v>2.8003358691635101</v>
      </c>
      <c r="BR10" s="479">
        <v>2.8138932593987098</v>
      </c>
      <c r="BS10" s="479">
        <v>2.8441364271136802</v>
      </c>
      <c r="BT10" s="479">
        <v>2.8773216475971899</v>
      </c>
      <c r="BU10" s="479">
        <v>2.91889734231578</v>
      </c>
      <c r="BV10" s="479">
        <v>2.9746409679231198</v>
      </c>
      <c r="BW10" s="479">
        <v>3.0357131501719299</v>
      </c>
      <c r="BX10" s="479">
        <v>3.0936413828755098</v>
      </c>
      <c r="BY10" s="479">
        <v>3.1296486651784101</v>
      </c>
      <c r="BZ10" s="479">
        <v>3.1622026276566801</v>
      </c>
      <c r="CA10" s="479">
        <v>3.1722489121908599</v>
      </c>
      <c r="CB10" s="479">
        <v>3.1732614751305199</v>
      </c>
      <c r="CC10" s="479">
        <v>3.19804134092354</v>
      </c>
      <c r="CD10" s="479">
        <v>3.22162837939393</v>
      </c>
      <c r="CE10" s="479">
        <v>3.2544930937994199</v>
      </c>
      <c r="CF10" s="479">
        <v>3.3022200302311102</v>
      </c>
      <c r="CG10" s="479">
        <v>3.3166050351231502</v>
      </c>
      <c r="CH10" s="479">
        <v>3.3368236923679002</v>
      </c>
      <c r="CI10" s="479">
        <v>3.3845254807101699</v>
      </c>
      <c r="CJ10" s="479">
        <v>3.4458102330157101</v>
      </c>
      <c r="CK10" s="479">
        <v>3.4894651234399401</v>
      </c>
      <c r="CL10" s="479">
        <v>3.5243102944062801</v>
      </c>
      <c r="CM10" s="479">
        <v>3.5612280051219698</v>
      </c>
      <c r="CN10" s="479">
        <v>3.58630088624906</v>
      </c>
      <c r="CO10" s="479">
        <v>3.62049154271884</v>
      </c>
      <c r="CP10" s="479">
        <v>3.6554721560263399</v>
      </c>
      <c r="CQ10" s="479">
        <v>3.6837697196158801</v>
      </c>
      <c r="CR10" s="479">
        <v>3.7114384668478499</v>
      </c>
      <c r="CS10" s="479">
        <v>3.7334149408642499</v>
      </c>
      <c r="CT10" s="479">
        <v>3.7627467853749001</v>
      </c>
      <c r="CU10" s="479">
        <v>3.7947762230737401</v>
      </c>
      <c r="CV10" s="479">
        <v>3.82599936768775</v>
      </c>
      <c r="CW10" s="479">
        <v>3.8529458180807699</v>
      </c>
      <c r="CX10" s="479">
        <v>3.8821483085932602</v>
      </c>
      <c r="CY10" s="479">
        <v>3.9114234581913099</v>
      </c>
      <c r="CZ10" s="479">
        <v>3.9430290804969901</v>
      </c>
      <c r="DA10" s="479">
        <v>3.9764730585702202</v>
      </c>
      <c r="DB10" s="479">
        <v>4.0093811067722704</v>
      </c>
      <c r="DC10" s="479">
        <v>4.0435445052828101</v>
      </c>
      <c r="DD10" s="479">
        <v>4.0771502566987703</v>
      </c>
      <c r="DE10" s="479">
        <v>4.1133351364971498</v>
      </c>
      <c r="DF10" s="479">
        <v>4.14990283413709</v>
      </c>
      <c r="DG10" s="479"/>
    </row>
    <row r="12" spans="1:111" x14ac:dyDescent="0.2">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row>
    <row r="13" spans="1:111" x14ac:dyDescent="0.2">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row>
    <row r="14" spans="1:111" x14ac:dyDescent="0.2">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row>
    <row r="15" spans="1:111" x14ac:dyDescent="0.2">
      <c r="C15" s="479"/>
      <c r="D15" s="479"/>
      <c r="E15" s="479"/>
      <c r="F15" s="479"/>
    </row>
    <row r="16" spans="1:111" x14ac:dyDescent="0.2">
      <c r="C16" s="479"/>
      <c r="D16" s="479"/>
      <c r="E16" s="479"/>
      <c r="F16" s="479"/>
      <c r="CI16" s="481" t="s">
        <v>398</v>
      </c>
      <c r="CJ16" s="482"/>
      <c r="CK16" s="482"/>
      <c r="CL16" s="483" t="s">
        <v>659</v>
      </c>
      <c r="CM16" s="484"/>
      <c r="CN16" s="484"/>
      <c r="CO16" s="484"/>
      <c r="CP16" s="484"/>
      <c r="CQ16" s="484"/>
      <c r="CR16" s="482"/>
      <c r="CS16" s="482" t="s">
        <v>660</v>
      </c>
      <c r="CT16" s="482"/>
      <c r="CU16" s="806"/>
    </row>
    <row r="17" spans="3:99" x14ac:dyDescent="0.2">
      <c r="C17" s="479"/>
      <c r="D17" s="479"/>
      <c r="E17" s="479"/>
      <c r="F17" s="479"/>
      <c r="CI17" s="486"/>
      <c r="CJ17" s="487"/>
      <c r="CK17" s="487"/>
      <c r="CL17" s="487"/>
      <c r="CM17" s="487"/>
      <c r="CN17" s="487"/>
      <c r="CO17" s="487"/>
      <c r="CP17" s="487"/>
      <c r="CQ17" s="487"/>
      <c r="CR17" s="487"/>
      <c r="CS17" s="487"/>
      <c r="CT17" s="488"/>
      <c r="CU17" s="806"/>
    </row>
    <row r="18" spans="3:99" x14ac:dyDescent="0.2">
      <c r="CI18" s="489"/>
      <c r="CJ18" s="490" t="s">
        <v>259</v>
      </c>
      <c r="CK18" s="491" t="s">
        <v>385</v>
      </c>
      <c r="CL18" s="482"/>
      <c r="CM18" s="482"/>
      <c r="CN18" s="482"/>
      <c r="CO18" s="482"/>
      <c r="CP18" s="482"/>
      <c r="CQ18" s="482"/>
      <c r="CR18" s="482"/>
      <c r="CS18" s="482"/>
      <c r="CT18" s="492"/>
      <c r="CU18" s="806"/>
    </row>
    <row r="19" spans="3:99" x14ac:dyDescent="0.2">
      <c r="CI19" s="489"/>
      <c r="CJ19" s="482"/>
      <c r="CK19" s="472" t="s">
        <v>252</v>
      </c>
      <c r="CL19" s="493"/>
      <c r="CM19" s="493"/>
      <c r="CN19" s="493"/>
      <c r="CO19" s="482"/>
      <c r="CP19" s="482"/>
      <c r="CQ19" s="482"/>
      <c r="CR19" s="482"/>
      <c r="CS19" s="482"/>
      <c r="CT19" s="494" t="s">
        <v>260</v>
      </c>
      <c r="CU19" s="806"/>
    </row>
    <row r="20" spans="3:99" x14ac:dyDescent="0.2">
      <c r="CI20" s="489"/>
      <c r="CJ20" s="482"/>
      <c r="CK20" s="479">
        <v>3.4736821386754499</v>
      </c>
      <c r="CL20" s="496"/>
      <c r="CM20" s="496"/>
      <c r="CN20" s="496"/>
      <c r="CO20" s="482"/>
      <c r="CP20" s="482"/>
      <c r="CQ20" s="482"/>
      <c r="CR20" s="482"/>
      <c r="CS20" s="482"/>
      <c r="CT20" s="497">
        <f>AVERAGE(CK20:CN20)</f>
        <v>3.4736821386754499</v>
      </c>
      <c r="CU20" s="806"/>
    </row>
    <row r="21" spans="3:99" x14ac:dyDescent="0.2">
      <c r="CI21" s="489"/>
      <c r="CJ21" s="482"/>
      <c r="CK21" s="482"/>
      <c r="CL21" s="482"/>
      <c r="CM21" s="482"/>
      <c r="CN21" s="482"/>
      <c r="CO21" s="482"/>
      <c r="CP21" s="482"/>
      <c r="CQ21" s="482"/>
      <c r="CR21" s="482"/>
      <c r="CS21" s="482"/>
      <c r="CT21" s="498"/>
      <c r="CU21" s="806"/>
    </row>
    <row r="22" spans="3:99" x14ac:dyDescent="0.2">
      <c r="CI22" s="1087" t="s">
        <v>261</v>
      </c>
      <c r="CJ22" s="1088"/>
      <c r="CK22" s="1088"/>
      <c r="CL22" s="482" t="s">
        <v>661</v>
      </c>
      <c r="CM22" s="482"/>
      <c r="CN22" s="482"/>
      <c r="CO22" s="482"/>
      <c r="CP22" s="482"/>
      <c r="CQ22" s="482"/>
      <c r="CR22" s="482"/>
      <c r="CS22" s="482"/>
      <c r="CT22" s="498"/>
      <c r="CU22" s="806"/>
    </row>
    <row r="23" spans="3:99" x14ac:dyDescent="0.2">
      <c r="CI23" s="499"/>
      <c r="CJ23" s="490"/>
      <c r="CK23" s="472" t="s">
        <v>386</v>
      </c>
      <c r="CL23" s="472" t="s">
        <v>387</v>
      </c>
      <c r="CM23" s="472" t="s">
        <v>388</v>
      </c>
      <c r="CN23" s="472" t="s">
        <v>389</v>
      </c>
      <c r="CO23" s="472" t="s">
        <v>390</v>
      </c>
      <c r="CP23" s="472" t="s">
        <v>391</v>
      </c>
      <c r="CQ23" s="472" t="s">
        <v>392</v>
      </c>
      <c r="CR23" s="472" t="s">
        <v>393</v>
      </c>
      <c r="CS23" s="482"/>
      <c r="CT23" s="498"/>
      <c r="CU23" s="806"/>
    </row>
    <row r="24" spans="3:99" x14ac:dyDescent="0.2">
      <c r="CI24" s="489"/>
      <c r="CJ24" s="482"/>
      <c r="CK24" s="479">
        <v>3.49931506549617</v>
      </c>
      <c r="CL24" s="479">
        <v>3.51338511253658</v>
      </c>
      <c r="CM24" s="479">
        <v>3.5359237438715101</v>
      </c>
      <c r="CN24" s="479">
        <v>3.55894446256021</v>
      </c>
      <c r="CO24" s="479">
        <v>3.5750398262796899</v>
      </c>
      <c r="CP24" s="479">
        <v>3.5903136808117901</v>
      </c>
      <c r="CQ24" s="479">
        <v>3.6008049107670601</v>
      </c>
      <c r="CR24" s="479">
        <v>3.6183053339686699</v>
      </c>
      <c r="CS24" s="482"/>
      <c r="CT24" s="497">
        <f>AVERAGE(CK24:CR24)</f>
        <v>3.56150401703646</v>
      </c>
      <c r="CU24" s="806"/>
    </row>
    <row r="25" spans="3:99" x14ac:dyDescent="0.2">
      <c r="CI25" s="489"/>
      <c r="CJ25" s="482"/>
      <c r="CK25" s="482"/>
      <c r="CL25" s="482"/>
      <c r="CM25" s="482"/>
      <c r="CN25" s="482"/>
      <c r="CO25" s="482"/>
      <c r="CP25" s="482"/>
      <c r="CQ25" s="482"/>
      <c r="CR25" s="482"/>
      <c r="CS25" s="482"/>
      <c r="CT25" s="498"/>
      <c r="CU25" s="806"/>
    </row>
    <row r="26" spans="3:99" x14ac:dyDescent="0.2">
      <c r="CI26" s="489"/>
      <c r="CJ26" s="482"/>
      <c r="CK26" s="482"/>
      <c r="CL26" s="482"/>
      <c r="CM26" s="482"/>
      <c r="CN26" s="482"/>
      <c r="CO26" s="482"/>
      <c r="CP26" s="482"/>
      <c r="CQ26" s="482"/>
      <c r="CR26" s="482"/>
      <c r="CS26" s="501" t="s">
        <v>262</v>
      </c>
      <c r="CT26" s="502">
        <f>(CT24-CT20)/CT20</f>
        <v>2.5282070971092779E-2</v>
      </c>
      <c r="CU26" s="806"/>
    </row>
    <row r="27" spans="3:99" x14ac:dyDescent="0.2">
      <c r="CI27" s="503"/>
      <c r="CJ27" s="504"/>
      <c r="CK27" s="504"/>
      <c r="CL27" s="504"/>
      <c r="CM27" s="504"/>
      <c r="CN27" s="504"/>
      <c r="CO27" s="504"/>
      <c r="CP27" s="504"/>
      <c r="CQ27" s="504"/>
      <c r="CR27" s="504"/>
      <c r="CS27" s="504"/>
      <c r="CT27" s="505"/>
      <c r="CU27" s="806"/>
    </row>
    <row r="28" spans="3:99" x14ac:dyDescent="0.2">
      <c r="CI28" s="806"/>
      <c r="CJ28" s="806"/>
      <c r="CK28" s="806"/>
      <c r="CL28" s="806"/>
      <c r="CM28" s="806"/>
      <c r="CN28" s="806"/>
      <c r="CO28" s="806"/>
      <c r="CP28" s="806"/>
      <c r="CQ28" s="806"/>
      <c r="CR28" s="806"/>
      <c r="CS28" s="806"/>
      <c r="CT28" s="806"/>
      <c r="CU28" s="806"/>
    </row>
  </sheetData>
  <mergeCells count="2">
    <mergeCell ref="A1:B1"/>
    <mergeCell ref="CI22:CK22"/>
  </mergeCells>
  <pageMargins left="0.25" right="0.2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E687-CCD8-4F8B-AC44-3E97E68F673F}">
  <dimension ref="A1:CX27"/>
  <sheetViews>
    <sheetView topLeftCell="BJ1" workbookViewId="0">
      <selection activeCell="CM29" sqref="CM29"/>
    </sheetView>
  </sheetViews>
  <sheetFormatPr defaultRowHeight="12.75" x14ac:dyDescent="0.2"/>
  <cols>
    <col min="1" max="1" width="33.625" style="467" customWidth="1"/>
    <col min="2" max="2" width="11.25" style="472" customWidth="1"/>
    <col min="3" max="82" width="6.75" style="467" customWidth="1"/>
    <col min="83" max="94" width="9" style="467"/>
    <col min="95" max="102" width="0" style="467" hidden="1" customWidth="1"/>
    <col min="103" max="256" width="9" style="467"/>
    <col min="257" max="257" width="33.625" style="467" customWidth="1"/>
    <col min="258" max="258" width="11.25" style="467" customWidth="1"/>
    <col min="259" max="338" width="6.75" style="467" customWidth="1"/>
    <col min="339" max="512" width="9" style="467"/>
    <col min="513" max="513" width="33.625" style="467" customWidth="1"/>
    <col min="514" max="514" width="11.25" style="467" customWidth="1"/>
    <col min="515" max="594" width="6.75" style="467" customWidth="1"/>
    <col min="595" max="768" width="9" style="467"/>
    <col min="769" max="769" width="33.625" style="467" customWidth="1"/>
    <col min="770" max="770" width="11.25" style="467" customWidth="1"/>
    <col min="771" max="850" width="6.75" style="467" customWidth="1"/>
    <col min="851" max="1024" width="9" style="467"/>
    <col min="1025" max="1025" width="33.625" style="467" customWidth="1"/>
    <col min="1026" max="1026" width="11.25" style="467" customWidth="1"/>
    <col min="1027" max="1106" width="6.75" style="467" customWidth="1"/>
    <col min="1107" max="1280" width="9" style="467"/>
    <col min="1281" max="1281" width="33.625" style="467" customWidth="1"/>
    <col min="1282" max="1282" width="11.25" style="467" customWidth="1"/>
    <col min="1283" max="1362" width="6.75" style="467" customWidth="1"/>
    <col min="1363" max="1536" width="9" style="467"/>
    <col min="1537" max="1537" width="33.625" style="467" customWidth="1"/>
    <col min="1538" max="1538" width="11.25" style="467" customWidth="1"/>
    <col min="1539" max="1618" width="6.75" style="467" customWidth="1"/>
    <col min="1619" max="1792" width="9" style="467"/>
    <col min="1793" max="1793" width="33.625" style="467" customWidth="1"/>
    <col min="1794" max="1794" width="11.25" style="467" customWidth="1"/>
    <col min="1795" max="1874" width="6.75" style="467" customWidth="1"/>
    <col min="1875" max="2048" width="9" style="467"/>
    <col min="2049" max="2049" width="33.625" style="467" customWidth="1"/>
    <col min="2050" max="2050" width="11.25" style="467" customWidth="1"/>
    <col min="2051" max="2130" width="6.75" style="467" customWidth="1"/>
    <col min="2131" max="2304" width="9" style="467"/>
    <col min="2305" max="2305" width="33.625" style="467" customWidth="1"/>
    <col min="2306" max="2306" width="11.25" style="467" customWidth="1"/>
    <col min="2307" max="2386" width="6.75" style="467" customWidth="1"/>
    <col min="2387" max="2560" width="9" style="467"/>
    <col min="2561" max="2561" width="33.625" style="467" customWidth="1"/>
    <col min="2562" max="2562" width="11.25" style="467" customWidth="1"/>
    <col min="2563" max="2642" width="6.75" style="467" customWidth="1"/>
    <col min="2643" max="2816" width="9" style="467"/>
    <col min="2817" max="2817" width="33.625" style="467" customWidth="1"/>
    <col min="2818" max="2818" width="11.25" style="467" customWidth="1"/>
    <col min="2819" max="2898" width="6.75" style="467" customWidth="1"/>
    <col min="2899" max="3072" width="9" style="467"/>
    <col min="3073" max="3073" width="33.625" style="467" customWidth="1"/>
    <col min="3074" max="3074" width="11.25" style="467" customWidth="1"/>
    <col min="3075" max="3154" width="6.75" style="467" customWidth="1"/>
    <col min="3155" max="3328" width="9" style="467"/>
    <col min="3329" max="3329" width="33.625" style="467" customWidth="1"/>
    <col min="3330" max="3330" width="11.25" style="467" customWidth="1"/>
    <col min="3331" max="3410" width="6.75" style="467" customWidth="1"/>
    <col min="3411" max="3584" width="9" style="467"/>
    <col min="3585" max="3585" width="33.625" style="467" customWidth="1"/>
    <col min="3586" max="3586" width="11.25" style="467" customWidth="1"/>
    <col min="3587" max="3666" width="6.75" style="467" customWidth="1"/>
    <col min="3667" max="3840" width="9" style="467"/>
    <col min="3841" max="3841" width="33.625" style="467" customWidth="1"/>
    <col min="3842" max="3842" width="11.25" style="467" customWidth="1"/>
    <col min="3843" max="3922" width="6.75" style="467" customWidth="1"/>
    <col min="3923" max="4096" width="9" style="467"/>
    <col min="4097" max="4097" width="33.625" style="467" customWidth="1"/>
    <col min="4098" max="4098" width="11.25" style="467" customWidth="1"/>
    <col min="4099" max="4178" width="6.75" style="467" customWidth="1"/>
    <col min="4179" max="4352" width="9" style="467"/>
    <col min="4353" max="4353" width="33.625" style="467" customWidth="1"/>
    <col min="4354" max="4354" width="11.25" style="467" customWidth="1"/>
    <col min="4355" max="4434" width="6.75" style="467" customWidth="1"/>
    <col min="4435" max="4608" width="9" style="467"/>
    <col min="4609" max="4609" width="33.625" style="467" customWidth="1"/>
    <col min="4610" max="4610" width="11.25" style="467" customWidth="1"/>
    <col min="4611" max="4690" width="6.75" style="467" customWidth="1"/>
    <col min="4691" max="4864" width="9" style="467"/>
    <col min="4865" max="4865" width="33.625" style="467" customWidth="1"/>
    <col min="4866" max="4866" width="11.25" style="467" customWidth="1"/>
    <col min="4867" max="4946" width="6.75" style="467" customWidth="1"/>
    <col min="4947" max="5120" width="9" style="467"/>
    <col min="5121" max="5121" width="33.625" style="467" customWidth="1"/>
    <col min="5122" max="5122" width="11.25" style="467" customWidth="1"/>
    <col min="5123" max="5202" width="6.75" style="467" customWidth="1"/>
    <col min="5203" max="5376" width="9" style="467"/>
    <col min="5377" max="5377" width="33.625" style="467" customWidth="1"/>
    <col min="5378" max="5378" width="11.25" style="467" customWidth="1"/>
    <col min="5379" max="5458" width="6.75" style="467" customWidth="1"/>
    <col min="5459" max="5632" width="9" style="467"/>
    <col min="5633" max="5633" width="33.625" style="467" customWidth="1"/>
    <col min="5634" max="5634" width="11.25" style="467" customWidth="1"/>
    <col min="5635" max="5714" width="6.75" style="467" customWidth="1"/>
    <col min="5715" max="5888" width="9" style="467"/>
    <col min="5889" max="5889" width="33.625" style="467" customWidth="1"/>
    <col min="5890" max="5890" width="11.25" style="467" customWidth="1"/>
    <col min="5891" max="5970" width="6.75" style="467" customWidth="1"/>
    <col min="5971" max="6144" width="9" style="467"/>
    <col min="6145" max="6145" width="33.625" style="467" customWidth="1"/>
    <col min="6146" max="6146" width="11.25" style="467" customWidth="1"/>
    <col min="6147" max="6226" width="6.75" style="467" customWidth="1"/>
    <col min="6227" max="6400" width="9" style="467"/>
    <col min="6401" max="6401" width="33.625" style="467" customWidth="1"/>
    <col min="6402" max="6402" width="11.25" style="467" customWidth="1"/>
    <col min="6403" max="6482" width="6.75" style="467" customWidth="1"/>
    <col min="6483" max="6656" width="9" style="467"/>
    <col min="6657" max="6657" width="33.625" style="467" customWidth="1"/>
    <col min="6658" max="6658" width="11.25" style="467" customWidth="1"/>
    <col min="6659" max="6738" width="6.75" style="467" customWidth="1"/>
    <col min="6739" max="6912" width="9" style="467"/>
    <col min="6913" max="6913" width="33.625" style="467" customWidth="1"/>
    <col min="6914" max="6914" width="11.25" style="467" customWidth="1"/>
    <col min="6915" max="6994" width="6.75" style="467" customWidth="1"/>
    <col min="6995" max="7168" width="9" style="467"/>
    <col min="7169" max="7169" width="33.625" style="467" customWidth="1"/>
    <col min="7170" max="7170" width="11.25" style="467" customWidth="1"/>
    <col min="7171" max="7250" width="6.75" style="467" customWidth="1"/>
    <col min="7251" max="7424" width="9" style="467"/>
    <col min="7425" max="7425" width="33.625" style="467" customWidth="1"/>
    <col min="7426" max="7426" width="11.25" style="467" customWidth="1"/>
    <col min="7427" max="7506" width="6.75" style="467" customWidth="1"/>
    <col min="7507" max="7680" width="9" style="467"/>
    <col min="7681" max="7681" width="33.625" style="467" customWidth="1"/>
    <col min="7682" max="7682" width="11.25" style="467" customWidth="1"/>
    <col min="7683" max="7762" width="6.75" style="467" customWidth="1"/>
    <col min="7763" max="7936" width="9" style="467"/>
    <col min="7937" max="7937" width="33.625" style="467" customWidth="1"/>
    <col min="7938" max="7938" width="11.25" style="467" customWidth="1"/>
    <col min="7939" max="8018" width="6.75" style="467" customWidth="1"/>
    <col min="8019" max="8192" width="9" style="467"/>
    <col min="8193" max="8193" width="33.625" style="467" customWidth="1"/>
    <col min="8194" max="8194" width="11.25" style="467" customWidth="1"/>
    <col min="8195" max="8274" width="6.75" style="467" customWidth="1"/>
    <col min="8275" max="8448" width="9" style="467"/>
    <col min="8449" max="8449" width="33.625" style="467" customWidth="1"/>
    <col min="8450" max="8450" width="11.25" style="467" customWidth="1"/>
    <col min="8451" max="8530" width="6.75" style="467" customWidth="1"/>
    <col min="8531" max="8704" width="9" style="467"/>
    <col min="8705" max="8705" width="33.625" style="467" customWidth="1"/>
    <col min="8706" max="8706" width="11.25" style="467" customWidth="1"/>
    <col min="8707" max="8786" width="6.75" style="467" customWidth="1"/>
    <col min="8787" max="8960" width="9" style="467"/>
    <col min="8961" max="8961" width="33.625" style="467" customWidth="1"/>
    <col min="8962" max="8962" width="11.25" style="467" customWidth="1"/>
    <col min="8963" max="9042" width="6.75" style="467" customWidth="1"/>
    <col min="9043" max="9216" width="9" style="467"/>
    <col min="9217" max="9217" width="33.625" style="467" customWidth="1"/>
    <col min="9218" max="9218" width="11.25" style="467" customWidth="1"/>
    <col min="9219" max="9298" width="6.75" style="467" customWidth="1"/>
    <col min="9299" max="9472" width="9" style="467"/>
    <col min="9473" max="9473" width="33.625" style="467" customWidth="1"/>
    <col min="9474" max="9474" width="11.25" style="467" customWidth="1"/>
    <col min="9475" max="9554" width="6.75" style="467" customWidth="1"/>
    <col min="9555" max="9728" width="9" style="467"/>
    <col min="9729" max="9729" width="33.625" style="467" customWidth="1"/>
    <col min="9730" max="9730" width="11.25" style="467" customWidth="1"/>
    <col min="9731" max="9810" width="6.75" style="467" customWidth="1"/>
    <col min="9811" max="9984" width="9" style="467"/>
    <col min="9985" max="9985" width="33.625" style="467" customWidth="1"/>
    <col min="9986" max="9986" width="11.25" style="467" customWidth="1"/>
    <col min="9987" max="10066" width="6.75" style="467" customWidth="1"/>
    <col min="10067" max="10240" width="9" style="467"/>
    <col min="10241" max="10241" width="33.625" style="467" customWidth="1"/>
    <col min="10242" max="10242" width="11.25" style="467" customWidth="1"/>
    <col min="10243" max="10322" width="6.75" style="467" customWidth="1"/>
    <col min="10323" max="10496" width="9" style="467"/>
    <col min="10497" max="10497" width="33.625" style="467" customWidth="1"/>
    <col min="10498" max="10498" width="11.25" style="467" customWidth="1"/>
    <col min="10499" max="10578" width="6.75" style="467" customWidth="1"/>
    <col min="10579" max="10752" width="9" style="467"/>
    <col min="10753" max="10753" width="33.625" style="467" customWidth="1"/>
    <col min="10754" max="10754" width="11.25" style="467" customWidth="1"/>
    <col min="10755" max="10834" width="6.75" style="467" customWidth="1"/>
    <col min="10835" max="11008" width="9" style="467"/>
    <col min="11009" max="11009" width="33.625" style="467" customWidth="1"/>
    <col min="11010" max="11010" width="11.25" style="467" customWidth="1"/>
    <col min="11011" max="11090" width="6.75" style="467" customWidth="1"/>
    <col min="11091" max="11264" width="9" style="467"/>
    <col min="11265" max="11265" width="33.625" style="467" customWidth="1"/>
    <col min="11266" max="11266" width="11.25" style="467" customWidth="1"/>
    <col min="11267" max="11346" width="6.75" style="467" customWidth="1"/>
    <col min="11347" max="11520" width="9" style="467"/>
    <col min="11521" max="11521" width="33.625" style="467" customWidth="1"/>
    <col min="11522" max="11522" width="11.25" style="467" customWidth="1"/>
    <col min="11523" max="11602" width="6.75" style="467" customWidth="1"/>
    <col min="11603" max="11776" width="9" style="467"/>
    <col min="11777" max="11777" width="33.625" style="467" customWidth="1"/>
    <col min="11778" max="11778" width="11.25" style="467" customWidth="1"/>
    <col min="11779" max="11858" width="6.75" style="467" customWidth="1"/>
    <col min="11859" max="12032" width="9" style="467"/>
    <col min="12033" max="12033" width="33.625" style="467" customWidth="1"/>
    <col min="12034" max="12034" width="11.25" style="467" customWidth="1"/>
    <col min="12035" max="12114" width="6.75" style="467" customWidth="1"/>
    <col min="12115" max="12288" width="9" style="467"/>
    <col min="12289" max="12289" width="33.625" style="467" customWidth="1"/>
    <col min="12290" max="12290" width="11.25" style="467" customWidth="1"/>
    <col min="12291" max="12370" width="6.75" style="467" customWidth="1"/>
    <col min="12371" max="12544" width="9" style="467"/>
    <col min="12545" max="12545" width="33.625" style="467" customWidth="1"/>
    <col min="12546" max="12546" width="11.25" style="467" customWidth="1"/>
    <col min="12547" max="12626" width="6.75" style="467" customWidth="1"/>
    <col min="12627" max="12800" width="9" style="467"/>
    <col min="12801" max="12801" width="33.625" style="467" customWidth="1"/>
    <col min="12802" max="12802" width="11.25" style="467" customWidth="1"/>
    <col min="12803" max="12882" width="6.75" style="467" customWidth="1"/>
    <col min="12883" max="13056" width="9" style="467"/>
    <col min="13057" max="13057" width="33.625" style="467" customWidth="1"/>
    <col min="13058" max="13058" width="11.25" style="467" customWidth="1"/>
    <col min="13059" max="13138" width="6.75" style="467" customWidth="1"/>
    <col min="13139" max="13312" width="9" style="467"/>
    <col min="13313" max="13313" width="33.625" style="467" customWidth="1"/>
    <col min="13314" max="13314" width="11.25" style="467" customWidth="1"/>
    <col min="13315" max="13394" width="6.75" style="467" customWidth="1"/>
    <col min="13395" max="13568" width="9" style="467"/>
    <col min="13569" max="13569" width="33.625" style="467" customWidth="1"/>
    <col min="13570" max="13570" width="11.25" style="467" customWidth="1"/>
    <col min="13571" max="13650" width="6.75" style="467" customWidth="1"/>
    <col min="13651" max="13824" width="9" style="467"/>
    <col min="13825" max="13825" width="33.625" style="467" customWidth="1"/>
    <col min="13826" max="13826" width="11.25" style="467" customWidth="1"/>
    <col min="13827" max="13906" width="6.75" style="467" customWidth="1"/>
    <col min="13907" max="14080" width="9" style="467"/>
    <col min="14081" max="14081" width="33.625" style="467" customWidth="1"/>
    <col min="14082" max="14082" width="11.25" style="467" customWidth="1"/>
    <col min="14083" max="14162" width="6.75" style="467" customWidth="1"/>
    <col min="14163" max="14336" width="9" style="467"/>
    <col min="14337" max="14337" width="33.625" style="467" customWidth="1"/>
    <col min="14338" max="14338" width="11.25" style="467" customWidth="1"/>
    <col min="14339" max="14418" width="6.75" style="467" customWidth="1"/>
    <col min="14419" max="14592" width="9" style="467"/>
    <col min="14593" max="14593" width="33.625" style="467" customWidth="1"/>
    <col min="14594" max="14594" width="11.25" style="467" customWidth="1"/>
    <col min="14595" max="14674" width="6.75" style="467" customWidth="1"/>
    <col min="14675" max="14848" width="9" style="467"/>
    <col min="14849" max="14849" width="33.625" style="467" customWidth="1"/>
    <col min="14850" max="14850" width="11.25" style="467" customWidth="1"/>
    <col min="14851" max="14930" width="6.75" style="467" customWidth="1"/>
    <col min="14931" max="15104" width="9" style="467"/>
    <col min="15105" max="15105" width="33.625" style="467" customWidth="1"/>
    <col min="15106" max="15106" width="11.25" style="467" customWidth="1"/>
    <col min="15107" max="15186" width="6.75" style="467" customWidth="1"/>
    <col min="15187" max="15360" width="9" style="467"/>
    <col min="15361" max="15361" width="33.625" style="467" customWidth="1"/>
    <col min="15362" max="15362" width="11.25" style="467" customWidth="1"/>
    <col min="15363" max="15442" width="6.75" style="467" customWidth="1"/>
    <col min="15443" max="15616" width="9" style="467"/>
    <col min="15617" max="15617" width="33.625" style="467" customWidth="1"/>
    <col min="15618" max="15618" width="11.25" style="467" customWidth="1"/>
    <col min="15619" max="15698" width="6.75" style="467" customWidth="1"/>
    <col min="15699" max="15872" width="9" style="467"/>
    <col min="15873" max="15873" width="33.625" style="467" customWidth="1"/>
    <col min="15874" max="15874" width="11.25" style="467" customWidth="1"/>
    <col min="15875" max="15954" width="6.75" style="467" customWidth="1"/>
    <col min="15955" max="16128" width="9" style="467"/>
    <col min="16129" max="16129" width="33.625" style="467" customWidth="1"/>
    <col min="16130" max="16130" width="11.25" style="467" customWidth="1"/>
    <col min="16131" max="16210" width="6.75" style="467" customWidth="1"/>
    <col min="16211" max="16384" width="9" style="467"/>
  </cols>
  <sheetData>
    <row r="1" spans="1:102" ht="18" x14ac:dyDescent="0.25">
      <c r="A1" s="1085" t="s">
        <v>159</v>
      </c>
      <c r="B1" s="1086"/>
    </row>
    <row r="2" spans="1:102" ht="15.75" x14ac:dyDescent="0.25">
      <c r="A2" s="468" t="s">
        <v>383</v>
      </c>
      <c r="B2" s="469"/>
    </row>
    <row r="3" spans="1:102" ht="15.75" thickBot="1" x14ac:dyDescent="0.3">
      <c r="A3" s="470" t="s">
        <v>160</v>
      </c>
      <c r="B3" s="471"/>
    </row>
    <row r="6" spans="1:102" x14ac:dyDescent="0.2">
      <c r="BQ6" s="473" t="s">
        <v>161</v>
      </c>
      <c r="BR6" s="473"/>
      <c r="BS6" s="473"/>
      <c r="BT6" s="473"/>
      <c r="BU6" s="473"/>
      <c r="BV6" s="473"/>
      <c r="BW6" s="473"/>
      <c r="BX6" s="473"/>
      <c r="BY6" s="474" t="s">
        <v>162</v>
      </c>
      <c r="BZ6" s="474" t="s">
        <v>162</v>
      </c>
      <c r="CA6" s="474" t="s">
        <v>162</v>
      </c>
      <c r="CB6" s="474" t="s">
        <v>162</v>
      </c>
      <c r="CC6" s="475" t="s">
        <v>163</v>
      </c>
      <c r="CD6" s="475" t="s">
        <v>163</v>
      </c>
      <c r="CE6" s="475" t="s">
        <v>163</v>
      </c>
      <c r="CF6" s="475" t="s">
        <v>163</v>
      </c>
      <c r="CG6" s="476" t="s">
        <v>384</v>
      </c>
      <c r="CH6" s="476" t="s">
        <v>384</v>
      </c>
      <c r="CI6" s="476" t="s">
        <v>384</v>
      </c>
      <c r="CJ6" s="476" t="s">
        <v>384</v>
      </c>
      <c r="CK6" s="477" t="s">
        <v>385</v>
      </c>
      <c r="CL6" s="477" t="s">
        <v>385</v>
      </c>
      <c r="CM6" s="477" t="s">
        <v>385</v>
      </c>
      <c r="CN6" s="477" t="s">
        <v>385</v>
      </c>
    </row>
    <row r="7" spans="1:102" s="472" customFormat="1" x14ac:dyDescent="0.2">
      <c r="B7" s="472" t="s">
        <v>164</v>
      </c>
      <c r="C7" s="478" t="s">
        <v>165</v>
      </c>
      <c r="D7" s="478" t="s">
        <v>166</v>
      </c>
      <c r="E7" s="478" t="s">
        <v>167</v>
      </c>
      <c r="F7" s="478" t="s">
        <v>168</v>
      </c>
      <c r="G7" s="478" t="s">
        <v>169</v>
      </c>
      <c r="H7" s="478" t="s">
        <v>170</v>
      </c>
      <c r="I7" s="478" t="s">
        <v>171</v>
      </c>
      <c r="J7" s="478" t="s">
        <v>172</v>
      </c>
      <c r="K7" s="478" t="s">
        <v>173</v>
      </c>
      <c r="L7" s="478" t="s">
        <v>174</v>
      </c>
      <c r="M7" s="478" t="s">
        <v>175</v>
      </c>
      <c r="N7" s="478" t="s">
        <v>176</v>
      </c>
      <c r="O7" s="478" t="s">
        <v>177</v>
      </c>
      <c r="P7" s="478" t="s">
        <v>178</v>
      </c>
      <c r="Q7" s="478" t="s">
        <v>179</v>
      </c>
      <c r="R7" s="478" t="s">
        <v>180</v>
      </c>
      <c r="S7" s="478" t="s">
        <v>181</v>
      </c>
      <c r="T7" s="478" t="s">
        <v>182</v>
      </c>
      <c r="U7" s="478" t="s">
        <v>183</v>
      </c>
      <c r="V7" s="478" t="s">
        <v>184</v>
      </c>
      <c r="W7" s="478" t="s">
        <v>185</v>
      </c>
      <c r="X7" s="478" t="s">
        <v>186</v>
      </c>
      <c r="Y7" s="478" t="s">
        <v>187</v>
      </c>
      <c r="Z7" s="478" t="s">
        <v>188</v>
      </c>
      <c r="AA7" s="478" t="s">
        <v>189</v>
      </c>
      <c r="AB7" s="478" t="s">
        <v>190</v>
      </c>
      <c r="AC7" s="478" t="s">
        <v>191</v>
      </c>
      <c r="AD7" s="478" t="s">
        <v>192</v>
      </c>
      <c r="AE7" s="478" t="s">
        <v>193</v>
      </c>
      <c r="AF7" s="478" t="s">
        <v>194</v>
      </c>
      <c r="AG7" s="478" t="s">
        <v>195</v>
      </c>
      <c r="AH7" s="478" t="s">
        <v>196</v>
      </c>
      <c r="AI7" s="478" t="s">
        <v>197</v>
      </c>
      <c r="AJ7" s="478" t="s">
        <v>198</v>
      </c>
      <c r="AK7" s="478" t="s">
        <v>199</v>
      </c>
      <c r="AL7" s="478" t="s">
        <v>200</v>
      </c>
      <c r="AM7" s="478" t="s">
        <v>201</v>
      </c>
      <c r="AN7" s="478" t="s">
        <v>202</v>
      </c>
      <c r="AO7" s="478" t="s">
        <v>203</v>
      </c>
      <c r="AP7" s="478" t="s">
        <v>204</v>
      </c>
      <c r="AQ7" s="478" t="s">
        <v>205</v>
      </c>
      <c r="AR7" s="478" t="s">
        <v>206</v>
      </c>
      <c r="AS7" s="478" t="s">
        <v>207</v>
      </c>
      <c r="AT7" s="478" t="s">
        <v>208</v>
      </c>
      <c r="AU7" s="472" t="s">
        <v>209</v>
      </c>
      <c r="AV7" s="472" t="s">
        <v>210</v>
      </c>
      <c r="AW7" s="472" t="s">
        <v>211</v>
      </c>
      <c r="AX7" s="472" t="s">
        <v>212</v>
      </c>
      <c r="AY7" s="472" t="s">
        <v>213</v>
      </c>
      <c r="AZ7" s="472" t="s">
        <v>214</v>
      </c>
      <c r="BA7" s="472" t="s">
        <v>215</v>
      </c>
      <c r="BB7" s="472" t="s">
        <v>216</v>
      </c>
      <c r="BC7" s="472" t="s">
        <v>217</v>
      </c>
      <c r="BD7" s="472" t="s">
        <v>218</v>
      </c>
      <c r="BE7" s="472" t="s">
        <v>219</v>
      </c>
      <c r="BF7" s="472" t="s">
        <v>220</v>
      </c>
      <c r="BG7" s="472" t="s">
        <v>221</v>
      </c>
      <c r="BH7" s="472" t="s">
        <v>222</v>
      </c>
      <c r="BI7" s="472" t="s">
        <v>223</v>
      </c>
      <c r="BJ7" s="472" t="s">
        <v>224</v>
      </c>
      <c r="BK7" s="472" t="s">
        <v>225</v>
      </c>
      <c r="BL7" s="472" t="s">
        <v>226</v>
      </c>
      <c r="BM7" s="472" t="s">
        <v>227</v>
      </c>
      <c r="BN7" s="472" t="s">
        <v>228</v>
      </c>
      <c r="BO7" s="472" t="s">
        <v>229</v>
      </c>
      <c r="BP7" s="472" t="s">
        <v>230</v>
      </c>
      <c r="BQ7" s="472" t="s">
        <v>231</v>
      </c>
      <c r="BR7" s="472" t="s">
        <v>232</v>
      </c>
      <c r="BS7" s="472" t="s">
        <v>233</v>
      </c>
      <c r="BT7" s="472" t="s">
        <v>234</v>
      </c>
      <c r="BU7" s="472" t="s">
        <v>235</v>
      </c>
      <c r="BV7" s="472" t="s">
        <v>236</v>
      </c>
      <c r="BW7" s="472" t="s">
        <v>237</v>
      </c>
      <c r="BX7" s="472" t="s">
        <v>238</v>
      </c>
      <c r="BY7" s="472" t="s">
        <v>239</v>
      </c>
      <c r="BZ7" s="472" t="s">
        <v>240</v>
      </c>
      <c r="CA7" s="472" t="s">
        <v>241</v>
      </c>
      <c r="CB7" s="472" t="s">
        <v>242</v>
      </c>
      <c r="CC7" s="472" t="s">
        <v>243</v>
      </c>
      <c r="CD7" s="472" t="s">
        <v>244</v>
      </c>
      <c r="CE7" s="472" t="s">
        <v>245</v>
      </c>
      <c r="CF7" s="472" t="s">
        <v>246</v>
      </c>
      <c r="CG7" s="472" t="s">
        <v>247</v>
      </c>
      <c r="CH7" s="472" t="s">
        <v>248</v>
      </c>
      <c r="CI7" s="472" t="s">
        <v>249</v>
      </c>
      <c r="CJ7" s="472" t="s">
        <v>250</v>
      </c>
      <c r="CK7" s="472" t="s">
        <v>251</v>
      </c>
      <c r="CL7" s="472" t="s">
        <v>252</v>
      </c>
      <c r="CM7" s="472" t="s">
        <v>386</v>
      </c>
      <c r="CN7" s="472" t="s">
        <v>387</v>
      </c>
      <c r="CO7" s="472" t="s">
        <v>388</v>
      </c>
      <c r="CP7" s="472" t="s">
        <v>389</v>
      </c>
      <c r="CQ7" s="472" t="s">
        <v>390</v>
      </c>
      <c r="CR7" s="472" t="s">
        <v>391</v>
      </c>
      <c r="CS7" s="472" t="s">
        <v>392</v>
      </c>
      <c r="CT7" s="472" t="s">
        <v>393</v>
      </c>
      <c r="CU7" s="472" t="s">
        <v>394</v>
      </c>
      <c r="CV7" s="472" t="s">
        <v>395</v>
      </c>
      <c r="CW7" s="472" t="s">
        <v>396</v>
      </c>
      <c r="CX7" s="472" t="s">
        <v>397</v>
      </c>
    </row>
    <row r="8" spans="1:102" x14ac:dyDescent="0.2">
      <c r="A8" s="472" t="s">
        <v>253</v>
      </c>
      <c r="B8" s="472" t="s">
        <v>254</v>
      </c>
      <c r="C8" s="479">
        <v>2.0050112051495002</v>
      </c>
      <c r="D8" s="479">
        <v>2.0276241163363098</v>
      </c>
      <c r="E8" s="479">
        <v>2.0363460391917001</v>
      </c>
      <c r="F8" s="479">
        <v>2.0596415110589001</v>
      </c>
      <c r="G8" s="479">
        <v>2.0733294705676499</v>
      </c>
      <c r="H8" s="479">
        <v>2.0835292799709602</v>
      </c>
      <c r="I8" s="479">
        <v>2.1195041887439401</v>
      </c>
      <c r="J8" s="479">
        <v>2.1415481300828598</v>
      </c>
      <c r="K8" s="479">
        <v>2.1562703287960399</v>
      </c>
      <c r="L8" s="479">
        <v>2.1819748269408099</v>
      </c>
      <c r="M8" s="479">
        <v>2.2029036076995201</v>
      </c>
      <c r="N8" s="479">
        <v>2.1887625047097399</v>
      </c>
      <c r="O8" s="479">
        <v>2.2060843099596301</v>
      </c>
      <c r="P8" s="479">
        <v>2.2265958098971699</v>
      </c>
      <c r="Q8" s="479">
        <v>2.2446322955459399</v>
      </c>
      <c r="R8" s="479">
        <v>2.2722619420728098</v>
      </c>
      <c r="S8" s="479">
        <v>2.2956075162666898</v>
      </c>
      <c r="T8" s="479">
        <v>2.33325183151159</v>
      </c>
      <c r="U8" s="479">
        <v>2.37203530343487</v>
      </c>
      <c r="V8" s="479">
        <v>2.3206542043126999</v>
      </c>
      <c r="W8" s="479">
        <v>2.30200743794274</v>
      </c>
      <c r="X8" s="479">
        <v>2.3133154897554</v>
      </c>
      <c r="Y8" s="479">
        <v>2.3324316109679</v>
      </c>
      <c r="Z8" s="479">
        <v>2.3514838560921301</v>
      </c>
      <c r="AA8" s="479">
        <v>2.35519698431525</v>
      </c>
      <c r="AB8" s="479">
        <v>2.3583040416960399</v>
      </c>
      <c r="AC8" s="479">
        <v>2.3659233658671601</v>
      </c>
      <c r="AD8" s="479">
        <v>2.3887196326128302</v>
      </c>
      <c r="AE8" s="479">
        <v>2.4062061518870501</v>
      </c>
      <c r="AF8" s="479">
        <v>2.44252591544041</v>
      </c>
      <c r="AG8" s="479">
        <v>2.4591685909552199</v>
      </c>
      <c r="AH8" s="479">
        <v>2.4668379437269699</v>
      </c>
      <c r="AI8" s="479">
        <v>2.4785145451270099</v>
      </c>
      <c r="AJ8" s="479">
        <v>2.4851120001921498</v>
      </c>
      <c r="AK8" s="479">
        <v>2.4964929133262999</v>
      </c>
      <c r="AL8" s="479">
        <v>2.5166188182623199</v>
      </c>
      <c r="AM8" s="479">
        <v>2.5215576130559998</v>
      </c>
      <c r="AN8" s="479">
        <v>2.52180857683138</v>
      </c>
      <c r="AO8" s="479">
        <v>2.53710244272522</v>
      </c>
      <c r="AP8" s="479">
        <v>2.54811207866496</v>
      </c>
      <c r="AQ8" s="479">
        <v>2.5620432753712001</v>
      </c>
      <c r="AR8" s="479">
        <v>2.5663852378941701</v>
      </c>
      <c r="AS8" s="479">
        <v>2.5733594694754802</v>
      </c>
      <c r="AT8" s="479">
        <v>2.5692521315192698</v>
      </c>
      <c r="AU8" s="479">
        <v>2.56015489993815</v>
      </c>
      <c r="AV8" s="479">
        <v>2.5720252475700498</v>
      </c>
      <c r="AW8" s="479">
        <v>2.5752492149967199</v>
      </c>
      <c r="AX8" s="479">
        <v>2.5757251437181501</v>
      </c>
      <c r="AY8" s="479">
        <v>2.5700308525139999</v>
      </c>
      <c r="AZ8" s="479">
        <v>2.5905788087957</v>
      </c>
      <c r="BA8" s="479">
        <v>2.60565815313538</v>
      </c>
      <c r="BB8" s="479">
        <v>2.62434040849209</v>
      </c>
      <c r="BC8" s="479">
        <v>2.6416721951751398</v>
      </c>
      <c r="BD8" s="479">
        <v>2.6438856664204402</v>
      </c>
      <c r="BE8" s="479">
        <v>2.6501699197236599</v>
      </c>
      <c r="BF8" s="479">
        <v>2.671878963438</v>
      </c>
      <c r="BG8" s="479">
        <v>2.6993222171317699</v>
      </c>
      <c r="BH8" s="479">
        <v>2.71620981134443</v>
      </c>
      <c r="BI8" s="479">
        <v>2.7288288811600601</v>
      </c>
      <c r="BJ8" s="479">
        <v>2.7428099299867101</v>
      </c>
      <c r="BK8" s="479">
        <v>2.7489205839767799</v>
      </c>
      <c r="BL8" s="479">
        <v>2.7670705452261899</v>
      </c>
      <c r="BM8" s="479">
        <v>2.7828865026935201</v>
      </c>
      <c r="BN8" s="479">
        <v>2.7968085391111699</v>
      </c>
      <c r="BO8" s="479">
        <v>2.8054288346603502</v>
      </c>
      <c r="BP8" s="479">
        <v>2.7884180402680299</v>
      </c>
      <c r="BQ8" s="479">
        <v>2.7998641580951702</v>
      </c>
      <c r="BR8" s="479">
        <v>2.8171474270444001</v>
      </c>
      <c r="BS8" s="479">
        <v>2.8438349396178499</v>
      </c>
      <c r="BT8" s="479">
        <v>2.8752551433225602</v>
      </c>
      <c r="BU8" s="479">
        <v>2.9161903655505799</v>
      </c>
      <c r="BV8" s="479">
        <v>2.9803358353475899</v>
      </c>
      <c r="BW8" s="479">
        <v>3.0354748219846401</v>
      </c>
      <c r="BX8" s="479">
        <v>3.0879962927626701</v>
      </c>
      <c r="BY8" s="479">
        <v>3.1288947779563401</v>
      </c>
      <c r="BZ8" s="479">
        <v>3.1689521453255201</v>
      </c>
      <c r="CA8" s="479">
        <v>3.1980340707348902</v>
      </c>
      <c r="CB8" s="479">
        <v>3.22990450581444</v>
      </c>
      <c r="CC8" s="479">
        <v>3.26075269913281</v>
      </c>
      <c r="CD8" s="479">
        <v>3.2907631968455</v>
      </c>
      <c r="CE8" s="479">
        <v>3.3125596296297699</v>
      </c>
      <c r="CF8" s="479">
        <v>3.3297133036565598</v>
      </c>
      <c r="CG8" s="479">
        <v>3.3554073265633502</v>
      </c>
      <c r="CH8" s="479">
        <v>3.3788405050657802</v>
      </c>
      <c r="CI8" s="479">
        <v>3.39938295780372</v>
      </c>
      <c r="CJ8" s="479">
        <v>3.4175790025706099</v>
      </c>
      <c r="CK8" s="479">
        <v>3.4369701606410201</v>
      </c>
      <c r="CL8" s="479">
        <v>3.4575802979927102</v>
      </c>
      <c r="CM8" s="479">
        <v>3.4771120398923698</v>
      </c>
      <c r="CN8" s="479">
        <v>3.4951231605612301</v>
      </c>
      <c r="CO8" s="479">
        <v>3.5145794338558001</v>
      </c>
      <c r="CP8" s="479">
        <v>3.5352713487487901</v>
      </c>
      <c r="CQ8" s="479">
        <v>3.5556929148674201</v>
      </c>
      <c r="CR8" s="479">
        <v>3.5758520413646999</v>
      </c>
      <c r="CS8" s="479">
        <v>3.5965497565748001</v>
      </c>
      <c r="CT8" s="479">
        <v>3.6172456101849302</v>
      </c>
      <c r="CU8" s="479">
        <v>3.6362786933062998</v>
      </c>
      <c r="CV8" s="479">
        <v>3.65538542992266</v>
      </c>
      <c r="CW8" s="479">
        <v>3.6753840732010601</v>
      </c>
      <c r="CX8" s="479">
        <v>3.6948614603658299</v>
      </c>
    </row>
    <row r="9" spans="1:102" x14ac:dyDescent="0.2">
      <c r="A9" s="472" t="s">
        <v>255</v>
      </c>
      <c r="B9" s="472" t="s">
        <v>256</v>
      </c>
      <c r="C9" s="479">
        <v>2.0050112051495002</v>
      </c>
      <c r="D9" s="479">
        <v>2.0276241163363098</v>
      </c>
      <c r="E9" s="479">
        <v>2.0363460391917001</v>
      </c>
      <c r="F9" s="479">
        <v>2.0596415110589001</v>
      </c>
      <c r="G9" s="479">
        <v>2.0733294705676499</v>
      </c>
      <c r="H9" s="479">
        <v>2.0835292799709602</v>
      </c>
      <c r="I9" s="479">
        <v>2.1195041887439401</v>
      </c>
      <c r="J9" s="479">
        <v>2.1415481300828598</v>
      </c>
      <c r="K9" s="479">
        <v>2.1562703287960399</v>
      </c>
      <c r="L9" s="479">
        <v>2.1819748269408099</v>
      </c>
      <c r="M9" s="479">
        <v>2.2029036076995201</v>
      </c>
      <c r="N9" s="479">
        <v>2.1887625047097399</v>
      </c>
      <c r="O9" s="479">
        <v>2.2060843099596301</v>
      </c>
      <c r="P9" s="479">
        <v>2.2265958098971699</v>
      </c>
      <c r="Q9" s="479">
        <v>2.2446322955459399</v>
      </c>
      <c r="R9" s="479">
        <v>2.2722619420728098</v>
      </c>
      <c r="S9" s="479">
        <v>2.2956075162666898</v>
      </c>
      <c r="T9" s="479">
        <v>2.33325183151159</v>
      </c>
      <c r="U9" s="479">
        <v>2.37203530343487</v>
      </c>
      <c r="V9" s="479">
        <v>2.3206542043126999</v>
      </c>
      <c r="W9" s="479">
        <v>2.30200743794274</v>
      </c>
      <c r="X9" s="479">
        <v>2.3133154897554</v>
      </c>
      <c r="Y9" s="479">
        <v>2.3324316109679</v>
      </c>
      <c r="Z9" s="479">
        <v>2.3514838560921301</v>
      </c>
      <c r="AA9" s="479">
        <v>2.35519698431525</v>
      </c>
      <c r="AB9" s="479">
        <v>2.3583040416960399</v>
      </c>
      <c r="AC9" s="479">
        <v>2.3659233658671601</v>
      </c>
      <c r="AD9" s="479">
        <v>2.3887196326128302</v>
      </c>
      <c r="AE9" s="479">
        <v>2.4062061518870501</v>
      </c>
      <c r="AF9" s="479">
        <v>2.44252591544041</v>
      </c>
      <c r="AG9" s="479">
        <v>2.4591685909552199</v>
      </c>
      <c r="AH9" s="479">
        <v>2.4668379437269699</v>
      </c>
      <c r="AI9" s="479">
        <v>2.4785145451270099</v>
      </c>
      <c r="AJ9" s="479">
        <v>2.4851120001921498</v>
      </c>
      <c r="AK9" s="479">
        <v>2.4964929133262999</v>
      </c>
      <c r="AL9" s="479">
        <v>2.5166188182623199</v>
      </c>
      <c r="AM9" s="479">
        <v>2.5215576130559998</v>
      </c>
      <c r="AN9" s="479">
        <v>2.52180857683138</v>
      </c>
      <c r="AO9" s="479">
        <v>2.53710244272522</v>
      </c>
      <c r="AP9" s="479">
        <v>2.54811207866496</v>
      </c>
      <c r="AQ9" s="479">
        <v>2.5620432753712001</v>
      </c>
      <c r="AR9" s="479">
        <v>2.5663852378941701</v>
      </c>
      <c r="AS9" s="479">
        <v>2.5733594694754802</v>
      </c>
      <c r="AT9" s="479">
        <v>2.5692521315192698</v>
      </c>
      <c r="AU9" s="479">
        <v>2.56015489993815</v>
      </c>
      <c r="AV9" s="479">
        <v>2.5720252475700498</v>
      </c>
      <c r="AW9" s="479">
        <v>2.5752492149967199</v>
      </c>
      <c r="AX9" s="479">
        <v>2.5757251437181501</v>
      </c>
      <c r="AY9" s="479">
        <v>2.5700308525139999</v>
      </c>
      <c r="AZ9" s="479">
        <v>2.5905788087957</v>
      </c>
      <c r="BA9" s="479">
        <v>2.60565815313538</v>
      </c>
      <c r="BB9" s="479">
        <v>2.62434040849209</v>
      </c>
      <c r="BC9" s="479">
        <v>2.6416721951751398</v>
      </c>
      <c r="BD9" s="479">
        <v>2.6438856664204402</v>
      </c>
      <c r="BE9" s="479">
        <v>2.6501699197236599</v>
      </c>
      <c r="BF9" s="479">
        <v>2.671878963438</v>
      </c>
      <c r="BG9" s="479">
        <v>2.6993222171317699</v>
      </c>
      <c r="BH9" s="479">
        <v>2.71620981134443</v>
      </c>
      <c r="BI9" s="479">
        <v>2.7288288811600601</v>
      </c>
      <c r="BJ9" s="479">
        <v>2.7428099299867101</v>
      </c>
      <c r="BK9" s="479">
        <v>2.7489205839767799</v>
      </c>
      <c r="BL9" s="479">
        <v>2.7670705452261899</v>
      </c>
      <c r="BM9" s="479">
        <v>2.7828865026935201</v>
      </c>
      <c r="BN9" s="479">
        <v>2.7968085391111699</v>
      </c>
      <c r="BO9" s="479">
        <v>2.8054288346603502</v>
      </c>
      <c r="BP9" s="479">
        <v>2.7884180402680299</v>
      </c>
      <c r="BQ9" s="479">
        <v>2.7998641580951702</v>
      </c>
      <c r="BR9" s="479">
        <v>2.8171474270444001</v>
      </c>
      <c r="BS9" s="479">
        <v>2.8438349396178499</v>
      </c>
      <c r="BT9" s="479">
        <v>2.8752551433225602</v>
      </c>
      <c r="BU9" s="479">
        <v>2.9161903655505799</v>
      </c>
      <c r="BV9" s="479">
        <v>2.9803358353475899</v>
      </c>
      <c r="BW9" s="479">
        <v>3.0354748219846401</v>
      </c>
      <c r="BX9" s="479">
        <v>3.0879962927626701</v>
      </c>
      <c r="BY9" s="479">
        <v>3.1288947779563401</v>
      </c>
      <c r="BZ9" s="479">
        <v>3.1689521453255201</v>
      </c>
      <c r="CA9" s="479">
        <v>3.1925229599317202</v>
      </c>
      <c r="CB9" s="479">
        <v>3.2142263456677802</v>
      </c>
      <c r="CC9" s="479">
        <v>3.2423791220789102</v>
      </c>
      <c r="CD9" s="479">
        <v>3.2707369257652799</v>
      </c>
      <c r="CE9" s="479">
        <v>3.2911977168238602</v>
      </c>
      <c r="CF9" s="479">
        <v>3.3069503709257599</v>
      </c>
      <c r="CG9" s="479">
        <v>3.3310114361411798</v>
      </c>
      <c r="CH9" s="479">
        <v>3.3528025716004199</v>
      </c>
      <c r="CI9" s="479">
        <v>3.37218091262779</v>
      </c>
      <c r="CJ9" s="479">
        <v>3.3889235278065399</v>
      </c>
      <c r="CK9" s="479">
        <v>3.40662198576385</v>
      </c>
      <c r="CL9" s="479">
        <v>3.4253125699928502</v>
      </c>
      <c r="CM9" s="479">
        <v>3.44308624388484</v>
      </c>
      <c r="CN9" s="479">
        <v>3.4591427533300698</v>
      </c>
      <c r="CO9" s="479">
        <v>3.4768478267287501</v>
      </c>
      <c r="CP9" s="479">
        <v>3.4958882881861402</v>
      </c>
      <c r="CQ9" s="479">
        <v>3.5148267047188599</v>
      </c>
      <c r="CR9" s="479">
        <v>3.5333519436216898</v>
      </c>
      <c r="CS9" s="479">
        <v>3.5523020973974702</v>
      </c>
      <c r="CT9" s="479">
        <v>3.5712848420372398</v>
      </c>
      <c r="CU9" s="479">
        <v>3.5886950963833102</v>
      </c>
      <c r="CV9" s="479">
        <v>3.6061336432568099</v>
      </c>
      <c r="CW9" s="479">
        <v>3.62443922395375</v>
      </c>
      <c r="CX9" s="479">
        <v>3.64199811924524</v>
      </c>
    </row>
    <row r="10" spans="1:102" x14ac:dyDescent="0.2">
      <c r="A10" s="472" t="s">
        <v>257</v>
      </c>
      <c r="B10" s="472" t="s">
        <v>258</v>
      </c>
      <c r="C10" s="479">
        <v>2.0050112051495002</v>
      </c>
      <c r="D10" s="479">
        <v>2.0276241163363098</v>
      </c>
      <c r="E10" s="479">
        <v>2.0363460391917001</v>
      </c>
      <c r="F10" s="479">
        <v>2.0596415110589001</v>
      </c>
      <c r="G10" s="479">
        <v>2.0733294705676499</v>
      </c>
      <c r="H10" s="479">
        <v>2.0835292799709602</v>
      </c>
      <c r="I10" s="479">
        <v>2.1195041887439401</v>
      </c>
      <c r="J10" s="479">
        <v>2.1415481300828598</v>
      </c>
      <c r="K10" s="479">
        <v>2.1562703287960399</v>
      </c>
      <c r="L10" s="479">
        <v>2.1819748269408099</v>
      </c>
      <c r="M10" s="479">
        <v>2.2029036076995201</v>
      </c>
      <c r="N10" s="479">
        <v>2.1887625047097399</v>
      </c>
      <c r="O10" s="479">
        <v>2.2060843099596301</v>
      </c>
      <c r="P10" s="479">
        <v>2.2265958098971699</v>
      </c>
      <c r="Q10" s="479">
        <v>2.2446322955459399</v>
      </c>
      <c r="R10" s="479">
        <v>2.2722619420728098</v>
      </c>
      <c r="S10" s="479">
        <v>2.2956075162666898</v>
      </c>
      <c r="T10" s="479">
        <v>2.33325183151159</v>
      </c>
      <c r="U10" s="479">
        <v>2.37203530343487</v>
      </c>
      <c r="V10" s="479">
        <v>2.3206542043126999</v>
      </c>
      <c r="W10" s="479">
        <v>2.30200743794274</v>
      </c>
      <c r="X10" s="479">
        <v>2.3133154897554</v>
      </c>
      <c r="Y10" s="479">
        <v>2.3324316109679</v>
      </c>
      <c r="Z10" s="479">
        <v>2.3514838560921301</v>
      </c>
      <c r="AA10" s="479">
        <v>2.35519698431525</v>
      </c>
      <c r="AB10" s="479">
        <v>2.3583040416960399</v>
      </c>
      <c r="AC10" s="479">
        <v>2.3659233658671601</v>
      </c>
      <c r="AD10" s="479">
        <v>2.3887196326128302</v>
      </c>
      <c r="AE10" s="479">
        <v>2.4062061518870501</v>
      </c>
      <c r="AF10" s="479">
        <v>2.44252591544041</v>
      </c>
      <c r="AG10" s="479">
        <v>2.4591685909552199</v>
      </c>
      <c r="AH10" s="479">
        <v>2.4668379437269699</v>
      </c>
      <c r="AI10" s="479">
        <v>2.4785145451270099</v>
      </c>
      <c r="AJ10" s="479">
        <v>2.4851120001921498</v>
      </c>
      <c r="AK10" s="479">
        <v>2.4964929133262999</v>
      </c>
      <c r="AL10" s="479">
        <v>2.5166188182623199</v>
      </c>
      <c r="AM10" s="479">
        <v>2.5215576130559998</v>
      </c>
      <c r="AN10" s="479">
        <v>2.52180857683138</v>
      </c>
      <c r="AO10" s="479">
        <v>2.53710244272522</v>
      </c>
      <c r="AP10" s="479">
        <v>2.54811207866496</v>
      </c>
      <c r="AQ10" s="479">
        <v>2.5620432753712001</v>
      </c>
      <c r="AR10" s="479">
        <v>2.5663852378941701</v>
      </c>
      <c r="AS10" s="479">
        <v>2.5733594694754802</v>
      </c>
      <c r="AT10" s="479">
        <v>2.5692521315192698</v>
      </c>
      <c r="AU10" s="479">
        <v>2.56015489993815</v>
      </c>
      <c r="AV10" s="479">
        <v>2.5720252475700498</v>
      </c>
      <c r="AW10" s="479">
        <v>2.5752492149967199</v>
      </c>
      <c r="AX10" s="479">
        <v>2.5757251437181501</v>
      </c>
      <c r="AY10" s="479">
        <v>2.5700308525139999</v>
      </c>
      <c r="AZ10" s="479">
        <v>2.5905788087957</v>
      </c>
      <c r="BA10" s="479">
        <v>2.60565815313538</v>
      </c>
      <c r="BB10" s="479">
        <v>2.62434040849209</v>
      </c>
      <c r="BC10" s="479">
        <v>2.6416721951751398</v>
      </c>
      <c r="BD10" s="479">
        <v>2.6438856664204402</v>
      </c>
      <c r="BE10" s="479">
        <v>2.6501699197236599</v>
      </c>
      <c r="BF10" s="479">
        <v>2.671878963438</v>
      </c>
      <c r="BG10" s="479">
        <v>2.6993222171317699</v>
      </c>
      <c r="BH10" s="479">
        <v>2.71620981134443</v>
      </c>
      <c r="BI10" s="479">
        <v>2.7288288811600601</v>
      </c>
      <c r="BJ10" s="479">
        <v>2.7428099299867101</v>
      </c>
      <c r="BK10" s="479">
        <v>2.7489205839767799</v>
      </c>
      <c r="BL10" s="479">
        <v>2.7670705452261899</v>
      </c>
      <c r="BM10" s="479">
        <v>2.7828865026935201</v>
      </c>
      <c r="BN10" s="479">
        <v>2.7968085391111699</v>
      </c>
      <c r="BO10" s="479">
        <v>2.8054288346603502</v>
      </c>
      <c r="BP10" s="479">
        <v>2.7884180402680299</v>
      </c>
      <c r="BQ10" s="479">
        <v>2.7998641580951702</v>
      </c>
      <c r="BR10" s="479">
        <v>2.8171474270444001</v>
      </c>
      <c r="BS10" s="479">
        <v>2.8438349396178499</v>
      </c>
      <c r="BT10" s="479">
        <v>2.8752551433225602</v>
      </c>
      <c r="BU10" s="479">
        <v>2.9161903655505799</v>
      </c>
      <c r="BV10" s="479">
        <v>2.9803358353475899</v>
      </c>
      <c r="BW10" s="479">
        <v>3.0354748219846401</v>
      </c>
      <c r="BX10" s="479">
        <v>3.0879962927626701</v>
      </c>
      <c r="BY10" s="479">
        <v>3.1288947779563401</v>
      </c>
      <c r="BZ10" s="479">
        <v>3.1689521453255201</v>
      </c>
      <c r="CA10" s="479">
        <v>3.2132180908257402</v>
      </c>
      <c r="CB10" s="479">
        <v>3.25896674708126</v>
      </c>
      <c r="CC10" s="479">
        <v>3.3034777774505799</v>
      </c>
      <c r="CD10" s="479">
        <v>3.3453434489013798</v>
      </c>
      <c r="CE10" s="479">
        <v>3.3774900259476199</v>
      </c>
      <c r="CF10" s="479">
        <v>3.4048512779095699</v>
      </c>
      <c r="CG10" s="479">
        <v>3.4407800351623901</v>
      </c>
      <c r="CH10" s="479">
        <v>3.47398735040258</v>
      </c>
      <c r="CI10" s="479">
        <v>3.5044008662114399</v>
      </c>
      <c r="CJ10" s="479">
        <v>3.5330772191361501</v>
      </c>
      <c r="CK10" s="479">
        <v>3.5634230457781699</v>
      </c>
      <c r="CL10" s="479">
        <v>3.5955656322911298</v>
      </c>
      <c r="CM10" s="479">
        <v>3.6267670668944598</v>
      </c>
      <c r="CN10" s="479">
        <v>3.6564651774140802</v>
      </c>
      <c r="CO10" s="479">
        <v>3.6880284570224902</v>
      </c>
      <c r="CP10" s="479">
        <v>3.7211793058714</v>
      </c>
      <c r="CQ10" s="479">
        <v>3.7542331458740299</v>
      </c>
      <c r="CR10" s="479">
        <v>3.7871254335989901</v>
      </c>
      <c r="CS10" s="479">
        <v>3.8207445239743199</v>
      </c>
      <c r="CT10" s="479">
        <v>3.8546368037687602</v>
      </c>
      <c r="CU10" s="479">
        <v>3.8872247348682101</v>
      </c>
      <c r="CV10" s="479">
        <v>3.9200735059946799</v>
      </c>
      <c r="CW10" s="479">
        <v>3.9541391739659901</v>
      </c>
      <c r="CX10" s="479">
        <v>3.9879877404770001</v>
      </c>
    </row>
    <row r="12" spans="1:102" x14ac:dyDescent="0.2">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row>
    <row r="13" spans="1:102" x14ac:dyDescent="0.2">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row>
    <row r="14" spans="1:102" x14ac:dyDescent="0.2">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row>
    <row r="15" spans="1:102" x14ac:dyDescent="0.2">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row>
    <row r="16" spans="1:102" x14ac:dyDescent="0.2">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479"/>
      <c r="AS16" s="479"/>
      <c r="AT16" s="479"/>
      <c r="BX16" s="481" t="s">
        <v>398</v>
      </c>
      <c r="BY16" s="482"/>
      <c r="BZ16" s="482"/>
      <c r="CA16" s="483" t="s">
        <v>399</v>
      </c>
      <c r="CB16" s="484"/>
      <c r="CC16" s="484"/>
      <c r="CD16" s="484"/>
      <c r="CE16" s="484"/>
      <c r="CF16" s="484"/>
      <c r="CG16" s="482"/>
      <c r="CH16" s="482"/>
      <c r="CI16" s="482"/>
    </row>
    <row r="17" spans="3:87" x14ac:dyDescent="0.2">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BX17" s="486"/>
      <c r="BY17" s="487"/>
      <c r="BZ17" s="487"/>
      <c r="CA17" s="487"/>
      <c r="CB17" s="487"/>
      <c r="CC17" s="487"/>
      <c r="CD17" s="487"/>
      <c r="CE17" s="487"/>
      <c r="CF17" s="487"/>
      <c r="CG17" s="487"/>
      <c r="CH17" s="487"/>
      <c r="CI17" s="488"/>
    </row>
    <row r="18" spans="3:87" x14ac:dyDescent="0.2">
      <c r="BX18" s="489"/>
      <c r="BY18" s="490" t="s">
        <v>259</v>
      </c>
      <c r="BZ18" s="491" t="s">
        <v>163</v>
      </c>
      <c r="CA18" s="482"/>
      <c r="CB18" s="482"/>
      <c r="CC18" s="482"/>
      <c r="CD18" s="482"/>
      <c r="CE18" s="482"/>
      <c r="CF18" s="482"/>
      <c r="CG18" s="482"/>
      <c r="CH18" s="482"/>
      <c r="CI18" s="492"/>
    </row>
    <row r="19" spans="3:87" x14ac:dyDescent="0.2">
      <c r="BX19" s="489"/>
      <c r="BY19" s="482"/>
      <c r="BZ19" s="493" t="str">
        <f>CD7</f>
        <v>2023Q4</v>
      </c>
      <c r="CA19" s="493"/>
      <c r="CB19" s="493"/>
      <c r="CC19" s="493"/>
      <c r="CD19" s="482"/>
      <c r="CE19" s="482"/>
      <c r="CF19" s="482"/>
      <c r="CG19" s="482"/>
      <c r="CH19" s="482"/>
      <c r="CI19" s="494" t="s">
        <v>260</v>
      </c>
    </row>
    <row r="20" spans="3:87" x14ac:dyDescent="0.2">
      <c r="BX20" s="489"/>
      <c r="BY20" s="482"/>
      <c r="BZ20" s="495">
        <f>CD9</f>
        <v>3.2707369257652799</v>
      </c>
      <c r="CA20" s="496"/>
      <c r="CB20" s="496"/>
      <c r="CC20" s="496"/>
      <c r="CD20" s="482"/>
      <c r="CE20" s="482"/>
      <c r="CF20" s="482"/>
      <c r="CG20" s="482"/>
      <c r="CH20" s="482"/>
      <c r="CI20" s="497">
        <f>AVERAGE(BZ20:CC20)</f>
        <v>3.2707369257652799</v>
      </c>
    </row>
    <row r="21" spans="3:87" x14ac:dyDescent="0.2">
      <c r="BX21" s="489"/>
      <c r="BY21" s="482"/>
      <c r="BZ21" s="482"/>
      <c r="CA21" s="482"/>
      <c r="CB21" s="482"/>
      <c r="CC21" s="482"/>
      <c r="CD21" s="482"/>
      <c r="CE21" s="482"/>
      <c r="CF21" s="482"/>
      <c r="CG21" s="482"/>
      <c r="CH21" s="482"/>
      <c r="CI21" s="498"/>
    </row>
    <row r="22" spans="3:87" x14ac:dyDescent="0.2">
      <c r="BX22" s="1087" t="s">
        <v>261</v>
      </c>
      <c r="BY22" s="1088"/>
      <c r="BZ22" s="1088"/>
      <c r="CA22" s="482" t="s">
        <v>400</v>
      </c>
      <c r="CB22" s="482"/>
      <c r="CC22" s="482"/>
      <c r="CD22" s="482"/>
      <c r="CE22" s="482"/>
      <c r="CF22" s="482"/>
      <c r="CG22" s="482"/>
      <c r="CH22" s="482"/>
      <c r="CI22" s="498"/>
    </row>
    <row r="23" spans="3:87" x14ac:dyDescent="0.2">
      <c r="BX23" s="499"/>
      <c r="BY23" s="490"/>
      <c r="BZ23" s="472" t="s">
        <v>245</v>
      </c>
      <c r="CA23" s="472" t="s">
        <v>246</v>
      </c>
      <c r="CB23" s="472" t="s">
        <v>247</v>
      </c>
      <c r="CC23" s="472" t="s">
        <v>248</v>
      </c>
      <c r="CD23" s="472" t="s">
        <v>249</v>
      </c>
      <c r="CE23" s="472" t="s">
        <v>250</v>
      </c>
      <c r="CF23" s="472" t="s">
        <v>251</v>
      </c>
      <c r="CG23" s="472" t="s">
        <v>252</v>
      </c>
      <c r="CH23" s="482"/>
      <c r="CI23" s="498"/>
    </row>
    <row r="24" spans="3:87" x14ac:dyDescent="0.2">
      <c r="BX24" s="489"/>
      <c r="BY24" s="482"/>
      <c r="BZ24" s="500">
        <f t="shared" ref="BZ24:CG24" si="0">CE9</f>
        <v>3.2911977168238602</v>
      </c>
      <c r="CA24" s="500">
        <f t="shared" si="0"/>
        <v>3.3069503709257599</v>
      </c>
      <c r="CB24" s="500">
        <f t="shared" si="0"/>
        <v>3.3310114361411798</v>
      </c>
      <c r="CC24" s="500">
        <f t="shared" si="0"/>
        <v>3.3528025716004199</v>
      </c>
      <c r="CD24" s="500">
        <f t="shared" si="0"/>
        <v>3.37218091262779</v>
      </c>
      <c r="CE24" s="500">
        <f t="shared" si="0"/>
        <v>3.3889235278065399</v>
      </c>
      <c r="CF24" s="500">
        <f t="shared" si="0"/>
        <v>3.40662198576385</v>
      </c>
      <c r="CG24" s="500">
        <f t="shared" si="0"/>
        <v>3.4253125699928502</v>
      </c>
      <c r="CH24" s="482"/>
      <c r="CI24" s="497">
        <f>AVERAGE(BZ24:CG24)</f>
        <v>3.3593751364602813</v>
      </c>
    </row>
    <row r="25" spans="3:87" x14ac:dyDescent="0.2">
      <c r="BX25" s="489"/>
      <c r="BY25" s="482"/>
      <c r="BZ25" s="482"/>
      <c r="CA25" s="482"/>
      <c r="CB25" s="482"/>
      <c r="CC25" s="482"/>
      <c r="CD25" s="482"/>
      <c r="CE25" s="482"/>
      <c r="CF25" s="482"/>
      <c r="CG25" s="482"/>
      <c r="CH25" s="482"/>
      <c r="CI25" s="498"/>
    </row>
    <row r="26" spans="3:87" x14ac:dyDescent="0.2">
      <c r="BX26" s="489"/>
      <c r="BY26" s="482"/>
      <c r="BZ26" s="482"/>
      <c r="CA26" s="482"/>
      <c r="CB26" s="482"/>
      <c r="CC26" s="482"/>
      <c r="CD26" s="482"/>
      <c r="CE26" s="482"/>
      <c r="CF26" s="482"/>
      <c r="CG26" s="482"/>
      <c r="CH26" s="501" t="s">
        <v>262</v>
      </c>
      <c r="CI26" s="502">
        <f>(CI24-CI20)/CI20</f>
        <v>2.7100379121522307E-2</v>
      </c>
    </row>
    <row r="27" spans="3:87" x14ac:dyDescent="0.2">
      <c r="BX27" s="503"/>
      <c r="BY27" s="504"/>
      <c r="BZ27" s="504"/>
      <c r="CA27" s="504"/>
      <c r="CB27" s="504"/>
      <c r="CC27" s="504"/>
      <c r="CD27" s="504"/>
      <c r="CE27" s="504"/>
      <c r="CF27" s="504"/>
      <c r="CG27" s="504"/>
      <c r="CH27" s="504"/>
      <c r="CI27" s="505"/>
    </row>
  </sheetData>
  <mergeCells count="2">
    <mergeCell ref="A1:B1"/>
    <mergeCell ref="BX22:BZ22"/>
  </mergeCells>
  <pageMargins left="0.25" right="0.25" top="1" bottom="1" header="0.5" footer="0.5"/>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D678-D075-42B6-A1C8-4C642C02F9A3}">
  <sheetPr>
    <pageSetUpPr fitToPage="1"/>
  </sheetPr>
  <dimension ref="A1:W79"/>
  <sheetViews>
    <sheetView topLeftCell="B1" zoomScaleNormal="100" workbookViewId="0">
      <selection activeCell="O87" sqref="O87"/>
    </sheetView>
  </sheetViews>
  <sheetFormatPr defaultRowHeight="15" x14ac:dyDescent="0.25"/>
  <cols>
    <col min="1" max="1" width="0" hidden="1" customWidth="1"/>
    <col min="2" max="2" width="4.5" bestFit="1" customWidth="1"/>
    <col min="3" max="3" width="6.375" bestFit="1" customWidth="1"/>
    <col min="4" max="4" width="9.5" bestFit="1" customWidth="1"/>
    <col min="5" max="5" width="12.5" customWidth="1"/>
    <col min="6" max="6" width="0" hidden="1" customWidth="1"/>
    <col min="7" max="7" width="21.625" bestFit="1" customWidth="1"/>
    <col min="8" max="8" width="12" customWidth="1"/>
    <col min="9" max="9" width="14.375" customWidth="1"/>
    <col min="10" max="10" width="9" customWidth="1"/>
    <col min="11" max="11" width="11.875" bestFit="1" customWidth="1"/>
    <col min="12" max="12" width="9" customWidth="1"/>
    <col min="13" max="13" width="18" customWidth="1"/>
    <col min="14" max="14" width="11.125" customWidth="1"/>
    <col min="15" max="15" width="11.875" bestFit="1" customWidth="1"/>
    <col min="16" max="16" width="16" customWidth="1"/>
    <col min="17" max="17" width="14.625" bestFit="1" customWidth="1"/>
    <col min="18" max="18" width="13.625" bestFit="1" customWidth="1"/>
    <col min="19" max="19" width="13.625" customWidth="1"/>
    <col min="20" max="20" width="12.125" style="657" bestFit="1" customWidth="1"/>
    <col min="21" max="21" width="13.625" style="658" hidden="1" customWidth="1"/>
    <col min="22" max="22" width="8.625" style="658" hidden="1" customWidth="1"/>
    <col min="23" max="23" width="15.625" hidden="1" customWidth="1"/>
  </cols>
  <sheetData>
    <row r="1" spans="1:23" ht="15.75" thickBot="1" x14ac:dyDescent="0.3">
      <c r="A1" t="s">
        <v>544</v>
      </c>
    </row>
    <row r="2" spans="1:23" ht="30.75" thickBot="1" x14ac:dyDescent="0.45">
      <c r="A2" s="659"/>
      <c r="B2" s="1089" t="s">
        <v>644</v>
      </c>
      <c r="C2" s="1089"/>
      <c r="D2" s="1089"/>
      <c r="E2" s="1089"/>
      <c r="F2" s="1089"/>
      <c r="G2" s="1089"/>
      <c r="H2" s="1089"/>
      <c r="I2" s="1089"/>
      <c r="J2" s="1089"/>
      <c r="K2" s="1089"/>
      <c r="L2" s="1089"/>
      <c r="M2" s="1089"/>
      <c r="N2" s="1089"/>
      <c r="O2" s="1089"/>
      <c r="P2" s="1089"/>
      <c r="Q2" s="1089"/>
      <c r="R2" s="1089"/>
      <c r="S2" s="1089"/>
      <c r="T2" s="1089"/>
      <c r="U2" s="1089"/>
      <c r="V2" s="1089"/>
      <c r="W2" s="1089"/>
    </row>
    <row r="3" spans="1:23" ht="38.25" hidden="1" x14ac:dyDescent="0.25">
      <c r="A3" s="660" t="s">
        <v>545</v>
      </c>
      <c r="B3" s="661" t="s">
        <v>407</v>
      </c>
      <c r="C3" s="661" t="s">
        <v>408</v>
      </c>
      <c r="D3" s="661" t="s">
        <v>409</v>
      </c>
      <c r="E3" s="661" t="s">
        <v>410</v>
      </c>
      <c r="F3" s="661" t="s">
        <v>412</v>
      </c>
      <c r="G3" s="661" t="s">
        <v>411</v>
      </c>
      <c r="H3" s="661" t="s">
        <v>546</v>
      </c>
      <c r="I3" s="661" t="s">
        <v>547</v>
      </c>
      <c r="J3" s="661" t="s">
        <v>548</v>
      </c>
      <c r="K3" s="662" t="s">
        <v>549</v>
      </c>
      <c r="L3" s="663" t="s">
        <v>550</v>
      </c>
      <c r="M3" s="663" t="s">
        <v>551</v>
      </c>
      <c r="N3" s="664" t="s">
        <v>552</v>
      </c>
      <c r="O3" s="665" t="s">
        <v>550</v>
      </c>
      <c r="P3" s="666" t="s">
        <v>553</v>
      </c>
      <c r="Q3" s="663" t="s">
        <v>554</v>
      </c>
      <c r="R3" s="663" t="s">
        <v>555</v>
      </c>
      <c r="S3" s="663" t="s">
        <v>556</v>
      </c>
      <c r="T3" s="663" t="s">
        <v>557</v>
      </c>
      <c r="U3" s="667" t="s">
        <v>558</v>
      </c>
      <c r="V3" s="668" t="s">
        <v>559</v>
      </c>
      <c r="W3" s="669" t="s">
        <v>560</v>
      </c>
    </row>
    <row r="4" spans="1:23" hidden="1" x14ac:dyDescent="0.25">
      <c r="A4" s="670">
        <v>200</v>
      </c>
      <c r="B4" s="671">
        <v>9308</v>
      </c>
      <c r="C4" s="671" t="s">
        <v>422</v>
      </c>
      <c r="D4" s="672" t="s">
        <v>425</v>
      </c>
      <c r="E4" s="655" t="s">
        <v>430</v>
      </c>
      <c r="F4" s="673">
        <v>2522</v>
      </c>
      <c r="G4" s="673" t="s">
        <v>428</v>
      </c>
      <c r="H4" s="655" t="s">
        <v>561</v>
      </c>
      <c r="I4" s="673">
        <v>15</v>
      </c>
      <c r="J4" s="674">
        <f>I4*366*0.9</f>
        <v>4941</v>
      </c>
      <c r="K4" s="675">
        <v>393.45</v>
      </c>
      <c r="L4" s="675"/>
      <c r="M4" s="676">
        <f t="shared" ref="M4:M15" si="0">(K4+L4)*J4</f>
        <v>1944036.45</v>
      </c>
      <c r="N4" s="677">
        <f>'[23]Youth Res Rate Models'!K28</f>
        <v>407.50964027840962</v>
      </c>
      <c r="O4" s="678">
        <f>SUM('[23] Add-On Rates(DC &amp; Clinical)'!R177)*2</f>
        <v>19.275474872123088</v>
      </c>
      <c r="P4" s="679">
        <f>(N4+O4)*J4</f>
        <v>2108745.2539587822</v>
      </c>
      <c r="Q4" s="676">
        <f t="shared" ref="Q4:Q15" si="1">P4-M4</f>
        <v>164708.80395878223</v>
      </c>
      <c r="R4" s="680">
        <f t="shared" ref="R4:R15" si="2">Q4/M4</f>
        <v>8.4725162410808824E-2</v>
      </c>
      <c r="S4" s="676"/>
      <c r="T4" s="681"/>
      <c r="U4" s="682">
        <v>0.49</v>
      </c>
      <c r="V4" s="683">
        <v>0.57999999999999996</v>
      </c>
      <c r="W4" s="684" t="s">
        <v>562</v>
      </c>
    </row>
    <row r="5" spans="1:23" ht="17.45" hidden="1" customHeight="1" x14ac:dyDescent="0.25">
      <c r="A5" s="685">
        <v>600</v>
      </c>
      <c r="B5" s="686">
        <v>9308</v>
      </c>
      <c r="C5" s="686" t="s">
        <v>422</v>
      </c>
      <c r="D5" s="687" t="s">
        <v>425</v>
      </c>
      <c r="E5" s="688" t="s">
        <v>430</v>
      </c>
      <c r="F5" s="689">
        <v>2522</v>
      </c>
      <c r="G5" s="689" t="s">
        <v>563</v>
      </c>
      <c r="H5" s="688" t="s">
        <v>561</v>
      </c>
      <c r="I5" s="689">
        <v>2</v>
      </c>
      <c r="J5" s="674">
        <f>I5*366*0.9</f>
        <v>658.80000000000007</v>
      </c>
      <c r="K5" s="690">
        <v>393.45</v>
      </c>
      <c r="L5" s="690"/>
      <c r="M5" s="676">
        <f t="shared" si="0"/>
        <v>259204.86000000002</v>
      </c>
      <c r="N5" s="677">
        <f>'[23]Youth Res Rate Models'!K28</f>
        <v>407.50964027840962</v>
      </c>
      <c r="O5" s="678"/>
      <c r="P5" s="679">
        <f>(N5+O5)*J5</f>
        <v>268467.35101541626</v>
      </c>
      <c r="Q5" s="676">
        <f t="shared" si="1"/>
        <v>9262.4910154162499</v>
      </c>
      <c r="R5" s="680">
        <f t="shared" si="2"/>
        <v>3.5734249023788557E-2</v>
      </c>
      <c r="S5" s="676"/>
      <c r="T5" s="681"/>
      <c r="U5" s="682"/>
      <c r="V5" s="683"/>
      <c r="W5" s="691"/>
    </row>
    <row r="6" spans="1:23" hidden="1" x14ac:dyDescent="0.25">
      <c r="A6" s="670">
        <v>200</v>
      </c>
      <c r="B6" s="671">
        <v>9154</v>
      </c>
      <c r="C6" s="671" t="s">
        <v>413</v>
      </c>
      <c r="D6" s="672" t="s">
        <v>414</v>
      </c>
      <c r="E6" s="692" t="s">
        <v>564</v>
      </c>
      <c r="F6" s="673">
        <v>2501</v>
      </c>
      <c r="G6" s="673" t="s">
        <v>429</v>
      </c>
      <c r="H6" s="692" t="s">
        <v>565</v>
      </c>
      <c r="I6" s="673">
        <v>10</v>
      </c>
      <c r="J6" s="674">
        <f>10*366*0.9</f>
        <v>3294</v>
      </c>
      <c r="K6" s="675">
        <v>390.26</v>
      </c>
      <c r="L6" s="675"/>
      <c r="M6" s="676">
        <f t="shared" si="0"/>
        <v>1285516.44</v>
      </c>
      <c r="N6" s="677">
        <f>'[23]Youth Res Rate Models'!E110</f>
        <v>445.28292688314087</v>
      </c>
      <c r="O6" s="678"/>
      <c r="P6" s="679">
        <f>(N6+O6)*J6</f>
        <v>1466761.961153066</v>
      </c>
      <c r="Q6" s="676">
        <f t="shared" si="1"/>
        <v>181245.52115306607</v>
      </c>
      <c r="R6" s="680">
        <f t="shared" si="2"/>
        <v>0.14099043428263436</v>
      </c>
      <c r="S6" s="676"/>
      <c r="T6" s="681">
        <f>-(34056*3)</f>
        <v>-102168</v>
      </c>
      <c r="U6" s="682">
        <v>0.37</v>
      </c>
      <c r="V6" s="683">
        <v>0.48</v>
      </c>
      <c r="W6" s="691"/>
    </row>
    <row r="7" spans="1:23" ht="17.100000000000001" hidden="1" customHeight="1" x14ac:dyDescent="0.25">
      <c r="A7" s="685">
        <v>600</v>
      </c>
      <c r="B7" s="686">
        <v>9154</v>
      </c>
      <c r="C7" s="686" t="s">
        <v>413</v>
      </c>
      <c r="D7" s="687" t="s">
        <v>414</v>
      </c>
      <c r="E7" s="693" t="s">
        <v>564</v>
      </c>
      <c r="F7" s="689">
        <v>2501</v>
      </c>
      <c r="G7" s="689" t="s">
        <v>563</v>
      </c>
      <c r="H7" s="693" t="s">
        <v>565</v>
      </c>
      <c r="I7" s="689">
        <v>2</v>
      </c>
      <c r="J7" s="674">
        <f>I7*366*0.9</f>
        <v>658.80000000000007</v>
      </c>
      <c r="K7" s="675">
        <v>390.26</v>
      </c>
      <c r="L7" s="690"/>
      <c r="M7" s="676">
        <f t="shared" si="0"/>
        <v>257103.28800000003</v>
      </c>
      <c r="N7" s="677">
        <f>'[23]Youth Res Rate Models'!E110</f>
        <v>445.28292688314087</v>
      </c>
      <c r="O7" s="678"/>
      <c r="P7" s="679">
        <f>(N7+O7)*J7</f>
        <v>293352.39223061322</v>
      </c>
      <c r="Q7" s="676">
        <f t="shared" si="1"/>
        <v>36249.104230613186</v>
      </c>
      <c r="R7" s="680">
        <f>Q7/M7</f>
        <v>0.14099043428263422</v>
      </c>
      <c r="S7" s="676"/>
      <c r="T7" s="681"/>
      <c r="U7" s="682"/>
      <c r="V7" s="683"/>
      <c r="W7" s="691"/>
    </row>
    <row r="8" spans="1:23" hidden="1" x14ac:dyDescent="0.25">
      <c r="A8" s="670">
        <v>300</v>
      </c>
      <c r="B8" s="671">
        <v>9570</v>
      </c>
      <c r="C8" s="671" t="s">
        <v>434</v>
      </c>
      <c r="D8" s="672" t="s">
        <v>435</v>
      </c>
      <c r="E8" s="692" t="s">
        <v>566</v>
      </c>
      <c r="F8" s="673">
        <v>2501</v>
      </c>
      <c r="G8" s="673" t="s">
        <v>429</v>
      </c>
      <c r="H8" s="692" t="s">
        <v>567</v>
      </c>
      <c r="I8" s="673">
        <v>10</v>
      </c>
      <c r="J8" s="674">
        <f>10*366*0.9</f>
        <v>3294</v>
      </c>
      <c r="K8" s="675">
        <v>430.96</v>
      </c>
      <c r="L8" s="675"/>
      <c r="M8" s="676">
        <f t="shared" si="0"/>
        <v>1419582.24</v>
      </c>
      <c r="N8" s="677">
        <f>'[23]Youth Res Rate Models'!E69</f>
        <v>462.94193325096575</v>
      </c>
      <c r="O8" s="678"/>
      <c r="P8" s="679">
        <f>(N8+O8)*J8</f>
        <v>1524930.7281286812</v>
      </c>
      <c r="Q8" s="676">
        <f t="shared" si="1"/>
        <v>105348.4881286812</v>
      </c>
      <c r="R8" s="680">
        <f t="shared" si="2"/>
        <v>7.4210908787278998E-2</v>
      </c>
      <c r="S8" s="676"/>
      <c r="T8" s="681"/>
      <c r="U8" s="682">
        <v>0.62</v>
      </c>
      <c r="V8" s="683">
        <v>0.57999999999999996</v>
      </c>
      <c r="W8" s="691"/>
    </row>
    <row r="9" spans="1:23" ht="18" hidden="1" customHeight="1" x14ac:dyDescent="0.25">
      <c r="A9" s="685">
        <v>600</v>
      </c>
      <c r="B9" s="686">
        <v>9570</v>
      </c>
      <c r="C9" s="686" t="s">
        <v>434</v>
      </c>
      <c r="D9" s="687" t="s">
        <v>435</v>
      </c>
      <c r="E9" s="693" t="s">
        <v>566</v>
      </c>
      <c r="F9" s="689">
        <v>2501</v>
      </c>
      <c r="G9" s="689" t="s">
        <v>563</v>
      </c>
      <c r="H9" s="693" t="s">
        <v>567</v>
      </c>
      <c r="I9" s="689">
        <v>2</v>
      </c>
      <c r="J9" s="674">
        <f>I9*366*0.9</f>
        <v>658.80000000000007</v>
      </c>
      <c r="K9" s="690">
        <v>430.96</v>
      </c>
      <c r="L9" s="690"/>
      <c r="M9" s="676">
        <f t="shared" si="0"/>
        <v>283916.44800000003</v>
      </c>
      <c r="N9" s="677">
        <f>'[23]Youth Res Rate Models'!E69</f>
        <v>462.94193325096575</v>
      </c>
      <c r="O9" s="678"/>
      <c r="P9" s="679">
        <f t="shared" ref="P9:P15" si="3">(N9+O9)*J9</f>
        <v>304986.14562573627</v>
      </c>
      <c r="Q9" s="676">
        <f t="shared" si="1"/>
        <v>21069.69762573624</v>
      </c>
      <c r="R9" s="680">
        <f t="shared" si="2"/>
        <v>7.4210908787278984E-2</v>
      </c>
      <c r="S9" s="676"/>
      <c r="T9" s="681"/>
      <c r="U9" s="682"/>
      <c r="V9" s="683"/>
      <c r="W9" s="691"/>
    </row>
    <row r="10" spans="1:23" hidden="1" x14ac:dyDescent="0.25">
      <c r="A10" s="670">
        <v>300</v>
      </c>
      <c r="B10" s="671">
        <v>9571</v>
      </c>
      <c r="C10" s="671" t="s">
        <v>434</v>
      </c>
      <c r="D10" s="672" t="s">
        <v>435</v>
      </c>
      <c r="E10" s="692" t="s">
        <v>568</v>
      </c>
      <c r="F10" s="673">
        <v>2522</v>
      </c>
      <c r="G10" s="673" t="s">
        <v>428</v>
      </c>
      <c r="H10" s="692" t="s">
        <v>567</v>
      </c>
      <c r="I10" s="673">
        <v>12</v>
      </c>
      <c r="J10" s="674">
        <f>I10*366*0.9</f>
        <v>3952.8</v>
      </c>
      <c r="K10" s="675">
        <v>430.96</v>
      </c>
      <c r="L10" s="694"/>
      <c r="M10" s="676">
        <f t="shared" si="0"/>
        <v>1703498.6880000001</v>
      </c>
      <c r="N10" s="677">
        <f>'[23]Youth Res Rate Models'!E69</f>
        <v>462.94193325096575</v>
      </c>
      <c r="O10" s="678"/>
      <c r="P10" s="679">
        <f t="shared" si="3"/>
        <v>1829916.8737544175</v>
      </c>
      <c r="Q10" s="676">
        <f t="shared" si="1"/>
        <v>126418.18575441744</v>
      </c>
      <c r="R10" s="680">
        <f t="shared" si="2"/>
        <v>7.4210908787278998E-2</v>
      </c>
      <c r="S10" s="676"/>
      <c r="T10" s="681"/>
      <c r="U10" s="682">
        <v>0.62</v>
      </c>
      <c r="V10" s="683">
        <v>0.57999999999999996</v>
      </c>
      <c r="W10" s="691"/>
    </row>
    <row r="11" spans="1:23" hidden="1" x14ac:dyDescent="0.25">
      <c r="A11" s="685">
        <v>600</v>
      </c>
      <c r="B11" s="686">
        <v>9571</v>
      </c>
      <c r="C11" s="686" t="s">
        <v>434</v>
      </c>
      <c r="D11" s="687" t="s">
        <v>435</v>
      </c>
      <c r="E11" s="693" t="s">
        <v>568</v>
      </c>
      <c r="F11" s="689">
        <v>2522</v>
      </c>
      <c r="G11" s="689" t="s">
        <v>563</v>
      </c>
      <c r="H11" s="693" t="s">
        <v>567</v>
      </c>
      <c r="I11" s="689">
        <v>2</v>
      </c>
      <c r="J11" s="674">
        <f>I11*366*0.9</f>
        <v>658.80000000000007</v>
      </c>
      <c r="K11" s="690">
        <v>430.96</v>
      </c>
      <c r="L11" s="690"/>
      <c r="M11" s="676">
        <f t="shared" si="0"/>
        <v>283916.44800000003</v>
      </c>
      <c r="N11" s="677">
        <f>'[23]Youth Res Rate Models'!E69</f>
        <v>462.94193325096575</v>
      </c>
      <c r="O11" s="678"/>
      <c r="P11" s="679">
        <f t="shared" si="3"/>
        <v>304986.14562573627</v>
      </c>
      <c r="Q11" s="676">
        <f t="shared" si="1"/>
        <v>21069.69762573624</v>
      </c>
      <c r="R11" s="680">
        <f t="shared" si="2"/>
        <v>7.4210908787278984E-2</v>
      </c>
      <c r="S11" s="676"/>
      <c r="T11" s="681"/>
      <c r="U11" s="682"/>
      <c r="V11" s="683"/>
      <c r="W11" s="691"/>
    </row>
    <row r="12" spans="1:23" ht="26.25" hidden="1" x14ac:dyDescent="0.25">
      <c r="A12" s="670">
        <v>200</v>
      </c>
      <c r="B12" s="671">
        <v>9105</v>
      </c>
      <c r="C12" s="671" t="s">
        <v>413</v>
      </c>
      <c r="D12" s="672" t="s">
        <v>427</v>
      </c>
      <c r="E12" s="692" t="s">
        <v>569</v>
      </c>
      <c r="F12" s="673">
        <v>2522</v>
      </c>
      <c r="G12" s="673" t="s">
        <v>428</v>
      </c>
      <c r="H12" s="692" t="s">
        <v>561</v>
      </c>
      <c r="I12" s="673">
        <v>10</v>
      </c>
      <c r="J12" s="674">
        <f>10*366*0.9</f>
        <v>3294</v>
      </c>
      <c r="K12" s="675">
        <v>430.96</v>
      </c>
      <c r="L12" s="695"/>
      <c r="M12" s="676">
        <f t="shared" si="0"/>
        <v>1419582.24</v>
      </c>
      <c r="N12" s="677">
        <f>'[23]Youth Res Rate Models'!E28</f>
        <v>484.49978026750284</v>
      </c>
      <c r="O12" s="678"/>
      <c r="P12" s="679">
        <f t="shared" si="3"/>
        <v>1595942.2762011543</v>
      </c>
      <c r="Q12" s="676">
        <f t="shared" si="1"/>
        <v>176360.03620115435</v>
      </c>
      <c r="R12" s="680">
        <f t="shared" si="2"/>
        <v>0.12423375781395683</v>
      </c>
      <c r="S12" s="676"/>
      <c r="T12" s="681"/>
      <c r="U12" s="682">
        <v>0.5</v>
      </c>
      <c r="V12" s="683">
        <v>0.62</v>
      </c>
      <c r="W12" s="684" t="s">
        <v>570</v>
      </c>
    </row>
    <row r="13" spans="1:23" ht="26.25" hidden="1" x14ac:dyDescent="0.25">
      <c r="A13" s="685">
        <v>600</v>
      </c>
      <c r="B13" s="686">
        <v>9105</v>
      </c>
      <c r="C13" s="686" t="s">
        <v>413</v>
      </c>
      <c r="D13" s="687" t="s">
        <v>427</v>
      </c>
      <c r="E13" s="693" t="s">
        <v>569</v>
      </c>
      <c r="F13" s="689">
        <v>2522</v>
      </c>
      <c r="G13" s="689" t="s">
        <v>563</v>
      </c>
      <c r="H13" s="693" t="s">
        <v>561</v>
      </c>
      <c r="I13" s="689">
        <v>2</v>
      </c>
      <c r="J13" s="674">
        <f>I13*366*0.9</f>
        <v>658.80000000000007</v>
      </c>
      <c r="K13" s="690">
        <v>430.96</v>
      </c>
      <c r="L13" s="690"/>
      <c r="M13" s="676">
        <f t="shared" si="0"/>
        <v>283916.44800000003</v>
      </c>
      <c r="N13" s="677">
        <f>'[23]Youth Res Rate Models'!E28</f>
        <v>484.49978026750284</v>
      </c>
      <c r="O13" s="678"/>
      <c r="P13" s="679">
        <f t="shared" si="3"/>
        <v>319188.45524023089</v>
      </c>
      <c r="Q13" s="676">
        <f t="shared" si="1"/>
        <v>35272.007240230858</v>
      </c>
      <c r="R13" s="680">
        <f t="shared" si="2"/>
        <v>0.12423375781395678</v>
      </c>
      <c r="S13" s="676"/>
      <c r="T13" s="681"/>
      <c r="U13" s="682"/>
      <c r="V13" s="683"/>
      <c r="W13" s="691"/>
    </row>
    <row r="14" spans="1:23" hidden="1" x14ac:dyDescent="0.25">
      <c r="A14" s="670">
        <v>200</v>
      </c>
      <c r="B14" s="671">
        <v>9320</v>
      </c>
      <c r="C14" s="671" t="s">
        <v>422</v>
      </c>
      <c r="D14" s="672" t="s">
        <v>431</v>
      </c>
      <c r="E14" s="672" t="s">
        <v>571</v>
      </c>
      <c r="F14" s="673">
        <v>2522</v>
      </c>
      <c r="G14" s="673" t="s">
        <v>428</v>
      </c>
      <c r="H14" s="672" t="s">
        <v>561</v>
      </c>
      <c r="I14" s="673">
        <v>12</v>
      </c>
      <c r="J14" s="674">
        <f>I14*366*0.9</f>
        <v>3952.8</v>
      </c>
      <c r="K14" s="675">
        <v>430.96</v>
      </c>
      <c r="L14" s="675"/>
      <c r="M14" s="676">
        <f t="shared" si="0"/>
        <v>1703498.6880000001</v>
      </c>
      <c r="N14" s="677">
        <f>'[23]Youth Res Rate Models'!E28</f>
        <v>484.49978026750284</v>
      </c>
      <c r="O14" s="678"/>
      <c r="P14" s="679">
        <f t="shared" si="3"/>
        <v>1915130.7314413853</v>
      </c>
      <c r="Q14" s="676">
        <f t="shared" si="1"/>
        <v>211632.04344138526</v>
      </c>
      <c r="R14" s="680">
        <f t="shared" si="2"/>
        <v>0.12423375781395686</v>
      </c>
      <c r="S14" s="676"/>
      <c r="T14" s="681"/>
      <c r="U14" s="682">
        <v>0.44</v>
      </c>
      <c r="V14" s="683">
        <v>0.77</v>
      </c>
      <c r="W14" s="684" t="s">
        <v>572</v>
      </c>
    </row>
    <row r="15" spans="1:23" hidden="1" x14ac:dyDescent="0.25">
      <c r="A15" s="685">
        <v>600</v>
      </c>
      <c r="B15" s="686">
        <v>9320</v>
      </c>
      <c r="C15" s="686" t="s">
        <v>422</v>
      </c>
      <c r="D15" s="687" t="s">
        <v>431</v>
      </c>
      <c r="E15" s="687" t="s">
        <v>571</v>
      </c>
      <c r="F15" s="689">
        <v>2522</v>
      </c>
      <c r="G15" s="689" t="s">
        <v>563</v>
      </c>
      <c r="H15" s="687" t="s">
        <v>561</v>
      </c>
      <c r="I15" s="689">
        <v>2</v>
      </c>
      <c r="J15" s="674">
        <f>I15*366*0.9</f>
        <v>658.80000000000007</v>
      </c>
      <c r="K15" s="690">
        <v>430.96</v>
      </c>
      <c r="L15" s="690"/>
      <c r="M15" s="676">
        <f t="shared" si="0"/>
        <v>283916.44800000003</v>
      </c>
      <c r="N15" s="677">
        <f>'[23]Youth Res Rate Models'!E28</f>
        <v>484.49978026750284</v>
      </c>
      <c r="O15" s="678"/>
      <c r="P15" s="679">
        <f t="shared" si="3"/>
        <v>319188.45524023089</v>
      </c>
      <c r="Q15" s="676">
        <f t="shared" si="1"/>
        <v>35272.007240230858</v>
      </c>
      <c r="R15" s="680">
        <f t="shared" si="2"/>
        <v>0.12423375781395678</v>
      </c>
      <c r="S15" s="676"/>
      <c r="T15" s="681"/>
      <c r="U15" s="682"/>
      <c r="V15" s="683"/>
      <c r="W15" s="691"/>
    </row>
    <row r="16" spans="1:23" hidden="1" x14ac:dyDescent="0.25">
      <c r="A16" s="670"/>
      <c r="B16" s="671"/>
      <c r="C16" s="671"/>
      <c r="D16" s="672"/>
      <c r="E16" s="692"/>
      <c r="F16" s="673"/>
      <c r="G16" s="673"/>
      <c r="H16" s="692"/>
      <c r="I16" s="673"/>
      <c r="J16" s="674"/>
      <c r="K16" s="675"/>
      <c r="L16" s="694"/>
      <c r="M16" s="676"/>
      <c r="N16" s="678"/>
      <c r="O16" s="678"/>
      <c r="P16" s="679"/>
      <c r="Q16" s="676"/>
      <c r="R16" s="680"/>
      <c r="S16" s="676"/>
      <c r="T16" s="681"/>
      <c r="U16" s="682"/>
      <c r="V16" s="683"/>
      <c r="W16" s="691"/>
    </row>
    <row r="17" spans="1:23" hidden="1" x14ac:dyDescent="0.25">
      <c r="A17" s="670">
        <v>300</v>
      </c>
      <c r="B17" s="671">
        <v>9107</v>
      </c>
      <c r="C17" s="671" t="s">
        <v>413</v>
      </c>
      <c r="D17" s="672" t="s">
        <v>414</v>
      </c>
      <c r="E17" s="672" t="s">
        <v>573</v>
      </c>
      <c r="F17" s="671">
        <v>2500</v>
      </c>
      <c r="G17" s="671" t="s">
        <v>415</v>
      </c>
      <c r="H17" s="672" t="s">
        <v>574</v>
      </c>
      <c r="I17" s="671">
        <v>15</v>
      </c>
      <c r="J17" s="674">
        <f>I17*366*0.9</f>
        <v>4941</v>
      </c>
      <c r="K17" s="675">
        <v>358.65</v>
      </c>
      <c r="L17" s="675">
        <f>9.42*3</f>
        <v>28.259999999999998</v>
      </c>
      <c r="M17" s="676">
        <f t="shared" ref="M17:M34" si="4">(K17+L17)*J17</f>
        <v>1911722.3099999998</v>
      </c>
      <c r="N17" s="677">
        <f>'[23]Youth Res Rate Models'!K147</f>
        <v>348.38084902481717</v>
      </c>
      <c r="O17" s="678">
        <f>'[23] Add-On Rates(DC &amp; Clinical)'!I50*6</f>
        <v>57.948759398858328</v>
      </c>
      <c r="P17" s="679">
        <f>(N17+O17)*J17</f>
        <v>2007674.5952213807</v>
      </c>
      <c r="Q17" s="676">
        <f t="shared" ref="Q17:Q34" si="5">P17-M17</f>
        <v>95952.28522138088</v>
      </c>
      <c r="R17" s="680">
        <f t="shared" ref="R17:R35" si="6">Q17/M17</f>
        <v>5.0191539178815615E-2</v>
      </c>
      <c r="S17" s="676">
        <f>L17*J17</f>
        <v>139632.66</v>
      </c>
      <c r="T17" s="681"/>
      <c r="U17" s="682">
        <v>0.79</v>
      </c>
      <c r="V17" s="683">
        <v>0.77</v>
      </c>
      <c r="W17" s="691"/>
    </row>
    <row r="18" spans="1:23" ht="26.25" hidden="1" x14ac:dyDescent="0.25">
      <c r="A18" s="670">
        <v>300</v>
      </c>
      <c r="B18" s="671">
        <v>9110</v>
      </c>
      <c r="C18" s="671" t="s">
        <v>413</v>
      </c>
      <c r="D18" s="672" t="s">
        <v>414</v>
      </c>
      <c r="E18" s="692" t="s">
        <v>416</v>
      </c>
      <c r="F18" s="673">
        <v>2503</v>
      </c>
      <c r="G18" s="673" t="s">
        <v>417</v>
      </c>
      <c r="H18" s="692" t="s">
        <v>575</v>
      </c>
      <c r="I18" s="673">
        <v>15</v>
      </c>
      <c r="J18" s="674">
        <f>I18*366*0.9</f>
        <v>4941</v>
      </c>
      <c r="K18" s="675">
        <v>395.46</v>
      </c>
      <c r="L18" s="675">
        <v>9.42</v>
      </c>
      <c r="M18" s="676">
        <f t="shared" si="4"/>
        <v>2000512.08</v>
      </c>
      <c r="N18" s="677">
        <f>'[23]Youth Res Rate Models'!K69</f>
        <v>385.95179401170338</v>
      </c>
      <c r="O18" s="678">
        <f>'[23] Add-On Rates(DC &amp; Clinical)'!I50*4</f>
        <v>38.632506265905555</v>
      </c>
      <c r="P18" s="679">
        <f>(N18+O18)*J18</f>
        <v>2097871.0276716659</v>
      </c>
      <c r="Q18" s="676">
        <f t="shared" si="5"/>
        <v>97358.94767166581</v>
      </c>
      <c r="R18" s="680">
        <f t="shared" si="6"/>
        <v>4.8667013133790127E-2</v>
      </c>
      <c r="S18" s="676">
        <f t="shared" ref="S18:S34" si="7">L18*J18</f>
        <v>46544.22</v>
      </c>
      <c r="T18" s="681"/>
      <c r="U18" s="682">
        <v>0.66</v>
      </c>
      <c r="V18" s="683">
        <v>0.45</v>
      </c>
      <c r="W18" s="691"/>
    </row>
    <row r="19" spans="1:23" ht="26.25" hidden="1" x14ac:dyDescent="0.25">
      <c r="A19" s="670">
        <v>300</v>
      </c>
      <c r="B19" s="671">
        <v>9125</v>
      </c>
      <c r="C19" s="671" t="s">
        <v>413</v>
      </c>
      <c r="D19" s="672" t="s">
        <v>423</v>
      </c>
      <c r="E19" s="692" t="s">
        <v>437</v>
      </c>
      <c r="F19" s="673">
        <v>2503</v>
      </c>
      <c r="G19" s="673" t="s">
        <v>417</v>
      </c>
      <c r="H19" s="692" t="s">
        <v>576</v>
      </c>
      <c r="I19" s="673">
        <v>15</v>
      </c>
      <c r="J19" s="674">
        <f>I19*366*0.9</f>
        <v>4941</v>
      </c>
      <c r="K19" s="675">
        <v>416.63</v>
      </c>
      <c r="L19" s="675">
        <v>9.42</v>
      </c>
      <c r="M19" s="676">
        <f t="shared" si="4"/>
        <v>2105113.0500000003</v>
      </c>
      <c r="N19" s="677">
        <f>'[23]Youth Res Rate Models'!K28</f>
        <v>407.50964027840962</v>
      </c>
      <c r="O19" s="678">
        <f>'[23] Add-On Rates(DC &amp; Clinical)'!I50*4</f>
        <v>38.632506265905555</v>
      </c>
      <c r="P19" s="679">
        <f>(N19+O19)*J19</f>
        <v>2204388.3460754612</v>
      </c>
      <c r="Q19" s="676">
        <f t="shared" si="5"/>
        <v>99275.296075460967</v>
      </c>
      <c r="R19" s="680">
        <f t="shared" si="6"/>
        <v>4.7159128140629288E-2</v>
      </c>
      <c r="S19" s="676">
        <f t="shared" si="7"/>
        <v>46544.22</v>
      </c>
      <c r="T19" s="681"/>
      <c r="U19" s="682">
        <v>0.62</v>
      </c>
      <c r="V19" s="683">
        <v>0.21</v>
      </c>
      <c r="W19" s="691"/>
    </row>
    <row r="20" spans="1:23" hidden="1" x14ac:dyDescent="0.25">
      <c r="A20" s="670">
        <v>200</v>
      </c>
      <c r="B20" s="671">
        <v>9108</v>
      </c>
      <c r="C20" s="671" t="s">
        <v>413</v>
      </c>
      <c r="D20" s="672" t="s">
        <v>427</v>
      </c>
      <c r="E20" s="692" t="s">
        <v>436</v>
      </c>
      <c r="F20" s="673">
        <v>2522</v>
      </c>
      <c r="G20" s="673" t="s">
        <v>417</v>
      </c>
      <c r="H20" s="692" t="s">
        <v>577</v>
      </c>
      <c r="I20" s="673">
        <v>10</v>
      </c>
      <c r="J20" s="674">
        <f>12*366*0.8</f>
        <v>3513.6000000000004</v>
      </c>
      <c r="K20" s="675">
        <v>473.42</v>
      </c>
      <c r="L20" s="695"/>
      <c r="M20" s="676">
        <f t="shared" si="4"/>
        <v>1663408.5120000003</v>
      </c>
      <c r="N20" s="677">
        <f>'[23]Youth Res Rate Models'!E30</f>
        <v>545.06225280094066</v>
      </c>
      <c r="O20" s="678"/>
      <c r="P20" s="679">
        <f>(N20+O20)*J20</f>
        <v>1915130.7314413853</v>
      </c>
      <c r="Q20" s="676">
        <f t="shared" si="5"/>
        <v>251722.21944138501</v>
      </c>
      <c r="R20" s="680">
        <f t="shared" si="6"/>
        <v>0.15132916395788226</v>
      </c>
      <c r="S20" s="676">
        <f t="shared" si="7"/>
        <v>0</v>
      </c>
      <c r="T20" s="681"/>
      <c r="U20" s="682"/>
      <c r="V20" s="683">
        <v>0.41</v>
      </c>
      <c r="W20" s="691"/>
    </row>
    <row r="21" spans="1:23" hidden="1" x14ac:dyDescent="0.25">
      <c r="A21" s="670">
        <v>200</v>
      </c>
      <c r="B21" s="671">
        <v>9470</v>
      </c>
      <c r="C21" s="671" t="s">
        <v>418</v>
      </c>
      <c r="D21" s="672" t="s">
        <v>419</v>
      </c>
      <c r="E21" s="692" t="s">
        <v>432</v>
      </c>
      <c r="F21" s="673">
        <v>2501</v>
      </c>
      <c r="G21" s="673" t="s">
        <v>429</v>
      </c>
      <c r="H21" s="692" t="s">
        <v>578</v>
      </c>
      <c r="I21" s="673">
        <v>10</v>
      </c>
      <c r="J21" s="674">
        <f>12*366*0.8</f>
        <v>3513.6000000000004</v>
      </c>
      <c r="K21" s="675">
        <v>412.44</v>
      </c>
      <c r="L21" s="675"/>
      <c r="M21" s="676">
        <f t="shared" si="4"/>
        <v>1449149.1840000001</v>
      </c>
      <c r="N21" s="677">
        <f>'[23]Youth Res Rate Models'!E149</f>
        <v>469.94200329055309</v>
      </c>
      <c r="O21" s="678"/>
      <c r="P21" s="679">
        <f>(N21+O21)*J21</f>
        <v>1651188.2227616876</v>
      </c>
      <c r="Q21" s="676">
        <f t="shared" si="5"/>
        <v>202039.03876168747</v>
      </c>
      <c r="R21" s="680">
        <f t="shared" si="6"/>
        <v>0.1394190749940673</v>
      </c>
      <c r="S21" s="676">
        <f t="shared" si="7"/>
        <v>0</v>
      </c>
      <c r="T21" s="681"/>
      <c r="U21" s="682">
        <v>0.52</v>
      </c>
      <c r="V21" s="683">
        <v>0.68</v>
      </c>
      <c r="W21" s="684" t="s">
        <v>579</v>
      </c>
    </row>
    <row r="22" spans="1:23" hidden="1" x14ac:dyDescent="0.25">
      <c r="A22" s="670">
        <v>300</v>
      </c>
      <c r="B22" s="671">
        <v>9216</v>
      </c>
      <c r="C22" s="671" t="s">
        <v>418</v>
      </c>
      <c r="D22" s="672" t="s">
        <v>419</v>
      </c>
      <c r="E22" s="692" t="s">
        <v>420</v>
      </c>
      <c r="F22" s="673">
        <v>2503</v>
      </c>
      <c r="G22" s="673" t="s">
        <v>417</v>
      </c>
      <c r="H22" s="672" t="s">
        <v>580</v>
      </c>
      <c r="I22" s="673">
        <v>12</v>
      </c>
      <c r="J22" s="674">
        <f>I22*366*0.9</f>
        <v>3952.8</v>
      </c>
      <c r="K22" s="675">
        <v>454.56</v>
      </c>
      <c r="L22" s="675"/>
      <c r="M22" s="676">
        <f t="shared" si="4"/>
        <v>1796784.7680000002</v>
      </c>
      <c r="N22" s="677">
        <f>'[23]Youth Res Rate Models'!E110</f>
        <v>445.28292688314087</v>
      </c>
      <c r="O22" s="678">
        <f>'[23] Add-On Rates(DC &amp; Clinical)'!I40*3</f>
        <v>37.425240445095994</v>
      </c>
      <c r="P22" s="679">
        <f t="shared" ref="P22:P34" si="8">(N22+O22)*J22</f>
        <v>1908048.8438150547</v>
      </c>
      <c r="Q22" s="676">
        <f t="shared" si="5"/>
        <v>111264.07581505459</v>
      </c>
      <c r="R22" s="680">
        <f t="shared" si="6"/>
        <v>6.1923986554551301E-2</v>
      </c>
      <c r="S22" s="676">
        <f t="shared" si="7"/>
        <v>0</v>
      </c>
      <c r="T22" s="681"/>
      <c r="U22" s="682">
        <v>0.69</v>
      </c>
      <c r="V22" s="683">
        <v>0.76</v>
      </c>
      <c r="W22" s="691"/>
    </row>
    <row r="23" spans="1:23" hidden="1" x14ac:dyDescent="0.25">
      <c r="A23" s="670">
        <v>300</v>
      </c>
      <c r="B23" s="671">
        <v>9210</v>
      </c>
      <c r="C23" s="671" t="s">
        <v>418</v>
      </c>
      <c r="D23" s="672" t="s">
        <v>425</v>
      </c>
      <c r="E23" s="692" t="s">
        <v>438</v>
      </c>
      <c r="F23" s="673">
        <v>2503</v>
      </c>
      <c r="G23" s="673" t="s">
        <v>417</v>
      </c>
      <c r="H23" s="692" t="s">
        <v>575</v>
      </c>
      <c r="I23" s="673">
        <v>12</v>
      </c>
      <c r="J23" s="674">
        <f>I23*366*0.9</f>
        <v>3952.8</v>
      </c>
      <c r="K23" s="675">
        <v>471.9</v>
      </c>
      <c r="L23" s="675">
        <v>12.16</v>
      </c>
      <c r="M23" s="676">
        <f t="shared" si="4"/>
        <v>1913392.368</v>
      </c>
      <c r="N23" s="677">
        <f>'[23]Youth Res Rate Models'!E69</f>
        <v>462.94193325096575</v>
      </c>
      <c r="O23" s="678">
        <f>'[23] Add-On Rates(DC &amp; Clinical)'!I40*4</f>
        <v>49.900320593461323</v>
      </c>
      <c r="P23" s="679">
        <f t="shared" si="8"/>
        <v>2027162.8609962515</v>
      </c>
      <c r="Q23" s="676">
        <f t="shared" si="5"/>
        <v>113770.49299625144</v>
      </c>
      <c r="R23" s="680">
        <f t="shared" si="6"/>
        <v>5.9460095534493863E-2</v>
      </c>
      <c r="S23" s="676">
        <f t="shared" si="7"/>
        <v>48066.048000000003</v>
      </c>
      <c r="T23" s="681"/>
      <c r="U23" s="682">
        <v>0.61</v>
      </c>
      <c r="V23" s="683">
        <v>0.63</v>
      </c>
      <c r="W23" s="691"/>
    </row>
    <row r="24" spans="1:23" hidden="1" x14ac:dyDescent="0.25">
      <c r="A24" s="670">
        <v>300</v>
      </c>
      <c r="B24" s="671">
        <v>9252</v>
      </c>
      <c r="C24" s="671" t="s">
        <v>418</v>
      </c>
      <c r="D24" s="672" t="s">
        <v>421</v>
      </c>
      <c r="E24" s="692" t="s">
        <v>581</v>
      </c>
      <c r="F24" s="671">
        <v>2500</v>
      </c>
      <c r="G24" s="671" t="s">
        <v>415</v>
      </c>
      <c r="H24" s="672" t="s">
        <v>582</v>
      </c>
      <c r="I24" s="673">
        <v>10</v>
      </c>
      <c r="J24" s="674">
        <f>12*366*0.8</f>
        <v>3513.6000000000004</v>
      </c>
      <c r="K24" s="675">
        <v>481.09</v>
      </c>
      <c r="L24" s="675"/>
      <c r="M24" s="676">
        <f t="shared" si="4"/>
        <v>1690357.824</v>
      </c>
      <c r="N24" s="677">
        <f>'[23]Youth Res Rate Models'!E69</f>
        <v>462.94193325096575</v>
      </c>
      <c r="O24" s="678">
        <f>'[23] Add-On Rates(DC &amp; Clinical)'!I40*4</f>
        <v>49.900320593461323</v>
      </c>
      <c r="P24" s="679">
        <f t="shared" si="8"/>
        <v>1801922.5431077792</v>
      </c>
      <c r="Q24" s="676">
        <f t="shared" si="5"/>
        <v>111564.71910777921</v>
      </c>
      <c r="R24" s="680">
        <f t="shared" si="6"/>
        <v>6.60006523611531E-2</v>
      </c>
      <c r="S24" s="676">
        <f t="shared" si="7"/>
        <v>0</v>
      </c>
      <c r="T24" s="681"/>
      <c r="U24" s="682">
        <v>0.69</v>
      </c>
      <c r="V24" s="683">
        <v>0.62</v>
      </c>
      <c r="W24" s="691"/>
    </row>
    <row r="25" spans="1:23" hidden="1" x14ac:dyDescent="0.25">
      <c r="A25" s="670">
        <v>300</v>
      </c>
      <c r="B25" s="671">
        <v>9353</v>
      </c>
      <c r="C25" s="671" t="s">
        <v>422</v>
      </c>
      <c r="D25" s="672" t="s">
        <v>423</v>
      </c>
      <c r="E25" s="692" t="s">
        <v>583</v>
      </c>
      <c r="F25" s="671">
        <v>2500</v>
      </c>
      <c r="G25" s="671" t="s">
        <v>415</v>
      </c>
      <c r="H25" s="672" t="s">
        <v>574</v>
      </c>
      <c r="I25" s="673">
        <v>12</v>
      </c>
      <c r="J25" s="674">
        <f>I25*366*0.9</f>
        <v>3952.8</v>
      </c>
      <c r="K25" s="675">
        <v>427.64</v>
      </c>
      <c r="L25" s="675"/>
      <c r="M25" s="676">
        <f t="shared" si="4"/>
        <v>1690375.392</v>
      </c>
      <c r="N25" s="677">
        <f>'[23]Youth Res Rate Models'!E147</f>
        <v>417.72622514715829</v>
      </c>
      <c r="O25" s="678">
        <f>'[23] Add-On Rates(DC &amp; Clinical)'!I40*3</f>
        <v>37.425240445095994</v>
      </c>
      <c r="P25" s="679">
        <f t="shared" si="8"/>
        <v>1799122.7131930629</v>
      </c>
      <c r="Q25" s="676">
        <f t="shared" si="5"/>
        <v>108747.32119306293</v>
      </c>
      <c r="R25" s="680">
        <f t="shared" si="6"/>
        <v>6.43332372842913E-2</v>
      </c>
      <c r="S25" s="676">
        <f t="shared" si="7"/>
        <v>0</v>
      </c>
      <c r="T25" s="681"/>
      <c r="U25" s="682">
        <v>0.47</v>
      </c>
      <c r="V25" s="683">
        <v>1.1599999999999999</v>
      </c>
      <c r="W25" s="684" t="s">
        <v>584</v>
      </c>
    </row>
    <row r="26" spans="1:23" hidden="1" x14ac:dyDescent="0.25">
      <c r="A26" s="670">
        <v>300</v>
      </c>
      <c r="B26" s="671">
        <v>9330</v>
      </c>
      <c r="C26" s="671" t="s">
        <v>422</v>
      </c>
      <c r="D26" s="672" t="s">
        <v>419</v>
      </c>
      <c r="E26" s="672" t="s">
        <v>440</v>
      </c>
      <c r="F26" s="673">
        <v>2503</v>
      </c>
      <c r="G26" s="673" t="s">
        <v>417</v>
      </c>
      <c r="H26" s="672" t="s">
        <v>575</v>
      </c>
      <c r="I26" s="673">
        <v>12</v>
      </c>
      <c r="J26" s="674">
        <f>I26*366*0.9</f>
        <v>3952.8</v>
      </c>
      <c r="K26" s="675">
        <v>471.9</v>
      </c>
      <c r="L26" s="675"/>
      <c r="M26" s="676">
        <f t="shared" si="4"/>
        <v>1865326.32</v>
      </c>
      <c r="N26" s="677">
        <f>'[23]Youth Res Rate Models'!E69</f>
        <v>462.94193325096575</v>
      </c>
      <c r="O26" s="678">
        <f>'[23] Add-On Rates(DC &amp; Clinical)'!I40*3</f>
        <v>37.425240445095994</v>
      </c>
      <c r="P26" s="679">
        <f t="shared" si="8"/>
        <v>1977851.3641857929</v>
      </c>
      <c r="Q26" s="676">
        <f t="shared" si="5"/>
        <v>112525.04418579279</v>
      </c>
      <c r="R26" s="680">
        <f t="shared" si="6"/>
        <v>6.0324589311425571E-2</v>
      </c>
      <c r="S26" s="676">
        <f t="shared" si="7"/>
        <v>0</v>
      </c>
      <c r="T26" s="681"/>
      <c r="U26" s="682">
        <v>0.47</v>
      </c>
      <c r="V26" s="683">
        <v>0.53</v>
      </c>
      <c r="W26" s="684" t="s">
        <v>585</v>
      </c>
    </row>
    <row r="27" spans="1:23" hidden="1" x14ac:dyDescent="0.25">
      <c r="A27" s="670">
        <v>300</v>
      </c>
      <c r="B27" s="671">
        <v>9335</v>
      </c>
      <c r="C27" s="671" t="s">
        <v>422</v>
      </c>
      <c r="D27" s="672" t="s">
        <v>431</v>
      </c>
      <c r="E27" s="692" t="s">
        <v>586</v>
      </c>
      <c r="F27" s="673">
        <v>2502</v>
      </c>
      <c r="G27" s="673" t="s">
        <v>443</v>
      </c>
      <c r="H27" s="692" t="s">
        <v>587</v>
      </c>
      <c r="I27" s="673">
        <v>10</v>
      </c>
      <c r="J27" s="674">
        <f>12*366*0.8</f>
        <v>3513.6000000000004</v>
      </c>
      <c r="K27" s="675">
        <v>449.6</v>
      </c>
      <c r="L27" s="675"/>
      <c r="M27" s="676">
        <f t="shared" si="4"/>
        <v>1579714.5600000003</v>
      </c>
      <c r="N27" s="677">
        <f>'[23]Youth Res Rate Models'!E71</f>
        <v>520.80967490733644</v>
      </c>
      <c r="O27" s="678"/>
      <c r="P27" s="679">
        <f t="shared" si="8"/>
        <v>1829916.8737544175</v>
      </c>
      <c r="Q27" s="676">
        <f t="shared" si="5"/>
        <v>250202.31375441724</v>
      </c>
      <c r="R27" s="680">
        <f t="shared" si="6"/>
        <v>0.15838450824585498</v>
      </c>
      <c r="S27" s="676">
        <f t="shared" si="7"/>
        <v>0</v>
      </c>
      <c r="T27" s="681">
        <f>-(34056*3)</f>
        <v>-102168</v>
      </c>
      <c r="U27" s="682">
        <v>0.42</v>
      </c>
      <c r="V27" s="683">
        <v>0.45</v>
      </c>
      <c r="W27" s="691"/>
    </row>
    <row r="28" spans="1:23" ht="26.25" hidden="1" x14ac:dyDescent="0.25">
      <c r="A28" s="670">
        <v>300</v>
      </c>
      <c r="B28" s="671">
        <v>9306</v>
      </c>
      <c r="C28" s="671" t="s">
        <v>422</v>
      </c>
      <c r="D28" s="672" t="s">
        <v>435</v>
      </c>
      <c r="E28" s="655" t="s">
        <v>439</v>
      </c>
      <c r="F28" s="673">
        <v>2503</v>
      </c>
      <c r="G28" s="673" t="s">
        <v>417</v>
      </c>
      <c r="H28" s="655" t="s">
        <v>576</v>
      </c>
      <c r="I28" s="673">
        <v>12</v>
      </c>
      <c r="J28" s="674">
        <f t="shared" ref="J28:J34" si="9">I28*366*0.9</f>
        <v>3952.8</v>
      </c>
      <c r="K28" s="675">
        <v>493.08</v>
      </c>
      <c r="L28" s="675">
        <v>12.16</v>
      </c>
      <c r="M28" s="676">
        <f t="shared" si="4"/>
        <v>1997112.672</v>
      </c>
      <c r="N28" s="677">
        <f>'[23]Youth Res Rate Models'!E28</f>
        <v>484.49978026750284</v>
      </c>
      <c r="O28" s="678">
        <f>'[23] Add-On Rates(DC &amp; Clinical)'!I40*4</f>
        <v>49.900320593461323</v>
      </c>
      <c r="P28" s="679">
        <f t="shared" si="8"/>
        <v>2112376.718683219</v>
      </c>
      <c r="Q28" s="676">
        <f t="shared" si="5"/>
        <v>115264.04668321903</v>
      </c>
      <c r="R28" s="680">
        <f t="shared" si="6"/>
        <v>5.7715344907299765E-2</v>
      </c>
      <c r="S28" s="676">
        <f t="shared" si="7"/>
        <v>48066.048000000003</v>
      </c>
      <c r="T28" s="681"/>
      <c r="U28" s="682">
        <v>0.73</v>
      </c>
      <c r="V28" s="683">
        <v>0.89</v>
      </c>
      <c r="W28" s="691"/>
    </row>
    <row r="29" spans="1:23" ht="26.25" hidden="1" x14ac:dyDescent="0.25">
      <c r="A29" s="670">
        <v>300</v>
      </c>
      <c r="B29" s="671">
        <v>9480</v>
      </c>
      <c r="C29" s="671" t="s">
        <v>424</v>
      </c>
      <c r="D29" s="672" t="s">
        <v>425</v>
      </c>
      <c r="E29" s="692" t="s">
        <v>433</v>
      </c>
      <c r="F29" s="673">
        <v>2501</v>
      </c>
      <c r="G29" s="673" t="s">
        <v>429</v>
      </c>
      <c r="H29" s="692" t="s">
        <v>578</v>
      </c>
      <c r="I29" s="673">
        <v>15</v>
      </c>
      <c r="J29" s="674">
        <f t="shared" si="9"/>
        <v>4941</v>
      </c>
      <c r="K29" s="675">
        <v>325.57</v>
      </c>
      <c r="L29" s="675"/>
      <c r="M29" s="676">
        <f t="shared" si="4"/>
        <v>1608641.3699999999</v>
      </c>
      <c r="N29" s="677">
        <f>'[23]Youth Res Rate Models'!K147</f>
        <v>348.38084902481717</v>
      </c>
      <c r="O29" s="678"/>
      <c r="P29" s="679">
        <f t="shared" si="8"/>
        <v>1721349.7750316216</v>
      </c>
      <c r="Q29" s="676">
        <f t="shared" si="5"/>
        <v>112708.40503162169</v>
      </c>
      <c r="R29" s="680">
        <f t="shared" si="6"/>
        <v>7.0064345685466045E-2</v>
      </c>
      <c r="S29" s="676">
        <f t="shared" si="7"/>
        <v>0</v>
      </c>
      <c r="T29" s="681"/>
      <c r="U29" s="682">
        <v>0.64</v>
      </c>
      <c r="V29" s="683">
        <v>0.64</v>
      </c>
      <c r="W29" s="691"/>
    </row>
    <row r="30" spans="1:23" ht="26.25" hidden="1" x14ac:dyDescent="0.25">
      <c r="A30" s="670">
        <v>300</v>
      </c>
      <c r="B30" s="671">
        <v>9411</v>
      </c>
      <c r="C30" s="671" t="s">
        <v>424</v>
      </c>
      <c r="D30" s="672" t="s">
        <v>425</v>
      </c>
      <c r="E30" s="692" t="s">
        <v>426</v>
      </c>
      <c r="F30" s="673">
        <v>2500</v>
      </c>
      <c r="G30" s="673" t="s">
        <v>417</v>
      </c>
      <c r="H30" s="672" t="s">
        <v>582</v>
      </c>
      <c r="I30" s="673">
        <v>12</v>
      </c>
      <c r="J30" s="674">
        <f t="shared" si="9"/>
        <v>3952.8</v>
      </c>
      <c r="K30" s="675">
        <v>427.64</v>
      </c>
      <c r="L30" s="675"/>
      <c r="M30" s="676">
        <f t="shared" si="4"/>
        <v>1690375.392</v>
      </c>
      <c r="N30" s="677">
        <f>'[23]Youth Res Rate Models'!E147</f>
        <v>417.72622514715829</v>
      </c>
      <c r="O30" s="678">
        <f>'[23] Add-On Rates(DC &amp; Clinical)'!I40*3</f>
        <v>37.425240445095994</v>
      </c>
      <c r="P30" s="679">
        <f t="shared" si="8"/>
        <v>1799122.7131930629</v>
      </c>
      <c r="Q30" s="676">
        <f t="shared" si="5"/>
        <v>108747.32119306293</v>
      </c>
      <c r="R30" s="680">
        <f t="shared" si="6"/>
        <v>6.43332372842913E-2</v>
      </c>
      <c r="S30" s="676">
        <f t="shared" si="7"/>
        <v>0</v>
      </c>
      <c r="T30" s="681"/>
      <c r="U30" s="682">
        <v>0.54</v>
      </c>
      <c r="V30" s="683">
        <v>0.78</v>
      </c>
      <c r="W30" s="691"/>
    </row>
    <row r="31" spans="1:23" ht="26.25" hidden="1" x14ac:dyDescent="0.25">
      <c r="A31" s="670">
        <v>300</v>
      </c>
      <c r="B31" s="671">
        <v>9535</v>
      </c>
      <c r="C31" s="671" t="s">
        <v>434</v>
      </c>
      <c r="D31" s="672" t="s">
        <v>425</v>
      </c>
      <c r="E31" s="692" t="s">
        <v>588</v>
      </c>
      <c r="F31" s="673">
        <v>2503</v>
      </c>
      <c r="G31" s="673" t="s">
        <v>417</v>
      </c>
      <c r="H31" s="672" t="s">
        <v>589</v>
      </c>
      <c r="I31" s="673">
        <v>12</v>
      </c>
      <c r="J31" s="674">
        <f t="shared" si="9"/>
        <v>3952.8</v>
      </c>
      <c r="K31" s="675">
        <v>454.56</v>
      </c>
      <c r="L31" s="675"/>
      <c r="M31" s="676">
        <f t="shared" si="4"/>
        <v>1796784.7680000002</v>
      </c>
      <c r="N31" s="677">
        <f>'[23]Youth Res Rate Models'!E110</f>
        <v>445.28292688314087</v>
      </c>
      <c r="O31" s="678">
        <f>'[23] Add-On Rates(DC &amp; Clinical)'!I40*3</f>
        <v>37.425240445095994</v>
      </c>
      <c r="P31" s="679">
        <f t="shared" si="8"/>
        <v>1908048.8438150547</v>
      </c>
      <c r="Q31" s="676">
        <f t="shared" si="5"/>
        <v>111264.07581505459</v>
      </c>
      <c r="R31" s="680">
        <f t="shared" si="6"/>
        <v>6.1923986554551301E-2</v>
      </c>
      <c r="S31" s="676">
        <f t="shared" si="7"/>
        <v>0</v>
      </c>
      <c r="T31" s="681">
        <f>-(34056*3)</f>
        <v>-102168</v>
      </c>
      <c r="U31" s="682">
        <v>0.41</v>
      </c>
      <c r="V31" s="683">
        <v>0.77</v>
      </c>
      <c r="W31" s="684" t="s">
        <v>590</v>
      </c>
    </row>
    <row r="32" spans="1:23" ht="26.25" hidden="1" x14ac:dyDescent="0.25">
      <c r="A32" s="670">
        <v>300</v>
      </c>
      <c r="B32" s="671">
        <v>9502</v>
      </c>
      <c r="C32" s="671" t="s">
        <v>434</v>
      </c>
      <c r="D32" s="672" t="s">
        <v>425</v>
      </c>
      <c r="E32" s="692" t="s">
        <v>441</v>
      </c>
      <c r="F32" s="673">
        <v>2503</v>
      </c>
      <c r="G32" s="673" t="s">
        <v>417</v>
      </c>
      <c r="H32" s="692" t="s">
        <v>576</v>
      </c>
      <c r="I32" s="673">
        <v>12</v>
      </c>
      <c r="J32" s="674">
        <f t="shared" si="9"/>
        <v>3952.8</v>
      </c>
      <c r="K32" s="675">
        <v>493.08</v>
      </c>
      <c r="L32" s="675"/>
      <c r="M32" s="676">
        <f t="shared" si="4"/>
        <v>1949046.6240000001</v>
      </c>
      <c r="N32" s="677">
        <f>'[23]Youth Res Rate Models'!E28</f>
        <v>484.49978026750284</v>
      </c>
      <c r="O32" s="678">
        <f>'[23] Add-On Rates(DC &amp; Clinical)'!I40*3</f>
        <v>37.425240445095994</v>
      </c>
      <c r="P32" s="679">
        <f t="shared" si="8"/>
        <v>2063065.2218727604</v>
      </c>
      <c r="Q32" s="676">
        <f t="shared" si="5"/>
        <v>114018.59787276038</v>
      </c>
      <c r="R32" s="680">
        <f t="shared" si="6"/>
        <v>5.849967695424426E-2</v>
      </c>
      <c r="S32" s="676">
        <f t="shared" si="7"/>
        <v>0</v>
      </c>
      <c r="T32" s="681"/>
      <c r="U32" s="682">
        <v>0.64</v>
      </c>
      <c r="V32" s="683">
        <v>0.65</v>
      </c>
      <c r="W32" s="691"/>
    </row>
    <row r="33" spans="1:23" ht="26.25" hidden="1" x14ac:dyDescent="0.25">
      <c r="A33" s="670">
        <v>300</v>
      </c>
      <c r="B33" s="671">
        <v>9555</v>
      </c>
      <c r="C33" s="671" t="s">
        <v>434</v>
      </c>
      <c r="D33" s="672" t="s">
        <v>425</v>
      </c>
      <c r="E33" s="692" t="s">
        <v>442</v>
      </c>
      <c r="F33" s="673">
        <v>2503</v>
      </c>
      <c r="G33" s="673" t="s">
        <v>417</v>
      </c>
      <c r="H33" s="692" t="s">
        <v>576</v>
      </c>
      <c r="I33" s="673">
        <v>12</v>
      </c>
      <c r="J33" s="674">
        <f t="shared" si="9"/>
        <v>3952.8</v>
      </c>
      <c r="K33" s="675">
        <v>493.08</v>
      </c>
      <c r="L33" s="675">
        <v>12.16</v>
      </c>
      <c r="M33" s="676">
        <f t="shared" si="4"/>
        <v>1997112.672</v>
      </c>
      <c r="N33" s="677">
        <f>'[23]Youth Res Rate Models'!E28</f>
        <v>484.49978026750284</v>
      </c>
      <c r="O33" s="678">
        <f>'[23] Add-On Rates(DC &amp; Clinical)'!I40*4</f>
        <v>49.900320593461323</v>
      </c>
      <c r="P33" s="679">
        <f t="shared" si="8"/>
        <v>2112376.718683219</v>
      </c>
      <c r="Q33" s="676">
        <f t="shared" si="5"/>
        <v>115264.04668321903</v>
      </c>
      <c r="R33" s="680">
        <f t="shared" si="6"/>
        <v>5.7715344907299765E-2</v>
      </c>
      <c r="S33" s="676">
        <f t="shared" si="7"/>
        <v>48066.048000000003</v>
      </c>
      <c r="T33" s="696"/>
      <c r="U33" s="682">
        <v>0.47</v>
      </c>
      <c r="V33" s="683">
        <v>0.33</v>
      </c>
      <c r="W33" s="697" t="s">
        <v>591</v>
      </c>
    </row>
    <row r="34" spans="1:23" ht="26.25" hidden="1" x14ac:dyDescent="0.25">
      <c r="A34" s="670">
        <v>300</v>
      </c>
      <c r="B34" s="671">
        <v>9572</v>
      </c>
      <c r="C34" s="671" t="s">
        <v>434</v>
      </c>
      <c r="D34" s="672" t="s">
        <v>435</v>
      </c>
      <c r="E34" s="692" t="s">
        <v>444</v>
      </c>
      <c r="F34" s="673">
        <v>2505</v>
      </c>
      <c r="G34" s="673" t="s">
        <v>443</v>
      </c>
      <c r="H34" s="692" t="s">
        <v>587</v>
      </c>
      <c r="I34" s="673">
        <v>12</v>
      </c>
      <c r="J34" s="674">
        <f t="shared" si="9"/>
        <v>3952.8</v>
      </c>
      <c r="K34" s="675">
        <v>399.65</v>
      </c>
      <c r="L34" s="675"/>
      <c r="M34" s="676">
        <f t="shared" si="4"/>
        <v>1579736.52</v>
      </c>
      <c r="N34" s="677">
        <f>'[23]Youth Res Rate Models'!E69</f>
        <v>462.94193325096575</v>
      </c>
      <c r="O34" s="678"/>
      <c r="P34" s="679">
        <f t="shared" si="8"/>
        <v>1829916.8737544175</v>
      </c>
      <c r="Q34" s="676">
        <f t="shared" si="5"/>
        <v>250180.35375441751</v>
      </c>
      <c r="R34" s="680">
        <f t="shared" si="6"/>
        <v>0.15836840548221137</v>
      </c>
      <c r="S34" s="676">
        <f t="shared" si="7"/>
        <v>0</v>
      </c>
      <c r="T34" s="681">
        <f>-(34056*3)</f>
        <v>-102168</v>
      </c>
      <c r="U34" s="682">
        <v>0.48</v>
      </c>
      <c r="V34" s="683">
        <v>0.5</v>
      </c>
      <c r="W34" s="691"/>
    </row>
    <row r="35" spans="1:23" ht="15.75" hidden="1" thickBot="1" x14ac:dyDescent="0.3">
      <c r="A35" s="698"/>
      <c r="B35" s="699"/>
      <c r="C35" s="699"/>
      <c r="D35" s="700"/>
      <c r="E35" s="700"/>
      <c r="F35" s="701"/>
      <c r="G35" s="700"/>
      <c r="H35" s="701"/>
      <c r="I35" s="701"/>
      <c r="J35" s="701"/>
      <c r="K35" s="701"/>
      <c r="L35" s="702"/>
      <c r="M35" s="702">
        <f>SUM(M4:M34)</f>
        <v>43412355.071999997</v>
      </c>
      <c r="N35" s="702"/>
      <c r="O35" s="702"/>
      <c r="P35" s="702">
        <f>SUM(P4:P34)</f>
        <v>47018131.756872743</v>
      </c>
      <c r="Q35" s="702">
        <f>SUM(Q4:Q34)</f>
        <v>3605776.6848727432</v>
      </c>
      <c r="R35" s="703">
        <f t="shared" si="6"/>
        <v>8.3058767000604147E-2</v>
      </c>
      <c r="S35" s="702">
        <f>SUM(S17:S34)</f>
        <v>376919.24400000001</v>
      </c>
      <c r="T35" s="702">
        <f>SUM(T17:T34)</f>
        <v>-306504</v>
      </c>
      <c r="U35" s="704"/>
      <c r="V35" s="705"/>
      <c r="W35" s="706"/>
    </row>
    <row r="36" spans="1:23" ht="15.75" thickBot="1" x14ac:dyDescent="0.3">
      <c r="A36" s="707"/>
      <c r="B36" s="708"/>
      <c r="C36" s="708"/>
      <c r="D36" s="709"/>
      <c r="E36" s="709"/>
      <c r="F36" s="656"/>
      <c r="G36" s="709"/>
      <c r="H36" s="656"/>
      <c r="I36" s="656"/>
      <c r="J36" s="656"/>
      <c r="K36" s="656"/>
      <c r="L36" s="710"/>
      <c r="M36" s="710"/>
      <c r="N36" s="710"/>
      <c r="O36" s="710"/>
      <c r="P36" s="710"/>
      <c r="Q36" s="710"/>
      <c r="R36" s="711"/>
      <c r="S36" s="712"/>
      <c r="T36" s="710"/>
    </row>
    <row r="37" spans="1:23" ht="38.25" x14ac:dyDescent="0.25">
      <c r="A37" s="660" t="s">
        <v>545</v>
      </c>
      <c r="B37" s="661" t="s">
        <v>407</v>
      </c>
      <c r="C37" s="661" t="s">
        <v>408</v>
      </c>
      <c r="D37" s="661" t="s">
        <v>409</v>
      </c>
      <c r="E37" s="661" t="s">
        <v>410</v>
      </c>
      <c r="F37" s="661" t="s">
        <v>412</v>
      </c>
      <c r="G37" s="661" t="s">
        <v>411</v>
      </c>
      <c r="H37" s="661" t="s">
        <v>546</v>
      </c>
      <c r="I37" s="661" t="s">
        <v>547</v>
      </c>
      <c r="J37" s="661" t="s">
        <v>645</v>
      </c>
      <c r="K37" s="662" t="s">
        <v>646</v>
      </c>
      <c r="L37" s="663" t="s">
        <v>550</v>
      </c>
      <c r="M37" s="663" t="s">
        <v>647</v>
      </c>
      <c r="N37" s="664" t="s">
        <v>552</v>
      </c>
      <c r="O37" s="665" t="s">
        <v>550</v>
      </c>
      <c r="P37" s="666" t="s">
        <v>592</v>
      </c>
      <c r="Q37" s="663" t="s">
        <v>554</v>
      </c>
      <c r="R37" s="663" t="s">
        <v>555</v>
      </c>
      <c r="S37" s="663" t="s">
        <v>593</v>
      </c>
      <c r="T37" s="663"/>
      <c r="U37" s="667" t="s">
        <v>558</v>
      </c>
      <c r="V37" s="667" t="s">
        <v>594</v>
      </c>
      <c r="W37" s="669" t="s">
        <v>560</v>
      </c>
    </row>
    <row r="38" spans="1:23" x14ac:dyDescent="0.25">
      <c r="A38" s="1090" t="s">
        <v>595</v>
      </c>
      <c r="B38" s="1091"/>
      <c r="C38" s="1091"/>
      <c r="D38" s="1091"/>
      <c r="E38" s="1091"/>
      <c r="F38" s="653"/>
      <c r="G38" s="692"/>
      <c r="H38" s="654"/>
      <c r="I38" s="654"/>
      <c r="J38" s="654"/>
      <c r="K38" s="653"/>
      <c r="L38" s="676"/>
      <c r="M38" s="676"/>
      <c r="N38" s="713"/>
      <c r="O38" s="713"/>
      <c r="P38" s="676"/>
      <c r="Q38" s="676"/>
      <c r="R38" s="676"/>
      <c r="S38" s="676"/>
      <c r="T38" s="681"/>
      <c r="U38" s="682"/>
      <c r="V38" s="683"/>
      <c r="W38" s="691"/>
    </row>
    <row r="39" spans="1:23" x14ac:dyDescent="0.25">
      <c r="A39" s="670">
        <v>300</v>
      </c>
      <c r="B39" s="671">
        <v>9102</v>
      </c>
      <c r="C39" s="671" t="s">
        <v>413</v>
      </c>
      <c r="D39" s="672" t="s">
        <v>414</v>
      </c>
      <c r="E39" s="692" t="s">
        <v>445</v>
      </c>
      <c r="F39" s="673">
        <v>2516</v>
      </c>
      <c r="G39" s="673" t="s">
        <v>596</v>
      </c>
      <c r="H39" s="692" t="s">
        <v>597</v>
      </c>
      <c r="I39" s="673">
        <v>14</v>
      </c>
      <c r="J39" s="674">
        <f>I39*342.58*0.9</f>
        <v>4316.5079999999998</v>
      </c>
      <c r="K39" s="675">
        <v>117.71</v>
      </c>
      <c r="L39" s="675"/>
      <c r="M39" s="676">
        <f>(K39+L39)*J39</f>
        <v>508096.15667999996</v>
      </c>
      <c r="N39" s="677">
        <f>'TILP Models (A&amp;B) 2024'!P60</f>
        <v>131.16282843509802</v>
      </c>
      <c r="O39" s="678"/>
      <c r="P39" s="679">
        <f>(N39+O39)*J39</f>
        <v>566165.39824272809</v>
      </c>
      <c r="Q39" s="676">
        <f>P39-M39</f>
        <v>58069.24156272813</v>
      </c>
      <c r="R39" s="680">
        <f>Q39/M39</f>
        <v>0.11428789767307818</v>
      </c>
      <c r="S39" s="676">
        <v>416296</v>
      </c>
      <c r="T39" s="681"/>
      <c r="U39" s="682">
        <v>0.64</v>
      </c>
      <c r="V39" s="683">
        <v>0.64</v>
      </c>
      <c r="W39" s="691"/>
    </row>
    <row r="40" spans="1:23" x14ac:dyDescent="0.25">
      <c r="A40" s="1090" t="s">
        <v>598</v>
      </c>
      <c r="B40" s="1091"/>
      <c r="C40" s="1091"/>
      <c r="D40" s="1091"/>
      <c r="E40" s="1091"/>
      <c r="F40" s="653"/>
      <c r="G40" s="692"/>
      <c r="H40" s="654"/>
      <c r="I40" s="654"/>
      <c r="J40" s="654"/>
      <c r="K40" s="653"/>
      <c r="L40" s="676"/>
      <c r="M40" s="676"/>
      <c r="N40" s="713"/>
      <c r="O40" s="713"/>
      <c r="P40" s="676"/>
      <c r="Q40" s="676"/>
      <c r="R40" s="676"/>
      <c r="S40" s="676"/>
      <c r="T40" s="681"/>
      <c r="U40" s="682"/>
      <c r="V40" s="683"/>
      <c r="W40" s="691"/>
    </row>
    <row r="41" spans="1:23" x14ac:dyDescent="0.25">
      <c r="A41" s="670">
        <v>300</v>
      </c>
      <c r="B41" s="671">
        <v>9521</v>
      </c>
      <c r="C41" s="671" t="s">
        <v>434</v>
      </c>
      <c r="D41" s="672" t="s">
        <v>435</v>
      </c>
      <c r="E41" s="692" t="s">
        <v>599</v>
      </c>
      <c r="F41" s="673">
        <v>2516</v>
      </c>
      <c r="G41" s="673" t="s">
        <v>596</v>
      </c>
      <c r="H41" s="692" t="s">
        <v>600</v>
      </c>
      <c r="I41" s="673">
        <v>6</v>
      </c>
      <c r="J41" s="674">
        <f>I41*376.45*0.9</f>
        <v>2032.83</v>
      </c>
      <c r="K41" s="675">
        <v>488.65</v>
      </c>
      <c r="L41" s="675"/>
      <c r="M41" s="676">
        <f>(K41+L41)*J41</f>
        <v>993342.37949999992</v>
      </c>
      <c r="N41" s="677">
        <f>'TILP Models (A&amp;B) 2024'!J31</f>
        <v>602.6120400533265</v>
      </c>
      <c r="O41" s="678"/>
      <c r="P41" s="679">
        <f>(N41+O41)*J41</f>
        <v>1225007.8333816037</v>
      </c>
      <c r="Q41" s="676">
        <f>P41-M41</f>
        <v>231665.45388160378</v>
      </c>
      <c r="R41" s="680">
        <f>Q41/M41</f>
        <v>0.23321813169615582</v>
      </c>
      <c r="S41" s="676">
        <v>897613</v>
      </c>
      <c r="T41" s="681"/>
      <c r="U41" s="682">
        <v>0.56000000000000005</v>
      </c>
      <c r="V41" s="683">
        <v>0.5</v>
      </c>
      <c r="W41" s="691"/>
    </row>
    <row r="42" spans="1:23" x14ac:dyDescent="0.25">
      <c r="A42" s="670">
        <v>300</v>
      </c>
      <c r="B42" s="671">
        <v>9425</v>
      </c>
      <c r="C42" s="671" t="s">
        <v>424</v>
      </c>
      <c r="D42" s="672" t="s">
        <v>601</v>
      </c>
      <c r="E42" s="692" t="s">
        <v>602</v>
      </c>
      <c r="F42" s="673">
        <v>2516</v>
      </c>
      <c r="G42" s="673" t="s">
        <v>596</v>
      </c>
      <c r="H42" s="692" t="s">
        <v>600</v>
      </c>
      <c r="I42" s="673">
        <v>8</v>
      </c>
      <c r="J42" s="674">
        <f>I42*376.45*0.9</f>
        <v>2710.44</v>
      </c>
      <c r="K42" s="675">
        <v>380.06</v>
      </c>
      <c r="L42" s="675"/>
      <c r="M42" s="676">
        <f>(K42+L42)*J42</f>
        <v>1030129.8264</v>
      </c>
      <c r="N42" s="677">
        <f>'TILP Models (A&amp;B) 2024'!J27</f>
        <v>468.69825337480944</v>
      </c>
      <c r="O42" s="678"/>
      <c r="P42" s="679">
        <f>(N42+O42)*J42</f>
        <v>1270378.4938772186</v>
      </c>
      <c r="Q42" s="676">
        <f>P42-M42</f>
        <v>240248.66747721855</v>
      </c>
      <c r="R42" s="680">
        <f>Q42/M42</f>
        <v>0.23322173702786259</v>
      </c>
      <c r="S42" s="676">
        <v>830181</v>
      </c>
      <c r="T42" s="681"/>
      <c r="U42" s="682">
        <v>0.62</v>
      </c>
      <c r="V42" s="683">
        <v>0.69</v>
      </c>
      <c r="W42" s="691"/>
    </row>
    <row r="43" spans="1:23" ht="15.75" thickBot="1" x14ac:dyDescent="0.3">
      <c r="A43" s="698"/>
      <c r="B43" s="699"/>
      <c r="C43" s="699"/>
      <c r="D43" s="714"/>
      <c r="E43" s="714"/>
      <c r="F43" s="701"/>
      <c r="G43" s="700"/>
      <c r="H43" s="701"/>
      <c r="I43" s="701"/>
      <c r="J43" s="701"/>
      <c r="K43" s="701"/>
      <c r="L43" s="702"/>
      <c r="M43" s="702">
        <f>SUM(M39:M42)</f>
        <v>2531568.36258</v>
      </c>
      <c r="N43" s="702"/>
      <c r="O43" s="702">
        <f>SUM(O39:O42)</f>
        <v>0</v>
      </c>
      <c r="P43" s="702">
        <f>SUM(P39:P42)</f>
        <v>3061551.7255015504</v>
      </c>
      <c r="Q43" s="702">
        <f>SUM(Q39:Q42)</f>
        <v>529983.3629215504</v>
      </c>
      <c r="R43" s="703">
        <f>Q43/M43</f>
        <v>0.20934981284938634</v>
      </c>
      <c r="S43" s="702">
        <f>SUM(S39:S42)</f>
        <v>2144090</v>
      </c>
      <c r="T43" s="702"/>
      <c r="U43" s="704"/>
      <c r="V43" s="705"/>
      <c r="W43" s="706"/>
    </row>
    <row r="44" spans="1:23" x14ac:dyDescent="0.25">
      <c r="A44" s="715"/>
      <c r="B44" s="715"/>
      <c r="C44" s="715"/>
      <c r="D44" s="716"/>
      <c r="E44" s="716"/>
      <c r="G44" s="717"/>
      <c r="H44" s="718"/>
      <c r="I44" s="718"/>
      <c r="J44" s="718"/>
      <c r="L44" s="719"/>
      <c r="M44" s="719"/>
      <c r="N44" s="720"/>
      <c r="O44" s="720"/>
      <c r="P44" s="719"/>
      <c r="Q44" s="719"/>
      <c r="R44" s="719"/>
      <c r="S44" s="719"/>
      <c r="T44" s="710"/>
    </row>
    <row r="45" spans="1:23" hidden="1" x14ac:dyDescent="0.25">
      <c r="Q45" t="s">
        <v>603</v>
      </c>
      <c r="S45" t="s">
        <v>603</v>
      </c>
    </row>
    <row r="46" spans="1:23" hidden="1" x14ac:dyDescent="0.25">
      <c r="M46" t="s">
        <v>604</v>
      </c>
      <c r="P46" t="s">
        <v>605</v>
      </c>
      <c r="Q46" t="s">
        <v>606</v>
      </c>
      <c r="S46" t="s">
        <v>606</v>
      </c>
    </row>
    <row r="47" spans="1:23" hidden="1" x14ac:dyDescent="0.25">
      <c r="M47" s="721">
        <f>M43+M35</f>
        <v>45943923.434579998</v>
      </c>
      <c r="P47" s="721">
        <f>P43+P35</f>
        <v>50079683.482374296</v>
      </c>
      <c r="Q47" s="721">
        <f>P47-M47</f>
        <v>4135760.0477942973</v>
      </c>
      <c r="R47" s="722">
        <f>(P47-M47)/M47</f>
        <v>9.0017563556217539E-2</v>
      </c>
      <c r="S47" s="721">
        <f>P47-M47</f>
        <v>4135760.0477942973</v>
      </c>
      <c r="T47" s="723"/>
    </row>
    <row r="48" spans="1:23" hidden="1" x14ac:dyDescent="0.25"/>
    <row r="49" spans="3:20" hidden="1" x14ac:dyDescent="0.25">
      <c r="Q49" t="s">
        <v>607</v>
      </c>
      <c r="S49" t="s">
        <v>608</v>
      </c>
    </row>
    <row r="50" spans="3:20" hidden="1" x14ac:dyDescent="0.25">
      <c r="Q50" s="721">
        <f>Q47/2</f>
        <v>2067880.0238971487</v>
      </c>
      <c r="S50" s="721">
        <f>S47*0.5</f>
        <v>2067880.0238971487</v>
      </c>
      <c r="T50" s="723"/>
    </row>
    <row r="51" spans="3:20" hidden="1" x14ac:dyDescent="0.25">
      <c r="C51" t="s">
        <v>609</v>
      </c>
    </row>
    <row r="52" spans="3:20" hidden="1" x14ac:dyDescent="0.25"/>
    <row r="53" spans="3:20" hidden="1" x14ac:dyDescent="0.25">
      <c r="N53" t="s">
        <v>610</v>
      </c>
      <c r="O53" t="s">
        <v>398</v>
      </c>
      <c r="Q53" t="s">
        <v>603</v>
      </c>
      <c r="R53" t="s">
        <v>611</v>
      </c>
    </row>
    <row r="54" spans="3:20" hidden="1" x14ac:dyDescent="0.25">
      <c r="D54" t="s">
        <v>612</v>
      </c>
      <c r="E54" t="s">
        <v>372</v>
      </c>
      <c r="G54" t="s">
        <v>613</v>
      </c>
      <c r="H54" t="s">
        <v>614</v>
      </c>
      <c r="I54" t="s">
        <v>615</v>
      </c>
      <c r="J54" t="s">
        <v>616</v>
      </c>
      <c r="K54">
        <v>46041.035367065662</v>
      </c>
      <c r="M54" t="s">
        <v>617</v>
      </c>
      <c r="N54" t="s">
        <v>618</v>
      </c>
      <c r="O54" t="s">
        <v>618</v>
      </c>
      <c r="Q54" t="s">
        <v>544</v>
      </c>
      <c r="R54" t="s">
        <v>544</v>
      </c>
    </row>
    <row r="55" spans="3:20" hidden="1" x14ac:dyDescent="0.25">
      <c r="C55" t="s">
        <v>414</v>
      </c>
      <c r="D55">
        <v>273</v>
      </c>
      <c r="E55">
        <v>154</v>
      </c>
      <c r="F55">
        <v>42042</v>
      </c>
      <c r="G55" s="506">
        <v>34.946133830072618</v>
      </c>
      <c r="H55" t="s">
        <v>619</v>
      </c>
      <c r="I55" s="516">
        <v>1469205.3584839131</v>
      </c>
      <c r="J55" s="516">
        <v>2</v>
      </c>
      <c r="K55" s="516">
        <v>92082.070734131325</v>
      </c>
      <c r="L55" s="516"/>
      <c r="M55" s="516">
        <v>1556623.52</v>
      </c>
      <c r="N55" s="516">
        <v>1518755.82</v>
      </c>
      <c r="O55" s="516">
        <v>1561287.4292180445</v>
      </c>
      <c r="P55" s="516"/>
      <c r="Q55" s="516">
        <v>42531.609218044439</v>
      </c>
      <c r="R55" s="516">
        <v>21265.80460902222</v>
      </c>
    </row>
    <row r="56" spans="3:20" hidden="1" x14ac:dyDescent="0.25">
      <c r="C56" t="s">
        <v>431</v>
      </c>
      <c r="D56">
        <v>273</v>
      </c>
      <c r="E56">
        <v>158</v>
      </c>
      <c r="F56">
        <v>43134</v>
      </c>
      <c r="G56" s="506">
        <v>26.354594760816198</v>
      </c>
      <c r="H56" t="s">
        <v>620</v>
      </c>
      <c r="I56" s="516">
        <v>1136779.0904130458</v>
      </c>
      <c r="J56" s="516">
        <v>2</v>
      </c>
      <c r="K56" s="516">
        <v>92082.070734131325</v>
      </c>
      <c r="L56" s="516"/>
      <c r="M56" s="516">
        <v>1196938.72</v>
      </c>
      <c r="N56" s="516">
        <v>1219635.3</v>
      </c>
      <c r="O56" s="516">
        <v>1228861.1611471772</v>
      </c>
      <c r="P56" s="516"/>
      <c r="Q56" s="516">
        <v>9225.8611471771728</v>
      </c>
      <c r="R56" s="516">
        <v>4612.9305735885864</v>
      </c>
    </row>
    <row r="57" spans="3:20" hidden="1" x14ac:dyDescent="0.25">
      <c r="C57" t="s">
        <v>435</v>
      </c>
      <c r="D57">
        <v>273</v>
      </c>
      <c r="E57">
        <v>137</v>
      </c>
      <c r="F57">
        <v>37401</v>
      </c>
      <c r="G57" s="506">
        <v>31.925704403457679</v>
      </c>
      <c r="H57" t="s">
        <v>621</v>
      </c>
      <c r="I57" s="516">
        <v>1194053.2703937206</v>
      </c>
      <c r="J57" s="516">
        <v>6</v>
      </c>
      <c r="K57" s="516">
        <v>276246.21220239397</v>
      </c>
      <c r="L57" s="516"/>
      <c r="M57" s="516">
        <v>1462280.32</v>
      </c>
      <c r="N57" s="516">
        <v>1429645.71</v>
      </c>
      <c r="O57" s="516">
        <v>1470299.4825961145</v>
      </c>
      <c r="P57" s="516"/>
      <c r="Q57" s="516">
        <v>40653.772596114548</v>
      </c>
      <c r="R57" s="516">
        <v>20326.886298057274</v>
      </c>
    </row>
    <row r="58" spans="3:20" hidden="1" x14ac:dyDescent="0.25">
      <c r="C58" t="s">
        <v>622</v>
      </c>
      <c r="D58">
        <v>273</v>
      </c>
      <c r="E58">
        <v>111</v>
      </c>
      <c r="F58">
        <v>30303</v>
      </c>
      <c r="G58" s="506">
        <v>33.010203907182792</v>
      </c>
      <c r="H58" t="s">
        <v>418</v>
      </c>
      <c r="I58" s="516">
        <v>1000308.2089993601</v>
      </c>
      <c r="J58" s="516">
        <v>1</v>
      </c>
      <c r="K58" s="516">
        <v>46041.035367065662</v>
      </c>
      <c r="L58" s="516"/>
      <c r="M58" s="516">
        <v>1020214.32</v>
      </c>
      <c r="N58" s="516">
        <v>1035245.4900000001</v>
      </c>
      <c r="O58" s="516">
        <v>1046349.2443664258</v>
      </c>
      <c r="P58" s="516"/>
      <c r="Q58" s="516">
        <v>11103.754366425681</v>
      </c>
      <c r="R58" s="516">
        <v>5551.8771832128405</v>
      </c>
    </row>
    <row r="59" spans="3:20" ht="15.75" hidden="1" thickBot="1" x14ac:dyDescent="0.3">
      <c r="C59" t="s">
        <v>623</v>
      </c>
      <c r="D59">
        <v>273</v>
      </c>
      <c r="E59">
        <v>114</v>
      </c>
      <c r="F59">
        <v>31122</v>
      </c>
      <c r="G59" s="506">
        <v>49.4073551474863</v>
      </c>
      <c r="H59" t="s">
        <v>624</v>
      </c>
      <c r="I59" s="516">
        <v>1537655.7069000686</v>
      </c>
      <c r="J59" s="516">
        <v>3</v>
      </c>
      <c r="K59" s="516">
        <v>138123.10610119699</v>
      </c>
      <c r="L59" s="516"/>
      <c r="M59" s="519">
        <v>1662229.92</v>
      </c>
      <c r="N59" s="519">
        <v>1650892.62</v>
      </c>
      <c r="O59" s="519">
        <v>1675778.8130012655</v>
      </c>
      <c r="P59" s="519"/>
      <c r="Q59" s="519">
        <v>24886.193001265405</v>
      </c>
      <c r="R59" s="519">
        <v>12443.096500632702</v>
      </c>
    </row>
    <row r="60" spans="3:20" ht="15.75" hidden="1" thickTop="1" x14ac:dyDescent="0.25">
      <c r="I60" s="516"/>
      <c r="J60" s="516"/>
      <c r="K60" s="516"/>
      <c r="L60" s="516"/>
      <c r="M60" s="516">
        <v>6898286.8000000007</v>
      </c>
      <c r="N60" s="516">
        <v>6854174.9400000004</v>
      </c>
      <c r="O60" s="516">
        <v>6982576.1303290278</v>
      </c>
      <c r="P60" s="516"/>
      <c r="Q60" s="516">
        <v>128401.19032902725</v>
      </c>
      <c r="R60" s="516">
        <v>64200.595164513623</v>
      </c>
    </row>
    <row r="61" spans="3:20" hidden="1" x14ac:dyDescent="0.25"/>
    <row r="62" spans="3:20" hidden="1" x14ac:dyDescent="0.25"/>
    <row r="63" spans="3:20" hidden="1" x14ac:dyDescent="0.25">
      <c r="M63" s="521">
        <v>1.2200000000000001E-2</v>
      </c>
      <c r="O63">
        <v>1.2218878798867426E-2</v>
      </c>
      <c r="P63" t="s">
        <v>625</v>
      </c>
    </row>
    <row r="64" spans="3:20" hidden="1" x14ac:dyDescent="0.25">
      <c r="M64" s="50">
        <v>1.8700000000000001E-2</v>
      </c>
      <c r="O64">
        <v>1.8733281752074359E-2</v>
      </c>
      <c r="P64" t="s">
        <v>626</v>
      </c>
    </row>
    <row r="65" spans="4:22" hidden="1" x14ac:dyDescent="0.25"/>
    <row r="66" spans="4:22" hidden="1" x14ac:dyDescent="0.25">
      <c r="D66" t="s">
        <v>627</v>
      </c>
      <c r="Q66" t="s">
        <v>527</v>
      </c>
      <c r="R66" t="s">
        <v>628</v>
      </c>
      <c r="T66" s="1" t="s">
        <v>629</v>
      </c>
      <c r="U66" s="724" t="s">
        <v>630</v>
      </c>
    </row>
    <row r="67" spans="4:22" hidden="1" x14ac:dyDescent="0.25">
      <c r="Q67" t="s">
        <v>631</v>
      </c>
      <c r="R67" t="s">
        <v>631</v>
      </c>
      <c r="T67" s="1" t="s">
        <v>632</v>
      </c>
      <c r="U67" s="724" t="s">
        <v>632</v>
      </c>
    </row>
    <row r="68" spans="4:22" hidden="1" x14ac:dyDescent="0.25">
      <c r="D68" t="s">
        <v>614</v>
      </c>
      <c r="E68" t="s">
        <v>633</v>
      </c>
      <c r="F68" t="s">
        <v>634</v>
      </c>
      <c r="G68" t="s">
        <v>635</v>
      </c>
      <c r="H68" t="s">
        <v>636</v>
      </c>
      <c r="I68" s="725" t="s">
        <v>637</v>
      </c>
      <c r="J68" s="725" t="s">
        <v>630</v>
      </c>
      <c r="K68" t="s">
        <v>630</v>
      </c>
      <c r="M68" s="1" t="s">
        <v>630</v>
      </c>
      <c r="P68" t="s">
        <v>638</v>
      </c>
      <c r="Q68" s="721">
        <f>M60+M47</f>
        <v>52842210.234579995</v>
      </c>
      <c r="R68" s="721">
        <f>(M60+Q60)+P47</f>
        <v>57106371.472703323</v>
      </c>
      <c r="T68" s="723">
        <f>R68-Q68</f>
        <v>4264161.2381233275</v>
      </c>
      <c r="U68" s="520">
        <f>T68*0.5</f>
        <v>2132080.6190616637</v>
      </c>
    </row>
    <row r="69" spans="4:22" hidden="1" x14ac:dyDescent="0.25">
      <c r="D69" t="s">
        <v>619</v>
      </c>
      <c r="E69" s="516">
        <v>138799</v>
      </c>
      <c r="F69">
        <v>34.946133830072618</v>
      </c>
      <c r="G69" s="726">
        <v>0.31425851184928988</v>
      </c>
      <c r="H69" s="516">
        <v>182417.76718616957</v>
      </c>
      <c r="I69" s="727"/>
      <c r="J69" s="727"/>
      <c r="Q69" s="728">
        <f>M60+E73+M47</f>
        <v>53337336.234579995</v>
      </c>
      <c r="R69" s="728">
        <f>(M60+Q60)+P47+H73</f>
        <v>57685123.578076854</v>
      </c>
      <c r="S69" s="729"/>
      <c r="T69" s="730">
        <f>R69-Q69</f>
        <v>4347787.3434968591</v>
      </c>
      <c r="U69" s="731">
        <f>T69*0.5</f>
        <v>2173893.6717484295</v>
      </c>
      <c r="V69" s="732"/>
    </row>
    <row r="70" spans="4:22" hidden="1" x14ac:dyDescent="0.25">
      <c r="D70" t="s">
        <v>620</v>
      </c>
      <c r="E70" s="516">
        <v>138799</v>
      </c>
      <c r="F70">
        <v>26.354594760816198</v>
      </c>
      <c r="G70" s="726">
        <v>-8.853149273554033E-3</v>
      </c>
      <c r="H70" s="516">
        <v>137570.19173397997</v>
      </c>
      <c r="I70" s="727"/>
      <c r="J70" s="727"/>
      <c r="Q70" s="721"/>
      <c r="R70" s="721"/>
      <c r="T70" s="723"/>
      <c r="U70" s="520"/>
    </row>
    <row r="71" spans="4:22" hidden="1" x14ac:dyDescent="0.25">
      <c r="D71" t="s">
        <v>621</v>
      </c>
      <c r="E71" s="516">
        <v>138799</v>
      </c>
      <c r="F71">
        <v>31.925704403457679</v>
      </c>
      <c r="G71" s="726">
        <v>0.20066582938915681</v>
      </c>
      <c r="H71" s="516">
        <v>166651.21645338557</v>
      </c>
      <c r="I71" s="727"/>
      <c r="J71" s="727"/>
    </row>
    <row r="72" spans="4:22" ht="15.75" hidden="1" thickBot="1" x14ac:dyDescent="0.3">
      <c r="E72" s="519">
        <v>78729</v>
      </c>
      <c r="H72" s="519">
        <v>92112.93</v>
      </c>
      <c r="I72" s="727"/>
      <c r="J72" s="727"/>
      <c r="P72" s="50">
        <v>2.9000000000000001E-2</v>
      </c>
      <c r="Q72" s="1" t="s">
        <v>639</v>
      </c>
      <c r="R72" s="1" t="s">
        <v>629</v>
      </c>
      <c r="S72" s="724" t="s">
        <v>630</v>
      </c>
      <c r="T72" s="724" t="s">
        <v>630</v>
      </c>
    </row>
    <row r="73" spans="4:22" ht="15.75" hidden="1" thickTop="1" x14ac:dyDescent="0.25">
      <c r="E73" s="516">
        <v>495126</v>
      </c>
      <c r="H73" s="516">
        <v>578752.10537353507</v>
      </c>
      <c r="I73" s="733">
        <f>H73-E73</f>
        <v>83626.105373535072</v>
      </c>
      <c r="J73" s="733">
        <f>I73*0.5</f>
        <v>41813.052686767536</v>
      </c>
      <c r="K73" s="734">
        <v>41813.052686767536</v>
      </c>
      <c r="L73" s="734"/>
      <c r="M73" s="734">
        <f>I73*0.5</f>
        <v>41813.052686767536</v>
      </c>
      <c r="P73" s="1" t="s">
        <v>640</v>
      </c>
      <c r="Q73" s="516">
        <v>43831944</v>
      </c>
      <c r="R73" s="721">
        <f>Q73*P72</f>
        <v>1271126.3760000002</v>
      </c>
      <c r="S73" s="721"/>
      <c r="T73" s="735">
        <f>R73*0.5</f>
        <v>635563.18800000008</v>
      </c>
    </row>
    <row r="74" spans="4:22" ht="15.75" hidden="1" thickBot="1" x14ac:dyDescent="0.3">
      <c r="P74" s="1" t="s">
        <v>641</v>
      </c>
      <c r="Q74" s="519">
        <f>6854175+E73</f>
        <v>7349301</v>
      </c>
      <c r="R74" s="736">
        <f>Q74*P72</f>
        <v>213129.72900000002</v>
      </c>
      <c r="S74" s="736"/>
      <c r="T74" s="737">
        <f>R74*0.5</f>
        <v>106564.86450000001</v>
      </c>
    </row>
    <row r="75" spans="4:22" ht="15.75" hidden="1" thickTop="1" x14ac:dyDescent="0.25">
      <c r="Q75" s="728">
        <f>SUM(Q73:Q74)</f>
        <v>51181245</v>
      </c>
      <c r="R75" s="728">
        <f>SUM(R73:R74)</f>
        <v>1484256.1050000002</v>
      </c>
      <c r="S75" s="728"/>
      <c r="T75" s="738">
        <f>SUM(T73:T74)</f>
        <v>742128.05250000011</v>
      </c>
    </row>
    <row r="76" spans="4:22" hidden="1" x14ac:dyDescent="0.25"/>
    <row r="77" spans="4:22" hidden="1" x14ac:dyDescent="0.25">
      <c r="P77" s="1" t="s">
        <v>642</v>
      </c>
      <c r="Q77" s="516">
        <v>23284234</v>
      </c>
      <c r="R77" t="s">
        <v>643</v>
      </c>
    </row>
    <row r="78" spans="4:22" hidden="1" x14ac:dyDescent="0.25"/>
    <row r="79" spans="4:22" hidden="1" x14ac:dyDescent="0.25"/>
  </sheetData>
  <mergeCells count="3">
    <mergeCell ref="B2:W2"/>
    <mergeCell ref="A38:E38"/>
    <mergeCell ref="A40:E40"/>
  </mergeCells>
  <pageMargins left="0.7" right="0.7" top="0.75" bottom="0.75" header="0.3" footer="0.3"/>
  <pageSetup fitToHeight="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D2916-7946-49D9-B263-77E7C2178F9C}">
  <sheetPr>
    <pageSetUpPr fitToPage="1"/>
  </sheetPr>
  <dimension ref="F2:AL159"/>
  <sheetViews>
    <sheetView zoomScale="90" zoomScaleNormal="90" zoomScaleSheetLayoutView="75" workbookViewId="0">
      <selection activeCell="D28" sqref="D28"/>
    </sheetView>
  </sheetViews>
  <sheetFormatPr defaultColWidth="8.25" defaultRowHeight="12.75" x14ac:dyDescent="0.2"/>
  <cols>
    <col min="1" max="5" width="8.25" style="33"/>
    <col min="6" max="6" width="23.75" style="33" bestFit="1" customWidth="1"/>
    <col min="7" max="7" width="8.375" style="33" bestFit="1" customWidth="1"/>
    <col min="8" max="8" width="8.25" style="33" customWidth="1"/>
    <col min="9" max="9" width="7.25" style="33" bestFit="1" customWidth="1"/>
    <col min="10" max="10" width="8.625" style="33" bestFit="1" customWidth="1"/>
    <col min="11" max="11" width="8.375" style="33" customWidth="1"/>
    <col min="12" max="12" width="29.125" style="33" bestFit="1" customWidth="1"/>
    <col min="13" max="13" width="8.375" style="33" bestFit="1" customWidth="1"/>
    <col min="14" max="14" width="8.75" style="239" customWidth="1"/>
    <col min="15" max="15" width="7.875" style="248" customWidth="1"/>
    <col min="16" max="16" width="9.625" style="239" customWidth="1"/>
    <col min="17" max="17" width="7.875" style="239" customWidth="1"/>
    <col min="18" max="18" width="23" style="33" bestFit="1" customWidth="1"/>
    <col min="19" max="19" width="8.375" style="239" bestFit="1" customWidth="1"/>
    <col min="20" max="20" width="7.75" style="248" customWidth="1"/>
    <col min="21" max="21" width="7.25" style="239" bestFit="1" customWidth="1"/>
    <col min="22" max="22" width="8.625" style="239" bestFit="1" customWidth="1"/>
    <col min="23" max="23" width="7.5" style="33" bestFit="1" customWidth="1"/>
    <col min="24" max="24" width="29.125" style="33" bestFit="1" customWidth="1"/>
    <col min="25" max="25" width="8.375" style="239" bestFit="1" customWidth="1"/>
    <col min="26" max="26" width="7.5" style="248" customWidth="1"/>
    <col min="27" max="27" width="7.25" style="239" bestFit="1" customWidth="1"/>
    <col min="28" max="28" width="8.625" style="239" bestFit="1" customWidth="1"/>
    <col min="29" max="29" width="7.375" style="239" customWidth="1"/>
    <col min="30" max="30" width="28.375" style="239" bestFit="1" customWidth="1"/>
    <col min="31" max="31" width="8.5" style="239" customWidth="1"/>
    <col min="32" max="32" width="8.25" style="239" customWidth="1"/>
    <col min="33" max="33" width="7.375" style="248" customWidth="1"/>
    <col min="34" max="34" width="23.875" style="239" customWidth="1"/>
    <col min="35" max="35" width="6.625" style="33" customWidth="1"/>
    <col min="36" max="36" width="18.75" style="33" customWidth="1"/>
    <col min="37" max="37" width="16.5" style="33" customWidth="1"/>
    <col min="38" max="38" width="6.25" style="33" bestFit="1" customWidth="1"/>
    <col min="39" max="39" width="4.625" style="33" customWidth="1"/>
    <col min="40" max="40" width="4" style="33" customWidth="1"/>
    <col min="41" max="41" width="4.125" style="33" customWidth="1"/>
    <col min="42" max="42" width="4" style="33" customWidth="1"/>
    <col min="43" max="16384" width="8.25" style="33"/>
  </cols>
  <sheetData>
    <row r="2" spans="6:38" ht="13.5" thickBot="1" x14ac:dyDescent="0.25"/>
    <row r="3" spans="6:38" ht="13.5" thickBot="1" x14ac:dyDescent="0.25">
      <c r="F3" s="404" t="s">
        <v>47</v>
      </c>
      <c r="AF3" s="405"/>
      <c r="AG3" s="405"/>
      <c r="AH3" s="405"/>
    </row>
    <row r="4" spans="6:38" ht="14.25" customHeight="1" thickBot="1" x14ac:dyDescent="0.3">
      <c r="F4" s="406"/>
      <c r="G4" s="407"/>
      <c r="H4" s="408" t="s">
        <v>49</v>
      </c>
      <c r="I4" s="409"/>
      <c r="J4" s="410"/>
      <c r="K4" s="195"/>
      <c r="L4" s="1032" t="s">
        <v>50</v>
      </c>
      <c r="M4" s="1033"/>
      <c r="N4" s="1033"/>
      <c r="O4" s="1033"/>
      <c r="P4" s="1034"/>
      <c r="R4" s="1035" t="s">
        <v>51</v>
      </c>
      <c r="S4" s="1030"/>
      <c r="T4" s="1030"/>
      <c r="U4" s="1030"/>
      <c r="V4" s="1031"/>
      <c r="W4" s="195"/>
      <c r="X4" s="1035" t="s">
        <v>52</v>
      </c>
      <c r="Y4" s="1036"/>
      <c r="Z4" s="1036"/>
      <c r="AA4" s="1036"/>
      <c r="AB4" s="1037"/>
      <c r="AC4" s="195"/>
      <c r="AD4" s="1038" t="s">
        <v>48</v>
      </c>
      <c r="AE4" s="1039"/>
      <c r="AF4" s="1039"/>
      <c r="AG4" s="1039"/>
      <c r="AH4" s="1040"/>
      <c r="AJ4" s="1041"/>
      <c r="AK4" s="1042"/>
      <c r="AL4" s="1043"/>
    </row>
    <row r="5" spans="6:38" s="242" customFormat="1" x14ac:dyDescent="0.2">
      <c r="F5" s="304" t="s">
        <v>56</v>
      </c>
      <c r="G5" s="279" t="s">
        <v>57</v>
      </c>
      <c r="H5" s="204" t="s">
        <v>58</v>
      </c>
      <c r="I5" s="294">
        <v>365</v>
      </c>
      <c r="J5" s="305">
        <f>I5*G6</f>
        <v>4380</v>
      </c>
      <c r="K5" s="201"/>
      <c r="L5" s="304" t="s">
        <v>56</v>
      </c>
      <c r="M5" s="411" t="s">
        <v>59</v>
      </c>
      <c r="N5" s="204" t="s">
        <v>58</v>
      </c>
      <c r="O5" s="294">
        <v>365</v>
      </c>
      <c r="P5" s="305">
        <f>M6*O5</f>
        <v>5657.5</v>
      </c>
      <c r="R5" s="304" t="s">
        <v>56</v>
      </c>
      <c r="S5" s="242" t="s">
        <v>60</v>
      </c>
      <c r="T5" s="204" t="s">
        <v>58</v>
      </c>
      <c r="U5" s="294">
        <v>365</v>
      </c>
      <c r="V5" s="305">
        <f>S6*U5</f>
        <v>7300</v>
      </c>
      <c r="W5" s="201"/>
      <c r="X5" s="304" t="s">
        <v>56</v>
      </c>
      <c r="Y5" s="242" t="s">
        <v>61</v>
      </c>
      <c r="Z5" s="204" t="s">
        <v>58</v>
      </c>
      <c r="AA5" s="294">
        <v>365</v>
      </c>
      <c r="AB5" s="305">
        <f>Y6*AA5</f>
        <v>9125</v>
      </c>
      <c r="AC5" s="201"/>
      <c r="AD5" s="412" t="s">
        <v>70</v>
      </c>
      <c r="AE5" s="361"/>
      <c r="AF5" s="568">
        <f>'M2022 BLS  (53_PCT)'!C22</f>
        <v>79415.232000000018</v>
      </c>
      <c r="AG5" s="39" t="s">
        <v>519</v>
      </c>
      <c r="AH5" s="139"/>
      <c r="AJ5" s="297" t="s">
        <v>53</v>
      </c>
      <c r="AK5" s="298" t="s">
        <v>54</v>
      </c>
      <c r="AL5" s="299" t="s">
        <v>55</v>
      </c>
    </row>
    <row r="6" spans="6:38" s="242" customFormat="1" x14ac:dyDescent="0.2">
      <c r="F6" s="258"/>
      <c r="G6" s="242">
        <v>12</v>
      </c>
      <c r="H6" s="204"/>
      <c r="I6" s="294"/>
      <c r="J6" s="305"/>
      <c r="K6" s="201"/>
      <c r="L6" s="304"/>
      <c r="M6" s="242">
        <v>15.5</v>
      </c>
      <c r="N6" s="204"/>
      <c r="O6" s="294"/>
      <c r="P6" s="305"/>
      <c r="R6" s="304"/>
      <c r="S6" s="242">
        <v>20</v>
      </c>
      <c r="T6" s="204"/>
      <c r="U6" s="294"/>
      <c r="V6" s="305"/>
      <c r="W6" s="201"/>
      <c r="X6" s="304"/>
      <c r="Y6" s="242">
        <v>25</v>
      </c>
      <c r="Z6" s="204"/>
      <c r="AA6" s="294"/>
      <c r="AB6" s="305"/>
      <c r="AC6" s="201"/>
      <c r="AD6" s="306" t="s">
        <v>76</v>
      </c>
      <c r="AE6" s="33"/>
      <c r="AF6" s="307">
        <f>'M2022 BLS  (53_PCT)'!C28</f>
        <v>101383.77600000001</v>
      </c>
      <c r="AG6" s="39" t="s">
        <v>519</v>
      </c>
      <c r="AH6" s="139"/>
      <c r="AJ6" s="241" t="s">
        <v>62</v>
      </c>
      <c r="AK6" s="208">
        <v>15</v>
      </c>
      <c r="AL6" s="308">
        <f>AK6*8</f>
        <v>120</v>
      </c>
    </row>
    <row r="7" spans="6:38" s="242" customFormat="1" x14ac:dyDescent="0.2">
      <c r="F7" s="258"/>
      <c r="H7" s="414"/>
      <c r="I7" s="294"/>
      <c r="J7" s="305"/>
      <c r="K7" s="201"/>
      <c r="L7" s="304"/>
      <c r="N7" s="204"/>
      <c r="O7" s="294"/>
      <c r="P7" s="305"/>
      <c r="R7" s="304"/>
      <c r="T7" s="204"/>
      <c r="U7" s="294"/>
      <c r="V7" s="305"/>
      <c r="W7" s="201"/>
      <c r="X7" s="304"/>
      <c r="Z7" s="204"/>
      <c r="AA7" s="294"/>
      <c r="AB7" s="305"/>
      <c r="AC7" s="201"/>
      <c r="AD7" s="306" t="s">
        <v>79</v>
      </c>
      <c r="AE7" s="33"/>
      <c r="AF7" s="307">
        <f>'M2022 BLS  (53_PCT)'!C18</f>
        <v>80606.448000000004</v>
      </c>
      <c r="AG7" s="567" t="s">
        <v>519</v>
      </c>
      <c r="AH7" s="139"/>
      <c r="AJ7" s="241" t="s">
        <v>63</v>
      </c>
      <c r="AK7" s="208">
        <v>10</v>
      </c>
      <c r="AL7" s="308">
        <f>AK7*8</f>
        <v>80</v>
      </c>
    </row>
    <row r="8" spans="6:38" s="240" customFormat="1" ht="28.5" customHeight="1" x14ac:dyDescent="0.2">
      <c r="F8" s="378"/>
      <c r="G8" s="310" t="s">
        <v>65</v>
      </c>
      <c r="H8" s="293" t="s">
        <v>66</v>
      </c>
      <c r="I8" s="311" t="s">
        <v>67</v>
      </c>
      <c r="J8" s="312" t="s">
        <v>68</v>
      </c>
      <c r="K8" s="195"/>
      <c r="L8" s="304"/>
      <c r="M8" s="310" t="s">
        <v>65</v>
      </c>
      <c r="N8" s="293" t="s">
        <v>66</v>
      </c>
      <c r="O8" s="311" t="s">
        <v>67</v>
      </c>
      <c r="P8" s="312" t="s">
        <v>68</v>
      </c>
      <c r="R8" s="304"/>
      <c r="S8" s="310" t="s">
        <v>65</v>
      </c>
      <c r="T8" s="293" t="s">
        <v>66</v>
      </c>
      <c r="U8" s="311" t="s">
        <v>67</v>
      </c>
      <c r="V8" s="312" t="s">
        <v>68</v>
      </c>
      <c r="W8" s="293"/>
      <c r="X8" s="304"/>
      <c r="Y8" s="310" t="s">
        <v>65</v>
      </c>
      <c r="Z8" s="293" t="s">
        <v>66</v>
      </c>
      <c r="AA8" s="311" t="s">
        <v>67</v>
      </c>
      <c r="AB8" s="312" t="s">
        <v>68</v>
      </c>
      <c r="AC8" s="293"/>
      <c r="AD8" s="315" t="s">
        <v>73</v>
      </c>
      <c r="AE8" s="33"/>
      <c r="AF8" s="307">
        <f>'M2022 BLS  (53_PCT)'!C6</f>
        <v>41600</v>
      </c>
      <c r="AG8" s="567" t="s">
        <v>519</v>
      </c>
      <c r="AH8" s="139"/>
      <c r="AJ8" s="241" t="s">
        <v>64</v>
      </c>
      <c r="AK8" s="208">
        <v>11</v>
      </c>
      <c r="AL8" s="308">
        <f>AK8*8</f>
        <v>88</v>
      </c>
    </row>
    <row r="9" spans="6:38" s="239" customFormat="1" ht="13.5" thickBot="1" x14ac:dyDescent="0.25">
      <c r="F9" s="155" t="s">
        <v>352</v>
      </c>
      <c r="G9" s="314"/>
      <c r="H9" s="239">
        <f>AF5</f>
        <v>79415.232000000018</v>
      </c>
      <c r="I9" s="38">
        <f>AE12</f>
        <v>2.15</v>
      </c>
      <c r="J9" s="307">
        <f>H9*I9</f>
        <v>170742.74880000003</v>
      </c>
      <c r="L9" s="155" t="s">
        <v>352</v>
      </c>
      <c r="M9" s="314"/>
      <c r="N9" s="239">
        <f>AF5</f>
        <v>79415.232000000018</v>
      </c>
      <c r="O9" s="38">
        <f>AF12</f>
        <v>2.15</v>
      </c>
      <c r="P9" s="307">
        <f>N9*O9</f>
        <v>170742.74880000003</v>
      </c>
      <c r="R9" s="155" t="s">
        <v>352</v>
      </c>
      <c r="S9" s="314"/>
      <c r="T9" s="239">
        <f>AF5</f>
        <v>79415.232000000018</v>
      </c>
      <c r="U9" s="38">
        <f>AG12</f>
        <v>2.15</v>
      </c>
      <c r="V9" s="307">
        <f>T9*U9</f>
        <v>170742.74880000003</v>
      </c>
      <c r="X9" s="155" t="s">
        <v>352</v>
      </c>
      <c r="Y9" s="314"/>
      <c r="Z9" s="239">
        <f>AF5</f>
        <v>79415.232000000018</v>
      </c>
      <c r="AA9" s="38">
        <f>$AH$12</f>
        <v>2.15</v>
      </c>
      <c r="AB9" s="307">
        <f>Z9*AA9</f>
        <v>170742.74880000003</v>
      </c>
      <c r="AD9" s="379" t="s">
        <v>75</v>
      </c>
      <c r="AE9" s="36"/>
      <c r="AF9" s="381">
        <f>'M2022 BLS  (53_PCT)'!C6</f>
        <v>41600</v>
      </c>
      <c r="AG9" s="567" t="s">
        <v>519</v>
      </c>
      <c r="AH9" s="139"/>
      <c r="AJ9" s="415" t="s">
        <v>69</v>
      </c>
      <c r="AK9" s="208">
        <v>5</v>
      </c>
      <c r="AL9" s="308">
        <f>AK9*8</f>
        <v>40</v>
      </c>
    </row>
    <row r="10" spans="6:38" s="239" customFormat="1" ht="15.75" thickBot="1" x14ac:dyDescent="0.3">
      <c r="F10" s="155" t="str">
        <f>AD6</f>
        <v>Clinical Director</v>
      </c>
      <c r="G10" s="314"/>
      <c r="H10" s="239">
        <f>AF6</f>
        <v>101383.77600000001</v>
      </c>
      <c r="I10" s="38">
        <v>1</v>
      </c>
      <c r="J10" s="307">
        <f>H10*I10</f>
        <v>101383.77600000001</v>
      </c>
      <c r="L10" s="155" t="str">
        <f>AD6</f>
        <v>Clinical Director</v>
      </c>
      <c r="M10" s="314"/>
      <c r="N10" s="239">
        <f>AF6</f>
        <v>101383.77600000001</v>
      </c>
      <c r="O10" s="38">
        <v>1</v>
      </c>
      <c r="P10" s="307">
        <f>N10*O10</f>
        <v>101383.77600000001</v>
      </c>
      <c r="R10" s="155" t="str">
        <f>AD6</f>
        <v>Clinical Director</v>
      </c>
      <c r="S10" s="314"/>
      <c r="T10" s="239">
        <f>AF6</f>
        <v>101383.77600000001</v>
      </c>
      <c r="U10" s="38">
        <v>1</v>
      </c>
      <c r="V10" s="307">
        <f>T10*U10</f>
        <v>101383.77600000001</v>
      </c>
      <c r="X10" s="155" t="str">
        <f>AD6</f>
        <v>Clinical Director</v>
      </c>
      <c r="Y10" s="314"/>
      <c r="Z10" s="239">
        <f>AF6</f>
        <v>101383.77600000001</v>
      </c>
      <c r="AA10" s="38">
        <v>1.5</v>
      </c>
      <c r="AB10" s="307">
        <f>Z10*AA10</f>
        <v>152075.66400000002</v>
      </c>
      <c r="AD10" s="1029" t="s">
        <v>67</v>
      </c>
      <c r="AE10" s="1030"/>
      <c r="AF10" s="1030"/>
      <c r="AG10" s="1030"/>
      <c r="AH10" s="1031"/>
      <c r="AJ10" s="241"/>
      <c r="AK10" s="269" t="s">
        <v>71</v>
      </c>
      <c r="AL10" s="308">
        <f>SUM(AL6:AL9)</f>
        <v>328</v>
      </c>
    </row>
    <row r="11" spans="6:38" s="239" customFormat="1" ht="13.5" thickBot="1" x14ac:dyDescent="0.25">
      <c r="F11" s="155" t="str">
        <f>AD7</f>
        <v>Clinical (LICSW)</v>
      </c>
      <c r="G11" s="314"/>
      <c r="H11" s="239">
        <f>AF7</f>
        <v>80606.448000000004</v>
      </c>
      <c r="I11" s="38">
        <v>2</v>
      </c>
      <c r="J11" s="307">
        <f>H11*I11</f>
        <v>161212.89600000001</v>
      </c>
      <c r="L11" s="155" t="str">
        <f>AD7</f>
        <v>Clinical (LICSW)</v>
      </c>
      <c r="M11" s="314"/>
      <c r="N11" s="239">
        <f>AF7</f>
        <v>80606.448000000004</v>
      </c>
      <c r="O11" s="38">
        <v>2</v>
      </c>
      <c r="P11" s="307">
        <f>N11*O11</f>
        <v>161212.89600000001</v>
      </c>
      <c r="R11" s="155" t="str">
        <f>AD7</f>
        <v>Clinical (LICSW)</v>
      </c>
      <c r="S11" s="314"/>
      <c r="T11" s="239">
        <f>AF7</f>
        <v>80606.448000000004</v>
      </c>
      <c r="U11" s="38">
        <v>2</v>
      </c>
      <c r="V11" s="307">
        <f>T11*U11</f>
        <v>161212.89600000001</v>
      </c>
      <c r="X11" s="155" t="str">
        <f>AD7</f>
        <v>Clinical (LICSW)</v>
      </c>
      <c r="Y11" s="314"/>
      <c r="Z11" s="239">
        <f>AF7</f>
        <v>80606.448000000004</v>
      </c>
      <c r="AA11" s="38">
        <v>2</v>
      </c>
      <c r="AB11" s="307">
        <f>Z11*AA11</f>
        <v>161212.89600000001</v>
      </c>
      <c r="AD11" s="416"/>
      <c r="AE11" s="417" t="s">
        <v>57</v>
      </c>
      <c r="AF11" s="418" t="s">
        <v>59</v>
      </c>
      <c r="AG11" s="419" t="s">
        <v>60</v>
      </c>
      <c r="AH11" s="420" t="s">
        <v>85</v>
      </c>
      <c r="AJ11" s="369"/>
      <c r="AK11" s="388" t="s">
        <v>72</v>
      </c>
      <c r="AL11" s="323">
        <f>AL10/(52*40)</f>
        <v>0.15769230769230769</v>
      </c>
    </row>
    <row r="12" spans="6:38" s="239" customFormat="1" ht="13.9" customHeight="1" x14ac:dyDescent="0.2">
      <c r="F12" s="319" t="s">
        <v>354</v>
      </c>
      <c r="G12" s="603">
        <v>0.57999999999999996</v>
      </c>
      <c r="H12" s="239">
        <f>AF8</f>
        <v>41600</v>
      </c>
      <c r="I12" s="38">
        <v>23.69</v>
      </c>
      <c r="J12" s="307">
        <f>H12*I12</f>
        <v>985504</v>
      </c>
      <c r="L12" s="319" t="s">
        <v>354</v>
      </c>
      <c r="M12" s="38">
        <v>0.69099999999999995</v>
      </c>
      <c r="N12" s="239">
        <f>AF8</f>
        <v>41600</v>
      </c>
      <c r="O12" s="38">
        <v>25.43</v>
      </c>
      <c r="P12" s="307">
        <f>N12*O12</f>
        <v>1057888</v>
      </c>
      <c r="Q12" s="421"/>
      <c r="R12" s="319" t="s">
        <v>354</v>
      </c>
      <c r="S12" s="38">
        <v>0.89149999999999996</v>
      </c>
      <c r="T12" s="239">
        <f>AF8</f>
        <v>41600</v>
      </c>
      <c r="U12" s="38">
        <v>25.43</v>
      </c>
      <c r="V12" s="307">
        <f>T12*U12</f>
        <v>1057888</v>
      </c>
      <c r="X12" s="319" t="s">
        <v>354</v>
      </c>
      <c r="Y12" s="38">
        <v>1.0349999999999999</v>
      </c>
      <c r="Z12" s="239">
        <f>AF8</f>
        <v>41600</v>
      </c>
      <c r="AA12" s="38">
        <v>28.15</v>
      </c>
      <c r="AB12" s="307">
        <f>Z12*AA12</f>
        <v>1171040</v>
      </c>
      <c r="AD12" s="306" t="s">
        <v>70</v>
      </c>
      <c r="AE12" s="334">
        <v>2.15</v>
      </c>
      <c r="AF12" s="334">
        <v>2.15</v>
      </c>
      <c r="AG12" s="334">
        <v>2.15</v>
      </c>
      <c r="AH12" s="308">
        <v>2.15</v>
      </c>
    </row>
    <row r="13" spans="6:38" s="309" customFormat="1" x14ac:dyDescent="0.2">
      <c r="F13" s="155"/>
      <c r="G13" s="38"/>
      <c r="H13" s="239"/>
      <c r="I13" s="265"/>
      <c r="J13" s="307"/>
      <c r="K13" s="239"/>
      <c r="L13" s="155"/>
      <c r="M13" s="38"/>
      <c r="N13" s="265"/>
      <c r="O13" s="265"/>
      <c r="P13" s="307"/>
      <c r="Q13" s="239"/>
      <c r="R13" s="155"/>
      <c r="S13" s="38"/>
      <c r="T13" s="239"/>
      <c r="U13" s="265"/>
      <c r="V13" s="307"/>
      <c r="W13" s="239"/>
      <c r="X13" s="155"/>
      <c r="Y13" s="38"/>
      <c r="Z13" s="239"/>
      <c r="AA13" s="265"/>
      <c r="AB13" s="307"/>
      <c r="AC13" s="239"/>
      <c r="AD13" s="306" t="s">
        <v>87</v>
      </c>
      <c r="AE13" s="334">
        <v>3</v>
      </c>
      <c r="AF13" s="334">
        <v>3</v>
      </c>
      <c r="AG13" s="334">
        <v>3</v>
      </c>
      <c r="AH13" s="335">
        <v>4</v>
      </c>
    </row>
    <row r="14" spans="6:38" s="239" customFormat="1" x14ac:dyDescent="0.2">
      <c r="F14" s="589" t="s">
        <v>538</v>
      </c>
      <c r="G14" s="585"/>
      <c r="H14" s="586"/>
      <c r="I14" s="587">
        <f>SUM(I9:I12)</f>
        <v>28.840000000000003</v>
      </c>
      <c r="J14" s="588">
        <f>SUM(J9:J13)</f>
        <v>1418843.4208</v>
      </c>
      <c r="K14" s="195"/>
      <c r="L14" s="589" t="s">
        <v>538</v>
      </c>
      <c r="M14" s="585"/>
      <c r="N14" s="586"/>
      <c r="O14" s="587">
        <f>SUM(O9:O12)</f>
        <v>30.58</v>
      </c>
      <c r="P14" s="588">
        <f>SUM(P9:P13)</f>
        <v>1491227.4208</v>
      </c>
      <c r="Q14" s="242"/>
      <c r="R14" s="589" t="s">
        <v>538</v>
      </c>
      <c r="S14" s="585"/>
      <c r="T14" s="586"/>
      <c r="U14" s="587">
        <f>SUM(U9:U12)</f>
        <v>30.58</v>
      </c>
      <c r="V14" s="588">
        <f>SUM(V9:V13)</f>
        <v>1491227.4208</v>
      </c>
      <c r="W14" s="195"/>
      <c r="X14" s="589" t="s">
        <v>538</v>
      </c>
      <c r="Y14" s="585"/>
      <c r="Z14" s="586"/>
      <c r="AA14" s="587">
        <f>SUM(AA9:AA12)</f>
        <v>33.799999999999997</v>
      </c>
      <c r="AB14" s="588">
        <f>SUM(AB9:AB13)</f>
        <v>1655071.3088</v>
      </c>
      <c r="AD14" s="306" t="s">
        <v>75</v>
      </c>
      <c r="AE14" s="334"/>
      <c r="AF14" s="334"/>
      <c r="AG14" s="334"/>
      <c r="AH14" s="335"/>
    </row>
    <row r="15" spans="6:38" s="242" customFormat="1" ht="14.25" x14ac:dyDescent="0.2">
      <c r="F15" s="604" t="s">
        <v>80</v>
      </c>
      <c r="G15" s="38"/>
      <c r="H15" s="239"/>
      <c r="I15" s="265">
        <f>'M2022 BLS  (53_PCT)'!C38</f>
        <v>0.27379999999999999</v>
      </c>
      <c r="J15" s="307">
        <f>J14*I15</f>
        <v>388479.32861503999</v>
      </c>
      <c r="K15" s="239"/>
      <c r="L15" s="604" t="s">
        <v>80</v>
      </c>
      <c r="M15" s="38"/>
      <c r="N15" s="265"/>
      <c r="O15" s="265">
        <f>'M2022 BLS  (53_PCT)'!C38</f>
        <v>0.27379999999999999</v>
      </c>
      <c r="P15" s="307">
        <f>P14*O15</f>
        <v>408298.06781503995</v>
      </c>
      <c r="Q15" s="239"/>
      <c r="R15" s="604" t="s">
        <v>80</v>
      </c>
      <c r="S15" s="38"/>
      <c r="T15" s="239"/>
      <c r="U15" s="265">
        <f>'M2022 BLS  (53_PCT)'!C38</f>
        <v>0.27379999999999999</v>
      </c>
      <c r="V15" s="307">
        <f>V14*U15</f>
        <v>408298.06781503995</v>
      </c>
      <c r="W15" s="239"/>
      <c r="X15" s="604" t="s">
        <v>80</v>
      </c>
      <c r="Y15" s="38"/>
      <c r="Z15" s="239"/>
      <c r="AA15" s="265">
        <f>'M2022 BLS  (53_PCT)'!C38</f>
        <v>0.27379999999999999</v>
      </c>
      <c r="AB15" s="307">
        <f>AB14*AA15</f>
        <v>453158.52434944001</v>
      </c>
      <c r="AC15" s="195"/>
      <c r="AD15" s="306" t="s">
        <v>90</v>
      </c>
      <c r="AE15" s="334">
        <v>0.75</v>
      </c>
      <c r="AF15" s="334">
        <v>0.9</v>
      </c>
      <c r="AG15" s="334">
        <f>'[20]Rate Options'!$F$22</f>
        <v>1</v>
      </c>
      <c r="AH15" s="335">
        <v>1.5</v>
      </c>
    </row>
    <row r="16" spans="6:38" s="242" customFormat="1" ht="15.75" thickBot="1" x14ac:dyDescent="0.3">
      <c r="F16" s="590" t="s">
        <v>539</v>
      </c>
      <c r="G16" s="584"/>
      <c r="H16" s="584"/>
      <c r="I16" s="584"/>
      <c r="J16" s="605">
        <f>SUM(J14:J15)</f>
        <v>1807322.74941504</v>
      </c>
      <c r="L16" s="590" t="s">
        <v>539</v>
      </c>
      <c r="M16" s="584"/>
      <c r="N16" s="584"/>
      <c r="O16" s="584"/>
      <c r="P16" s="605">
        <f>SUM(P14:P15)</f>
        <v>1899525.48861504</v>
      </c>
      <c r="R16" s="590" t="s">
        <v>539</v>
      </c>
      <c r="S16" s="584"/>
      <c r="T16" s="584"/>
      <c r="U16" s="584"/>
      <c r="V16" s="605">
        <f>SUM(V14:V15)</f>
        <v>1899525.48861504</v>
      </c>
      <c r="X16" s="590" t="s">
        <v>539</v>
      </c>
      <c r="Y16" s="584"/>
      <c r="Z16" s="584"/>
      <c r="AA16" s="584"/>
      <c r="AB16" s="605">
        <f>SUM(AB14:AB15)</f>
        <v>2108229.8331494401</v>
      </c>
      <c r="AC16" s="195"/>
      <c r="AD16" s="306" t="s">
        <v>92</v>
      </c>
      <c r="AE16" s="334">
        <v>3</v>
      </c>
      <c r="AF16" s="334">
        <v>3</v>
      </c>
      <c r="AG16" s="334">
        <v>3</v>
      </c>
      <c r="AH16" s="335">
        <v>4</v>
      </c>
    </row>
    <row r="17" spans="6:37" s="242" customFormat="1" ht="16.5" thickTop="1" thickBot="1" x14ac:dyDescent="0.3">
      <c r="F17" s="583"/>
      <c r="J17" s="358"/>
      <c r="L17" s="583"/>
      <c r="P17" s="358"/>
      <c r="R17" s="583"/>
      <c r="V17" s="358"/>
      <c r="X17" s="583"/>
      <c r="AB17" s="358"/>
      <c r="AC17" s="195"/>
      <c r="AD17" s="1029" t="s">
        <v>94</v>
      </c>
      <c r="AE17" s="1030"/>
      <c r="AF17" s="1030"/>
      <c r="AG17" s="1030"/>
      <c r="AH17" s="1031"/>
    </row>
    <row r="18" spans="6:37" s="242" customFormat="1" ht="15.75" thickBot="1" x14ac:dyDescent="0.3">
      <c r="F18" s="583" t="s">
        <v>540</v>
      </c>
      <c r="H18" s="195"/>
      <c r="I18" s="294" t="s">
        <v>78</v>
      </c>
      <c r="J18" s="336"/>
      <c r="K18" s="195"/>
      <c r="L18" s="583" t="s">
        <v>540</v>
      </c>
      <c r="N18" s="195"/>
      <c r="O18" s="294" t="s">
        <v>78</v>
      </c>
      <c r="P18" s="336"/>
      <c r="R18" s="583" t="s">
        <v>540</v>
      </c>
      <c r="T18" s="195"/>
      <c r="U18" s="294" t="s">
        <v>78</v>
      </c>
      <c r="V18" s="336"/>
      <c r="W18" s="195"/>
      <c r="X18" s="583" t="s">
        <v>540</v>
      </c>
      <c r="Z18" s="195"/>
      <c r="AA18" s="294" t="s">
        <v>78</v>
      </c>
      <c r="AB18" s="336"/>
      <c r="AC18" s="195"/>
      <c r="AD18" s="325"/>
      <c r="AE18" s="417" t="s">
        <v>57</v>
      </c>
      <c r="AF18" s="418" t="s">
        <v>59</v>
      </c>
      <c r="AG18" s="419" t="s">
        <v>60</v>
      </c>
      <c r="AH18" s="420" t="s">
        <v>85</v>
      </c>
    </row>
    <row r="19" spans="6:37" x14ac:dyDescent="0.2">
      <c r="F19" s="241" t="s">
        <v>82</v>
      </c>
      <c r="H19" s="239"/>
      <c r="I19" s="248"/>
      <c r="J19" s="307">
        <v>25000</v>
      </c>
      <c r="K19" s="239"/>
      <c r="L19" s="241" t="s">
        <v>82</v>
      </c>
      <c r="P19" s="307">
        <v>25000</v>
      </c>
      <c r="Q19" s="242"/>
      <c r="R19" s="241" t="s">
        <v>82</v>
      </c>
      <c r="S19" s="33"/>
      <c r="T19" s="239"/>
      <c r="U19" s="248"/>
      <c r="V19" s="307">
        <v>30000</v>
      </c>
      <c r="W19" s="239"/>
      <c r="X19" s="241" t="s">
        <v>82</v>
      </c>
      <c r="Y19" s="33"/>
      <c r="Z19" s="239"/>
      <c r="AA19" s="248"/>
      <c r="AB19" s="307">
        <v>30000</v>
      </c>
      <c r="AD19" s="315" t="s">
        <v>96</v>
      </c>
      <c r="AE19" s="334">
        <v>0.57999999999999996</v>
      </c>
      <c r="AF19" s="334">
        <v>0.69099999999999995</v>
      </c>
      <c r="AG19" s="334">
        <v>0.89149999999999996</v>
      </c>
      <c r="AH19" s="335">
        <v>1.0349999999999999</v>
      </c>
      <c r="AJ19" s="242"/>
      <c r="AK19" s="242"/>
    </row>
    <row r="20" spans="6:37" x14ac:dyDescent="0.2">
      <c r="F20" s="241" t="s">
        <v>83</v>
      </c>
      <c r="H20" s="239"/>
      <c r="I20" s="38">
        <f>'FY21 UFR TILP-YOUTH'!N32</f>
        <v>43.993538597493725</v>
      </c>
      <c r="J20" s="307">
        <f>I20*J$5</f>
        <v>192691.69905702252</v>
      </c>
      <c r="K20" s="239"/>
      <c r="L20" s="241" t="s">
        <v>83</v>
      </c>
      <c r="O20" s="38">
        <f>$AE$23</f>
        <v>43.993538597493725</v>
      </c>
      <c r="P20" s="307">
        <f>O20*P$5</f>
        <v>248893.44461532074</v>
      </c>
      <c r="R20" s="241" t="s">
        <v>83</v>
      </c>
      <c r="S20" s="33"/>
      <c r="T20" s="239"/>
      <c r="U20" s="38">
        <f>$AE$23</f>
        <v>43.993538597493725</v>
      </c>
      <c r="V20" s="307">
        <f>U20*V$5</f>
        <v>321152.83176170418</v>
      </c>
      <c r="W20" s="239"/>
      <c r="X20" s="241" t="s">
        <v>83</v>
      </c>
      <c r="Y20" s="33"/>
      <c r="Z20" s="239"/>
      <c r="AA20" s="38">
        <f>$AE$23</f>
        <v>43.993538597493725</v>
      </c>
      <c r="AB20" s="307">
        <f>AA20*AB$5</f>
        <v>401441.03970213025</v>
      </c>
      <c r="AC20" s="195"/>
      <c r="AD20" s="315"/>
      <c r="AE20" s="334"/>
      <c r="AF20" s="334"/>
      <c r="AG20" s="334"/>
      <c r="AH20" s="335"/>
    </row>
    <row r="21" spans="6:37" x14ac:dyDescent="0.2">
      <c r="F21" s="241" t="s">
        <v>86</v>
      </c>
      <c r="H21" s="239"/>
      <c r="I21" s="38">
        <f>'FY21 UFR TILP-YOUTH'!Z31</f>
        <v>15.901681537562935</v>
      </c>
      <c r="J21" s="307">
        <f>I21*J$5</f>
        <v>69649.365134525651</v>
      </c>
      <c r="K21" s="239"/>
      <c r="L21" s="241" t="s">
        <v>86</v>
      </c>
      <c r="O21" s="38">
        <f>$AE26</f>
        <v>15.901681537562935</v>
      </c>
      <c r="P21" s="307">
        <f>O21*P$5</f>
        <v>89963.763298762307</v>
      </c>
      <c r="R21" s="241" t="s">
        <v>86</v>
      </c>
      <c r="S21" s="33"/>
      <c r="T21" s="239"/>
      <c r="U21" s="38">
        <f>$AE26</f>
        <v>15.901681537562935</v>
      </c>
      <c r="V21" s="307">
        <f>U21*V$5</f>
        <v>116082.27522420943</v>
      </c>
      <c r="W21" s="239"/>
      <c r="X21" s="241" t="s">
        <v>86</v>
      </c>
      <c r="Y21" s="33"/>
      <c r="Z21" s="239"/>
      <c r="AA21" s="38">
        <f>$AE26</f>
        <v>15.901681537562935</v>
      </c>
      <c r="AB21" s="307">
        <f>AA21*AB$5</f>
        <v>145102.84403026177</v>
      </c>
      <c r="AD21" s="241" t="s">
        <v>77</v>
      </c>
      <c r="AF21" s="33"/>
      <c r="AG21" s="33"/>
      <c r="AH21" s="139"/>
    </row>
    <row r="22" spans="6:37" ht="15.75" thickBot="1" x14ac:dyDescent="0.3">
      <c r="F22" s="1045" t="s">
        <v>541</v>
      </c>
      <c r="G22" s="1025"/>
      <c r="H22" s="592"/>
      <c r="I22" s="593"/>
      <c r="J22" s="594">
        <f>SUM(J19:J21)</f>
        <v>287341.06419154815</v>
      </c>
      <c r="K22" s="195"/>
      <c r="L22" s="1046" t="s">
        <v>541</v>
      </c>
      <c r="M22" s="1025"/>
      <c r="N22" s="592"/>
      <c r="O22" s="593"/>
      <c r="P22" s="594">
        <f>SUM(P19:P21)</f>
        <v>363857.20791408309</v>
      </c>
      <c r="R22" s="1046" t="s">
        <v>541</v>
      </c>
      <c r="S22" s="1025"/>
      <c r="T22" s="592"/>
      <c r="U22" s="593"/>
      <c r="V22" s="594">
        <f>SUM(V19:V21)</f>
        <v>467235.10698591359</v>
      </c>
      <c r="W22" s="195"/>
      <c r="X22" s="1046" t="s">
        <v>541</v>
      </c>
      <c r="Y22" s="1025"/>
      <c r="Z22" s="592"/>
      <c r="AA22" s="593"/>
      <c r="AB22" s="594">
        <f>SUM(AB19:AB21)</f>
        <v>576543.88373239199</v>
      </c>
      <c r="AD22" s="241" t="s">
        <v>80</v>
      </c>
      <c r="AE22" s="346">
        <f>'M2022 BLS  (53_PCT)'!C38</f>
        <v>0.27379999999999999</v>
      </c>
      <c r="AF22" s="570" t="s">
        <v>355</v>
      </c>
      <c r="AG22" s="33"/>
      <c r="AH22" s="139"/>
      <c r="AJ22" s="241"/>
      <c r="AK22" s="324"/>
    </row>
    <row r="23" spans="6:37" ht="15.75" thickTop="1" x14ac:dyDescent="0.25">
      <c r="F23" s="595"/>
      <c r="G23" s="596"/>
      <c r="H23" s="597"/>
      <c r="I23" s="598"/>
      <c r="J23" s="599"/>
      <c r="K23" s="195"/>
      <c r="L23" s="600"/>
      <c r="M23" s="596"/>
      <c r="N23" s="597"/>
      <c r="O23" s="598"/>
      <c r="P23" s="599"/>
      <c r="R23" s="600"/>
      <c r="S23" s="596"/>
      <c r="T23" s="597"/>
      <c r="U23" s="598"/>
      <c r="V23" s="599"/>
      <c r="W23" s="195"/>
      <c r="X23" s="600"/>
      <c r="Y23" s="596"/>
      <c r="Z23" s="597"/>
      <c r="AA23" s="598"/>
      <c r="AB23" s="599"/>
      <c r="AD23" s="241" t="s">
        <v>98</v>
      </c>
      <c r="AE23" s="233">
        <f>'FY21 UFR TILP-YOUTH'!N32</f>
        <v>43.993538597493725</v>
      </c>
      <c r="AF23" s="570" t="s">
        <v>520</v>
      </c>
      <c r="AG23" s="33"/>
      <c r="AH23" s="139"/>
      <c r="AJ23" s="241"/>
      <c r="AK23" s="324"/>
    </row>
    <row r="24" spans="6:37" ht="30" x14ac:dyDescent="0.25">
      <c r="F24" s="591" t="s">
        <v>357</v>
      </c>
      <c r="G24" s="579"/>
      <c r="H24" s="422"/>
      <c r="I24" s="423"/>
      <c r="J24" s="424">
        <f>J16+J22</f>
        <v>2094663.8136065882</v>
      </c>
      <c r="K24" s="195"/>
      <c r="L24" s="591" t="s">
        <v>357</v>
      </c>
      <c r="M24" s="579"/>
      <c r="N24" s="422"/>
      <c r="O24" s="423"/>
      <c r="P24" s="424">
        <f>P16+P22</f>
        <v>2263382.696529123</v>
      </c>
      <c r="R24" s="591" t="s">
        <v>357</v>
      </c>
      <c r="S24" s="579"/>
      <c r="T24" s="422"/>
      <c r="U24" s="423"/>
      <c r="V24" s="424">
        <f>V16+V22</f>
        <v>2366760.5956009533</v>
      </c>
      <c r="W24" s="195"/>
      <c r="X24" s="591" t="s">
        <v>357</v>
      </c>
      <c r="Y24" s="579"/>
      <c r="Z24" s="422"/>
      <c r="AA24" s="423"/>
      <c r="AB24" s="424">
        <f>AB16+AB22</f>
        <v>2684773.7168818321</v>
      </c>
      <c r="AD24" s="241" t="s">
        <v>99</v>
      </c>
      <c r="AE24" s="233">
        <f>'FY21 UFR TILP-YOUTH'!N33</f>
        <v>13.198061579248117</v>
      </c>
      <c r="AF24" s="570" t="s">
        <v>520</v>
      </c>
      <c r="AG24" s="33"/>
      <c r="AH24" s="139"/>
      <c r="AJ24" s="241"/>
      <c r="AK24" s="324"/>
    </row>
    <row r="25" spans="6:37" x14ac:dyDescent="0.2">
      <c r="F25" s="241" t="s">
        <v>89</v>
      </c>
      <c r="H25" s="346">
        <f>'[21]Salary Bench Chart'!C33</f>
        <v>0.12</v>
      </c>
      <c r="I25" s="38"/>
      <c r="J25" s="307">
        <f>J24*H25</f>
        <v>251359.65763279056</v>
      </c>
      <c r="K25" s="239"/>
      <c r="L25" s="241" t="s">
        <v>89</v>
      </c>
      <c r="N25" s="346">
        <f>'[21]Salary Bench Chart'!C33</f>
        <v>0.12</v>
      </c>
      <c r="O25" s="38"/>
      <c r="P25" s="307">
        <f>P24*N25</f>
        <v>271605.92358349473</v>
      </c>
      <c r="R25" s="241" t="s">
        <v>89</v>
      </c>
      <c r="S25" s="33"/>
      <c r="T25" s="346">
        <f>'[21]Salary Bench Chart'!C33</f>
        <v>0.12</v>
      </c>
      <c r="U25" s="38"/>
      <c r="V25" s="307">
        <f>V24*T25</f>
        <v>284011.27147211437</v>
      </c>
      <c r="W25" s="239"/>
      <c r="X25" s="241" t="s">
        <v>89</v>
      </c>
      <c r="Y25" s="33"/>
      <c r="Z25" s="346">
        <f>'[21]Salary Bench Chart'!C33</f>
        <v>0.12</v>
      </c>
      <c r="AA25" s="38"/>
      <c r="AB25" s="307">
        <f>AB24*Z25</f>
        <v>322172.84602581983</v>
      </c>
      <c r="AD25" s="241" t="s">
        <v>100</v>
      </c>
      <c r="AE25" s="233">
        <f>'FY21 UFR TILP-YOUTH'!N34</f>
        <v>7.3322564329156208</v>
      </c>
      <c r="AF25" s="570" t="s">
        <v>520</v>
      </c>
      <c r="AG25" s="33"/>
      <c r="AH25" s="358"/>
      <c r="AJ25" s="241"/>
      <c r="AK25" s="324"/>
    </row>
    <row r="26" spans="6:37" x14ac:dyDescent="0.2">
      <c r="F26" s="241" t="s">
        <v>46</v>
      </c>
      <c r="H26" s="346">
        <f>AE28</f>
        <v>2.7100379121522307E-2</v>
      </c>
      <c r="I26" s="38"/>
      <c r="J26" s="307">
        <f>H26*(J24+J25)</f>
        <v>63578.125498576948</v>
      </c>
      <c r="K26" s="239"/>
      <c r="L26" s="241" t="s">
        <v>46</v>
      </c>
      <c r="N26" s="346">
        <f>H26</f>
        <v>2.7100379121522307E-2</v>
      </c>
      <c r="O26" s="38"/>
      <c r="P26" s="307">
        <f>N26*(P24+P25)</f>
        <v>68699.15267379662</v>
      </c>
      <c r="R26" s="241" t="s">
        <v>46</v>
      </c>
      <c r="S26" s="33"/>
      <c r="T26" s="346">
        <f>N26</f>
        <v>2.7100379121522307E-2</v>
      </c>
      <c r="U26" s="38"/>
      <c r="V26" s="307">
        <f>T26*(V24+V25)</f>
        <v>71836.922562345659</v>
      </c>
      <c r="W26" s="239"/>
      <c r="X26" s="241" t="s">
        <v>46</v>
      </c>
      <c r="Y26" s="33"/>
      <c r="Z26" s="346">
        <f>T26</f>
        <v>2.7100379121522307E-2</v>
      </c>
      <c r="AA26" s="38"/>
      <c r="AB26" s="307">
        <f>Z26*(AB24+AB25)</f>
        <v>81489.3918529558</v>
      </c>
      <c r="AD26" s="241" t="s">
        <v>86</v>
      </c>
      <c r="AE26" s="233">
        <f>'FY21 UFR TILP-YOUTH'!Z31</f>
        <v>15.901681537562935</v>
      </c>
      <c r="AF26" s="570" t="s">
        <v>520</v>
      </c>
      <c r="AG26" s="33"/>
      <c r="AH26" s="358"/>
    </row>
    <row r="27" spans="6:37" ht="13.5" thickBot="1" x14ac:dyDescent="0.25">
      <c r="F27" s="348" t="s">
        <v>91</v>
      </c>
      <c r="G27" s="349"/>
      <c r="H27" s="350"/>
      <c r="I27" s="351"/>
      <c r="J27" s="352">
        <f>SUM(J24:J26)</f>
        <v>2409601.5967379557</v>
      </c>
      <c r="K27" s="195"/>
      <c r="L27" s="348" t="s">
        <v>91</v>
      </c>
      <c r="M27" s="349"/>
      <c r="N27" s="350"/>
      <c r="O27" s="351"/>
      <c r="P27" s="352">
        <f>SUM(P24:P26)</f>
        <v>2603687.7727864143</v>
      </c>
      <c r="R27" s="348" t="s">
        <v>91</v>
      </c>
      <c r="S27" s="349"/>
      <c r="T27" s="350"/>
      <c r="U27" s="351"/>
      <c r="V27" s="352">
        <f>SUM(V24:V26)</f>
        <v>2722608.7896354133</v>
      </c>
      <c r="W27" s="195"/>
      <c r="X27" s="348" t="s">
        <v>91</v>
      </c>
      <c r="Y27" s="349"/>
      <c r="Z27" s="350"/>
      <c r="AA27" s="351"/>
      <c r="AB27" s="352">
        <f>SUM(AB24:AB26)</f>
        <v>3088435.9547606078</v>
      </c>
      <c r="AD27" s="316" t="s">
        <v>89</v>
      </c>
      <c r="AE27" s="428">
        <f>'[21]Salary Bench Chart'!C33</f>
        <v>0.12</v>
      </c>
      <c r="AF27" s="41" t="s">
        <v>355</v>
      </c>
      <c r="AG27" s="429"/>
      <c r="AH27" s="368"/>
    </row>
    <row r="28" spans="6:37" ht="14.25" thickTop="1" thickBot="1" x14ac:dyDescent="0.25">
      <c r="F28" s="355" t="s">
        <v>93</v>
      </c>
      <c r="G28" s="324"/>
      <c r="H28" s="324"/>
      <c r="I28" s="324"/>
      <c r="J28" s="601">
        <f>J27/J5</f>
        <v>550.13735085341455</v>
      </c>
      <c r="K28" s="426"/>
      <c r="L28" s="355" t="s">
        <v>93</v>
      </c>
      <c r="M28" s="324"/>
      <c r="N28" s="324"/>
      <c r="O28" s="324"/>
      <c r="P28" s="602">
        <f>P27/P5</f>
        <v>460.21878440767375</v>
      </c>
      <c r="Q28" s="426"/>
      <c r="R28" s="355" t="s">
        <v>93</v>
      </c>
      <c r="S28" s="324"/>
      <c r="T28" s="324"/>
      <c r="U28" s="324"/>
      <c r="V28" s="602">
        <f>V27/V5</f>
        <v>372.96010816923473</v>
      </c>
      <c r="W28" s="426"/>
      <c r="X28" s="355" t="s">
        <v>93</v>
      </c>
      <c r="Y28" s="324"/>
      <c r="Z28" s="324"/>
      <c r="AA28" s="324"/>
      <c r="AB28" s="602">
        <f>AB27/AB5</f>
        <v>338.45873476828581</v>
      </c>
      <c r="AC28" s="324"/>
      <c r="AD28" s="369" t="s">
        <v>356</v>
      </c>
      <c r="AE28" s="430">
        <f>'CAF Spring 2023'!CI26</f>
        <v>2.7100379121522307E-2</v>
      </c>
      <c r="AF28" s="40" t="s">
        <v>359</v>
      </c>
      <c r="AG28" s="431"/>
      <c r="AH28" s="432"/>
    </row>
    <row r="29" spans="6:37" s="242" customFormat="1" ht="15" customHeight="1" thickBot="1" x14ac:dyDescent="0.25">
      <c r="F29" s="359" t="s">
        <v>95</v>
      </c>
      <c r="G29" s="295"/>
      <c r="H29" s="360">
        <v>0.9</v>
      </c>
      <c r="I29" s="361"/>
      <c r="J29" s="427">
        <f>J$27*(H26+1)/(J$5*H29)</f>
        <v>627.8292018116133</v>
      </c>
      <c r="K29" s="426"/>
      <c r="L29" s="359" t="s">
        <v>95</v>
      </c>
      <c r="M29" s="295"/>
      <c r="N29" s="360">
        <v>0.9</v>
      </c>
      <c r="O29" s="361"/>
      <c r="P29" s="362">
        <f>$P$27*(N26+1)/($P$5*N29)</f>
        <v>525.2120977155198</v>
      </c>
      <c r="Q29" s="426"/>
      <c r="R29" s="359" t="s">
        <v>95</v>
      </c>
      <c r="S29" s="295"/>
      <c r="T29" s="360">
        <v>0.9</v>
      </c>
      <c r="U29" s="361"/>
      <c r="V29" s="362">
        <f>V$27*(T26+1)/(V$5*T29)</f>
        <v>425.63052055313881</v>
      </c>
      <c r="W29" s="426"/>
      <c r="X29" s="359" t="s">
        <v>95</v>
      </c>
      <c r="Y29" s="295"/>
      <c r="Z29" s="360">
        <v>0.9</v>
      </c>
      <c r="AA29" s="361"/>
      <c r="AB29" s="362">
        <f>AB$27*(Z26+1)/(AB$5*Z29)</f>
        <v>386.256771997219</v>
      </c>
      <c r="AC29" s="426"/>
      <c r="AJ29" s="33"/>
      <c r="AK29" s="33"/>
    </row>
    <row r="30" spans="6:37" s="242" customFormat="1" ht="13.5" thickBot="1" x14ac:dyDescent="0.25">
      <c r="F30" s="355"/>
      <c r="G30" s="33"/>
      <c r="H30" s="364">
        <v>0.85</v>
      </c>
      <c r="I30" s="239"/>
      <c r="J30" s="427">
        <f>J$27*(H26+1)/(J$5*H30)</f>
        <v>664.76033132994348</v>
      </c>
      <c r="K30" s="426"/>
      <c r="L30" s="355"/>
      <c r="M30" s="33"/>
      <c r="N30" s="364">
        <v>0.85</v>
      </c>
      <c r="O30" s="239"/>
      <c r="P30" s="362">
        <f>$P$27*(N26+1)/($P$5*N30)</f>
        <v>556.10692699290337</v>
      </c>
      <c r="Q30" s="426"/>
      <c r="R30" s="355"/>
      <c r="S30" s="33"/>
      <c r="T30" s="364">
        <v>0.85</v>
      </c>
      <c r="U30" s="239"/>
      <c r="V30" s="362">
        <f>V$27*(T26+1)/(V$5*T30)</f>
        <v>450.66760999744105</v>
      </c>
      <c r="W30" s="426"/>
      <c r="X30" s="355"/>
      <c r="Y30" s="33"/>
      <c r="Z30" s="364">
        <v>0.85</v>
      </c>
      <c r="AA30" s="239"/>
      <c r="AB30" s="362">
        <f>AB$27*(Z26+1)/(AB$5*Z30)</f>
        <v>408.9777585852907</v>
      </c>
      <c r="AC30" s="426"/>
    </row>
    <row r="31" spans="6:37" s="363" customFormat="1" ht="13.15" customHeight="1" thickBot="1" x14ac:dyDescent="0.25">
      <c r="F31" s="355"/>
      <c r="G31" s="33"/>
      <c r="H31" s="364">
        <v>0.8</v>
      </c>
      <c r="I31" s="239"/>
      <c r="J31" s="427">
        <f>J$27*(H26+1)/(J$5*H31)</f>
        <v>706.30785203806499</v>
      </c>
      <c r="K31" s="426"/>
      <c r="L31" s="355"/>
      <c r="M31" s="33"/>
      <c r="N31" s="364">
        <v>0.8</v>
      </c>
      <c r="O31" s="239"/>
      <c r="P31" s="362">
        <f>$P$27*(N26+1)/($P$5*N31)</f>
        <v>590.86360992995981</v>
      </c>
      <c r="Q31" s="426"/>
      <c r="R31" s="355"/>
      <c r="S31" s="33"/>
      <c r="T31" s="364">
        <v>0.8</v>
      </c>
      <c r="U31" s="239"/>
      <c r="V31" s="362">
        <f>V$27*(T26+1)/(V$5*T31)</f>
        <v>478.83433562228112</v>
      </c>
      <c r="W31" s="426"/>
      <c r="X31" s="355"/>
      <c r="Y31" s="33"/>
      <c r="Z31" s="364">
        <v>0.8</v>
      </c>
      <c r="AA31" s="239"/>
      <c r="AB31" s="362">
        <f>AB$27*(Z26+1)/(AB$5*Z31)</f>
        <v>434.53886849687137</v>
      </c>
      <c r="AC31" s="426"/>
      <c r="AF31" s="242"/>
      <c r="AG31" s="242"/>
      <c r="AH31" s="242"/>
      <c r="AJ31" s="353"/>
      <c r="AK31" s="242"/>
    </row>
    <row r="32" spans="6:37" s="363" customFormat="1" ht="13.5" thickBot="1" x14ac:dyDescent="0.25">
      <c r="F32" s="355"/>
      <c r="G32" s="33"/>
      <c r="H32" s="364">
        <v>0.75</v>
      </c>
      <c r="I32" s="239"/>
      <c r="J32" s="427">
        <f>J$27*(H26+1)/(J$5*H32)</f>
        <v>753.39504217393596</v>
      </c>
      <c r="K32" s="426"/>
      <c r="L32" s="355"/>
      <c r="M32" s="33"/>
      <c r="N32" s="364">
        <v>0.75</v>
      </c>
      <c r="O32" s="239"/>
      <c r="P32" s="362">
        <f>$P$27*(N26+1)/($P$5*N32)</f>
        <v>630.25451725862376</v>
      </c>
      <c r="Q32" s="426"/>
      <c r="R32" s="355"/>
      <c r="S32" s="33"/>
      <c r="T32" s="364">
        <v>0.75</v>
      </c>
      <c r="U32" s="239"/>
      <c r="V32" s="362">
        <f>V$27*(T26+1)/(V$5*T32)</f>
        <v>510.75662466376656</v>
      </c>
      <c r="W32" s="426"/>
      <c r="X32" s="355"/>
      <c r="Y32" s="33"/>
      <c r="Z32" s="364">
        <v>0.75</v>
      </c>
      <c r="AA32" s="239"/>
      <c r="AB32" s="362">
        <f>AB$27*(Z26+1)/(AB$5*Z32)</f>
        <v>463.50812639666276</v>
      </c>
      <c r="AC32" s="426"/>
      <c r="AF32" s="240"/>
      <c r="AG32" s="240"/>
      <c r="AH32" s="240"/>
    </row>
    <row r="33" spans="6:37" ht="13.5" thickBot="1" x14ac:dyDescent="0.25">
      <c r="F33" s="355"/>
      <c r="H33" s="364">
        <v>0.7</v>
      </c>
      <c r="I33" s="239"/>
      <c r="J33" s="427">
        <f>J$27*(H26+1)/(J$5*H33)</f>
        <v>807.2089737577885</v>
      </c>
      <c r="K33" s="426"/>
      <c r="L33" s="355"/>
      <c r="N33" s="364">
        <v>0.7</v>
      </c>
      <c r="O33" s="239"/>
      <c r="P33" s="362">
        <f>$P$27*(N26+1)/($P$5*N33)</f>
        <v>675.27269706281129</v>
      </c>
      <c r="Q33" s="426"/>
      <c r="R33" s="355"/>
      <c r="S33" s="33"/>
      <c r="T33" s="364">
        <v>0.7</v>
      </c>
      <c r="V33" s="362">
        <f>V$27*(T26+1)/(V$5*T33)</f>
        <v>547.23924071117847</v>
      </c>
      <c r="W33" s="426"/>
      <c r="X33" s="355"/>
      <c r="Y33" s="33"/>
      <c r="Z33" s="364">
        <v>0.7</v>
      </c>
      <c r="AB33" s="362">
        <f>AB$27*(Z26+1)/(AB$5*Z33)</f>
        <v>496.61584971071011</v>
      </c>
      <c r="AC33" s="426"/>
      <c r="AE33" s="324"/>
      <c r="AG33" s="239"/>
      <c r="AJ33" s="363"/>
      <c r="AK33" s="363" t="s">
        <v>97</v>
      </c>
    </row>
    <row r="34" spans="6:37" ht="13.5" thickBot="1" x14ac:dyDescent="0.25">
      <c r="F34" s="355"/>
      <c r="H34" s="364">
        <v>0.65</v>
      </c>
      <c r="I34" s="239"/>
      <c r="J34" s="427">
        <f>J$27*(H26+1)/(J$5*H34)</f>
        <v>869.3019717391569</v>
      </c>
      <c r="K34" s="426"/>
      <c r="L34" s="355"/>
      <c r="N34" s="364">
        <v>0.65</v>
      </c>
      <c r="O34" s="239"/>
      <c r="P34" s="362">
        <f>$P$27*(N26+1)/($P$5*N34)</f>
        <v>727.2167506830275</v>
      </c>
      <c r="Q34" s="426"/>
      <c r="R34" s="355"/>
      <c r="S34" s="33"/>
      <c r="T34" s="364">
        <v>0.65</v>
      </c>
      <c r="V34" s="362">
        <f>V$27*(T26+1)/(V$5*T34)</f>
        <v>589.33456691973061</v>
      </c>
      <c r="W34" s="426"/>
      <c r="X34" s="355"/>
      <c r="Y34" s="33"/>
      <c r="Z34" s="364">
        <v>0.65</v>
      </c>
      <c r="AB34" s="362">
        <f>AB$27*(Z26+1)/(AB$5*Z34)</f>
        <v>534.81706891922624</v>
      </c>
      <c r="AC34" s="426"/>
      <c r="AE34" s="324"/>
      <c r="AG34" s="239"/>
    </row>
    <row r="35" spans="6:37" ht="13.5" thickBot="1" x14ac:dyDescent="0.25">
      <c r="F35" s="355"/>
      <c r="H35" s="364">
        <v>0.6</v>
      </c>
      <c r="I35" s="239"/>
      <c r="J35" s="427">
        <f>J$27*(H26+1)/(J$5*H35)</f>
        <v>941.74380271741995</v>
      </c>
      <c r="K35" s="426"/>
      <c r="L35" s="355"/>
      <c r="N35" s="364">
        <v>0.6</v>
      </c>
      <c r="O35" s="239"/>
      <c r="P35" s="362">
        <f>$P$27*(N26+1)/($P$5*N35)</f>
        <v>787.81814657327982</v>
      </c>
      <c r="Q35" s="426"/>
      <c r="R35" s="355"/>
      <c r="S35" s="33"/>
      <c r="T35" s="364">
        <v>0.6</v>
      </c>
      <c r="V35" s="362">
        <f>V$27*(T26+1)/(V$5*T35)</f>
        <v>638.44578082970816</v>
      </c>
      <c r="W35" s="426"/>
      <c r="X35" s="355"/>
      <c r="Y35" s="33"/>
      <c r="Z35" s="364">
        <v>0.6</v>
      </c>
      <c r="AB35" s="362">
        <f>AB$27*(Z26+1)/(AB$5*Z35)</f>
        <v>579.38515799582842</v>
      </c>
      <c r="AC35" s="426"/>
      <c r="AE35" s="324"/>
      <c r="AG35" s="239"/>
    </row>
    <row r="36" spans="6:37" ht="13.5" thickBot="1" x14ac:dyDescent="0.25">
      <c r="F36" s="355"/>
      <c r="H36" s="364">
        <v>0.55000000000000004</v>
      </c>
      <c r="I36" s="239"/>
      <c r="J36" s="427">
        <f>J$27*(H26+1)/(J$5*H36)</f>
        <v>1027.3568756917309</v>
      </c>
      <c r="K36" s="426"/>
      <c r="L36" s="355"/>
      <c r="N36" s="364">
        <v>0.55000000000000004</v>
      </c>
      <c r="O36" s="239"/>
      <c r="P36" s="362">
        <f>$P$27*(N26+1)/($P$5*N36)</f>
        <v>859.43797807994144</v>
      </c>
      <c r="Q36" s="426"/>
      <c r="R36" s="373"/>
      <c r="S36" s="36"/>
      <c r="T36" s="374">
        <v>0.55000000000000004</v>
      </c>
      <c r="U36" s="375"/>
      <c r="V36" s="376">
        <f>V$27*(T26+1)/(V$5*T36)</f>
        <v>696.48630635968152</v>
      </c>
      <c r="W36" s="426"/>
      <c r="X36" s="355"/>
      <c r="Y36" s="33"/>
      <c r="Z36" s="364">
        <v>0.55000000000000004</v>
      </c>
      <c r="AB36" s="362">
        <f>AB$27*(Z26+1)/(AB$5*Z36)</f>
        <v>632.05653599544928</v>
      </c>
      <c r="AC36" s="426"/>
      <c r="AE36" s="324"/>
      <c r="AG36" s="239"/>
    </row>
    <row r="37" spans="6:37" ht="15.75" thickBot="1" x14ac:dyDescent="0.3">
      <c r="F37" s="373"/>
      <c r="G37" s="36"/>
      <c r="H37" s="374">
        <v>0.5</v>
      </c>
      <c r="I37" s="375"/>
      <c r="J37" s="433">
        <f>J$27*(H26+1)/(J$5*H37)</f>
        <v>1130.0925632609039</v>
      </c>
      <c r="K37" s="582"/>
      <c r="L37" s="373"/>
      <c r="M37" s="36"/>
      <c r="N37" s="374">
        <v>0.5</v>
      </c>
      <c r="O37" s="375"/>
      <c r="P37" s="376">
        <f>$P$27*(N26+1)/($P$5*N37)</f>
        <v>945.38177588793576</v>
      </c>
      <c r="Q37" s="426"/>
      <c r="R37" s="373"/>
      <c r="S37" s="36"/>
      <c r="T37" s="374">
        <v>0.5</v>
      </c>
      <c r="U37" s="375"/>
      <c r="V37" s="425">
        <f>V$27*(T26+1)/(V$5*T37)</f>
        <v>766.13493699564981</v>
      </c>
      <c r="W37" s="426"/>
      <c r="X37" s="373"/>
      <c r="Y37" s="36"/>
      <c r="Z37" s="374">
        <v>0.5</v>
      </c>
      <c r="AA37" s="375"/>
      <c r="AB37" s="376">
        <f>AB$27*(Z26+1)/(AB$5*Z37)</f>
        <v>695.2621895949942</v>
      </c>
      <c r="AC37" s="426"/>
      <c r="AF37" s="309"/>
      <c r="AG37" s="309"/>
      <c r="AH37" s="309"/>
    </row>
    <row r="38" spans="6:37" x14ac:dyDescent="0.2">
      <c r="I38" s="187"/>
      <c r="K38" s="434"/>
      <c r="N38" s="33"/>
      <c r="O38" s="187"/>
      <c r="P38" s="33"/>
      <c r="Q38" s="156"/>
      <c r="S38" s="33"/>
      <c r="T38" s="33"/>
      <c r="U38" s="187"/>
      <c r="V38" s="33"/>
      <c r="W38" s="156"/>
      <c r="Y38" s="33"/>
      <c r="Z38" s="33"/>
      <c r="AA38" s="187"/>
      <c r="AB38" s="33"/>
      <c r="AC38" s="426"/>
      <c r="AD38" s="435"/>
      <c r="AE38" s="309"/>
      <c r="AF38" s="309"/>
      <c r="AG38" s="309"/>
      <c r="AH38" s="309"/>
    </row>
    <row r="39" spans="6:37" ht="13.5" thickBot="1" x14ac:dyDescent="0.25">
      <c r="K39" s="434"/>
      <c r="Q39" s="156"/>
      <c r="W39" s="156"/>
      <c r="AC39" s="156"/>
      <c r="AD39" s="435"/>
      <c r="AG39" s="239"/>
    </row>
    <row r="40" spans="6:37" ht="13.5" thickBot="1" x14ac:dyDescent="0.25">
      <c r="F40" s="404" t="s">
        <v>101</v>
      </c>
      <c r="K40" s="434"/>
      <c r="Q40" s="156"/>
      <c r="W40" s="156"/>
      <c r="AC40" s="156"/>
      <c r="AD40" s="436"/>
      <c r="AE40" s="33"/>
      <c r="AF40" s="33"/>
      <c r="AG40" s="33"/>
      <c r="AH40" s="33"/>
    </row>
    <row r="41" spans="6:37" ht="13.5" thickBot="1" x14ac:dyDescent="0.25">
      <c r="F41" s="406"/>
      <c r="G41" s="407"/>
      <c r="H41" s="408" t="s">
        <v>49</v>
      </c>
      <c r="I41" s="409"/>
      <c r="J41" s="410"/>
      <c r="K41" s="434"/>
      <c r="L41" s="406"/>
      <c r="M41" s="407"/>
      <c r="N41" s="408" t="s">
        <v>50</v>
      </c>
      <c r="O41" s="409"/>
      <c r="P41" s="410"/>
      <c r="Q41" s="156"/>
      <c r="R41" s="406"/>
      <c r="S41" s="407"/>
      <c r="T41" s="408" t="s">
        <v>51</v>
      </c>
      <c r="U41" s="409"/>
      <c r="V41" s="410"/>
      <c r="W41" s="156"/>
      <c r="X41" s="406"/>
      <c r="Y41" s="407"/>
      <c r="Z41" s="408" t="s">
        <v>52</v>
      </c>
      <c r="AA41" s="409"/>
      <c r="AB41" s="410"/>
      <c r="AC41" s="156"/>
      <c r="AD41" s="435"/>
      <c r="AE41" s="242"/>
      <c r="AF41" s="242"/>
      <c r="AG41" s="242"/>
      <c r="AH41" s="242"/>
    </row>
    <row r="42" spans="6:37" x14ac:dyDescent="0.2">
      <c r="F42" s="304" t="s">
        <v>56</v>
      </c>
      <c r="G42" s="279" t="s">
        <v>57</v>
      </c>
      <c r="H42" s="204" t="s">
        <v>58</v>
      </c>
      <c r="I42" s="294">
        <v>365</v>
      </c>
      <c r="J42" s="305">
        <f>I42*G43</f>
        <v>4380</v>
      </c>
      <c r="K42" s="434"/>
      <c r="L42" s="304" t="s">
        <v>56</v>
      </c>
      <c r="M42" s="411" t="s">
        <v>59</v>
      </c>
      <c r="N42" s="204" t="s">
        <v>58</v>
      </c>
      <c r="O42" s="294">
        <v>365</v>
      </c>
      <c r="P42" s="305">
        <f>M43*O42</f>
        <v>5657.5</v>
      </c>
      <c r="Q42" s="156"/>
      <c r="R42" s="304" t="s">
        <v>56</v>
      </c>
      <c r="S42" s="242" t="s">
        <v>60</v>
      </c>
      <c r="T42" s="204" t="s">
        <v>58</v>
      </c>
      <c r="U42" s="294">
        <v>365</v>
      </c>
      <c r="V42" s="305">
        <f>S43*U42</f>
        <v>7300</v>
      </c>
      <c r="W42" s="156"/>
      <c r="X42" s="304" t="s">
        <v>56</v>
      </c>
      <c r="Y42" s="242" t="s">
        <v>61</v>
      </c>
      <c r="Z42" s="204" t="s">
        <v>58</v>
      </c>
      <c r="AA42" s="294">
        <v>365</v>
      </c>
      <c r="AB42" s="305">
        <f>Y43*AA42</f>
        <v>9125</v>
      </c>
      <c r="AC42" s="156"/>
      <c r="AD42" s="435"/>
      <c r="AE42" s="242"/>
      <c r="AF42" s="242"/>
      <c r="AG42" s="242"/>
      <c r="AH42" s="242"/>
    </row>
    <row r="43" spans="6:37" x14ac:dyDescent="0.2">
      <c r="F43" s="304"/>
      <c r="G43" s="242">
        <v>12</v>
      </c>
      <c r="H43" s="204"/>
      <c r="I43" s="294"/>
      <c r="J43" s="305"/>
      <c r="K43" s="434"/>
      <c r="L43" s="304"/>
      <c r="M43" s="242">
        <v>15.5</v>
      </c>
      <c r="N43" s="204"/>
      <c r="O43" s="294"/>
      <c r="P43" s="305"/>
      <c r="Q43" s="156"/>
      <c r="R43" s="304"/>
      <c r="S43" s="242">
        <v>20</v>
      </c>
      <c r="T43" s="204"/>
      <c r="U43" s="294"/>
      <c r="V43" s="305"/>
      <c r="W43" s="156"/>
      <c r="X43" s="304"/>
      <c r="Y43" s="242">
        <v>25</v>
      </c>
      <c r="Z43" s="204"/>
      <c r="AA43" s="294"/>
      <c r="AB43" s="305"/>
      <c r="AC43" s="156"/>
      <c r="AD43" s="33"/>
      <c r="AE43" s="33"/>
      <c r="AF43" s="33"/>
      <c r="AG43" s="33"/>
      <c r="AH43" s="33"/>
    </row>
    <row r="44" spans="6:37" x14ac:dyDescent="0.2">
      <c r="F44" s="304"/>
      <c r="G44" s="242"/>
      <c r="H44" s="414"/>
      <c r="I44" s="294"/>
      <c r="J44" s="305"/>
      <c r="K44" s="434"/>
      <c r="L44" s="304"/>
      <c r="M44" s="242"/>
      <c r="N44" s="204"/>
      <c r="O44" s="294"/>
      <c r="P44" s="305"/>
      <c r="Q44" s="156"/>
      <c r="R44" s="304"/>
      <c r="S44" s="242"/>
      <c r="T44" s="204"/>
      <c r="U44" s="294"/>
      <c r="V44" s="305"/>
      <c r="W44" s="156"/>
      <c r="X44" s="304"/>
      <c r="Y44" s="242"/>
      <c r="Z44" s="204"/>
      <c r="AA44" s="294"/>
      <c r="AB44" s="305"/>
      <c r="AC44" s="156"/>
      <c r="AD44" s="33"/>
      <c r="AE44" s="33"/>
      <c r="AF44" s="33"/>
      <c r="AG44" s="33"/>
      <c r="AH44" s="195"/>
    </row>
    <row r="45" spans="6:37" ht="25.5" x14ac:dyDescent="0.2">
      <c r="F45" s="304"/>
      <c r="G45" s="310" t="s">
        <v>65</v>
      </c>
      <c r="H45" s="293" t="s">
        <v>66</v>
      </c>
      <c r="I45" s="311" t="s">
        <v>67</v>
      </c>
      <c r="J45" s="312" t="s">
        <v>68</v>
      </c>
      <c r="K45" s="434"/>
      <c r="L45" s="304"/>
      <c r="M45" s="310" t="s">
        <v>65</v>
      </c>
      <c r="N45" s="293" t="s">
        <v>66</v>
      </c>
      <c r="O45" s="311" t="s">
        <v>67</v>
      </c>
      <c r="P45" s="312" t="s">
        <v>68</v>
      </c>
      <c r="Q45" s="156"/>
      <c r="R45" s="304"/>
      <c r="S45" s="310" t="s">
        <v>65</v>
      </c>
      <c r="T45" s="293" t="s">
        <v>66</v>
      </c>
      <c r="U45" s="311" t="s">
        <v>67</v>
      </c>
      <c r="V45" s="312" t="s">
        <v>68</v>
      </c>
      <c r="W45" s="156"/>
      <c r="X45" s="304"/>
      <c r="Y45" s="310" t="s">
        <v>65</v>
      </c>
      <c r="Z45" s="293" t="s">
        <v>66</v>
      </c>
      <c r="AA45" s="311" t="s">
        <v>67</v>
      </c>
      <c r="AB45" s="312" t="s">
        <v>68</v>
      </c>
      <c r="AC45" s="156"/>
      <c r="AD45" s="33"/>
      <c r="AE45" s="33"/>
      <c r="AF45" s="33"/>
      <c r="AG45" s="33"/>
      <c r="AH45" s="195"/>
    </row>
    <row r="46" spans="6:37" x14ac:dyDescent="0.2">
      <c r="F46" s="155" t="s">
        <v>352</v>
      </c>
      <c r="G46" s="314"/>
      <c r="H46" s="239">
        <f>$AF$5</f>
        <v>79415.232000000018</v>
      </c>
      <c r="I46" s="38">
        <f>AE12</f>
        <v>2.15</v>
      </c>
      <c r="J46" s="307">
        <f>H46*I46</f>
        <v>170742.74880000003</v>
      </c>
      <c r="K46" s="434"/>
      <c r="L46" s="155" t="s">
        <v>352</v>
      </c>
      <c r="M46" s="314"/>
      <c r="N46" s="239">
        <f>$AF$5</f>
        <v>79415.232000000018</v>
      </c>
      <c r="O46" s="38">
        <f>AF12</f>
        <v>2.15</v>
      </c>
      <c r="P46" s="307">
        <f>N46*O46</f>
        <v>170742.74880000003</v>
      </c>
      <c r="Q46" s="156"/>
      <c r="R46" s="155" t="s">
        <v>352</v>
      </c>
      <c r="S46" s="314"/>
      <c r="T46" s="239">
        <f>$AF$5</f>
        <v>79415.232000000018</v>
      </c>
      <c r="U46" s="38">
        <f>AG12</f>
        <v>2.15</v>
      </c>
      <c r="V46" s="307">
        <f>T46*U46</f>
        <v>170742.74880000003</v>
      </c>
      <c r="W46" s="156"/>
      <c r="X46" s="155" t="s">
        <v>352</v>
      </c>
      <c r="Y46" s="314"/>
      <c r="Z46" s="239">
        <f>$AF$5</f>
        <v>79415.232000000018</v>
      </c>
      <c r="AA46" s="38">
        <f>AH12</f>
        <v>2.15</v>
      </c>
      <c r="AB46" s="307">
        <f>Z46*AA46</f>
        <v>170742.74880000003</v>
      </c>
      <c r="AC46" s="156"/>
      <c r="AD46" s="33"/>
      <c r="AE46" s="33"/>
      <c r="AF46" s="33"/>
      <c r="AG46" s="33"/>
      <c r="AH46" s="33"/>
    </row>
    <row r="47" spans="6:37" x14ac:dyDescent="0.2">
      <c r="F47" s="155" t="str">
        <f>AD6</f>
        <v>Clinical Director</v>
      </c>
      <c r="G47" s="314"/>
      <c r="H47" s="239">
        <f>AF6</f>
        <v>101383.77600000001</v>
      </c>
      <c r="I47" s="38">
        <v>1</v>
      </c>
      <c r="J47" s="307">
        <f>H47*I47</f>
        <v>101383.77600000001</v>
      </c>
      <c r="K47" s="434"/>
      <c r="L47" s="155" t="str">
        <f>AD6</f>
        <v>Clinical Director</v>
      </c>
      <c r="M47" s="314"/>
      <c r="N47" s="239">
        <f>AF6</f>
        <v>101383.77600000001</v>
      </c>
      <c r="O47" s="38">
        <v>1</v>
      </c>
      <c r="P47" s="307">
        <f>N47*O47</f>
        <v>101383.77600000001</v>
      </c>
      <c r="Q47" s="156"/>
      <c r="R47" s="155" t="str">
        <f>AD6</f>
        <v>Clinical Director</v>
      </c>
      <c r="S47" s="314"/>
      <c r="T47" s="239">
        <f>AF6</f>
        <v>101383.77600000001</v>
      </c>
      <c r="U47" s="38">
        <v>1</v>
      </c>
      <c r="V47" s="307">
        <f>T47*U47</f>
        <v>101383.77600000001</v>
      </c>
      <c r="W47" s="156"/>
      <c r="X47" s="155" t="str">
        <f>AD6</f>
        <v>Clinical Director</v>
      </c>
      <c r="Y47" s="314"/>
      <c r="Z47" s="239">
        <f>AF6</f>
        <v>101383.77600000001</v>
      </c>
      <c r="AA47" s="38">
        <v>1.5</v>
      </c>
      <c r="AB47" s="307">
        <f>Z47*AA47</f>
        <v>152075.66400000002</v>
      </c>
      <c r="AC47" s="156"/>
      <c r="AD47" s="33"/>
      <c r="AE47" s="33"/>
      <c r="AF47" s="33"/>
      <c r="AG47" s="33"/>
      <c r="AH47" s="33"/>
    </row>
    <row r="48" spans="6:37" x14ac:dyDescent="0.2">
      <c r="F48" s="155" t="str">
        <f>AD7</f>
        <v>Clinical (LICSW)</v>
      </c>
      <c r="G48" s="314"/>
      <c r="H48" s="239">
        <f>AF7</f>
        <v>80606.448000000004</v>
      </c>
      <c r="I48" s="38">
        <v>2</v>
      </c>
      <c r="J48" s="307">
        <f>H48*I48</f>
        <v>161212.89600000001</v>
      </c>
      <c r="K48" s="434"/>
      <c r="L48" s="155" t="str">
        <f>AD7</f>
        <v>Clinical (LICSW)</v>
      </c>
      <c r="M48" s="314"/>
      <c r="N48" s="239">
        <f>AF7</f>
        <v>80606.448000000004</v>
      </c>
      <c r="O48" s="38">
        <v>2</v>
      </c>
      <c r="P48" s="307">
        <f>N48*O48</f>
        <v>161212.89600000001</v>
      </c>
      <c r="Q48" s="156"/>
      <c r="R48" s="155" t="str">
        <f>AD7</f>
        <v>Clinical (LICSW)</v>
      </c>
      <c r="S48" s="314"/>
      <c r="T48" s="239">
        <f>AF7</f>
        <v>80606.448000000004</v>
      </c>
      <c r="U48" s="38">
        <v>2</v>
      </c>
      <c r="V48" s="307">
        <f>T48*U48</f>
        <v>161212.89600000001</v>
      </c>
      <c r="W48" s="156"/>
      <c r="X48" s="155" t="str">
        <f>AD7</f>
        <v>Clinical (LICSW)</v>
      </c>
      <c r="Y48" s="314"/>
      <c r="Z48" s="239">
        <f>AF7</f>
        <v>80606.448000000004</v>
      </c>
      <c r="AA48" s="38">
        <v>2</v>
      </c>
      <c r="AB48" s="307">
        <f>Z48*AA48</f>
        <v>161212.89600000001</v>
      </c>
      <c r="AC48" s="156"/>
      <c r="AD48" s="33"/>
      <c r="AE48" s="33"/>
      <c r="AF48" s="33"/>
      <c r="AG48" s="33"/>
      <c r="AH48" s="33"/>
    </row>
    <row r="49" spans="6:37" s="242" customFormat="1" x14ac:dyDescent="0.2">
      <c r="F49" s="319" t="s">
        <v>354</v>
      </c>
      <c r="G49" s="38">
        <v>0.57999999999999996</v>
      </c>
      <c r="H49" s="239">
        <f>AF8</f>
        <v>41600</v>
      </c>
      <c r="I49" s="38">
        <v>23.69</v>
      </c>
      <c r="J49" s="307">
        <f>H49*I49</f>
        <v>985504</v>
      </c>
      <c r="K49" s="434"/>
      <c r="L49" s="319" t="s">
        <v>354</v>
      </c>
      <c r="M49" s="38">
        <v>0.69</v>
      </c>
      <c r="N49" s="239">
        <f>AF8</f>
        <v>41600</v>
      </c>
      <c r="O49" s="38">
        <v>25.43</v>
      </c>
      <c r="P49" s="307">
        <f>N49*O49</f>
        <v>1057888</v>
      </c>
      <c r="Q49" s="156"/>
      <c r="R49" s="319" t="s">
        <v>354</v>
      </c>
      <c r="S49" s="38">
        <v>0.89</v>
      </c>
      <c r="T49" s="239">
        <f>AF8</f>
        <v>41600</v>
      </c>
      <c r="U49" s="38">
        <v>25.43</v>
      </c>
      <c r="V49" s="307">
        <f>T49*U49</f>
        <v>1057888</v>
      </c>
      <c r="W49" s="156"/>
      <c r="X49" s="319" t="s">
        <v>354</v>
      </c>
      <c r="Y49" s="38">
        <v>1.04</v>
      </c>
      <c r="Z49" s="239">
        <f>AF8</f>
        <v>41600</v>
      </c>
      <c r="AA49" s="38">
        <v>28.15</v>
      </c>
      <c r="AB49" s="307">
        <f>Z49*AA49</f>
        <v>1171040</v>
      </c>
      <c r="AC49" s="156"/>
      <c r="AD49" s="294"/>
      <c r="AE49" s="294"/>
      <c r="AF49" s="33"/>
      <c r="AG49" s="33"/>
      <c r="AH49" s="33"/>
      <c r="AJ49" s="33"/>
      <c r="AK49" s="33"/>
    </row>
    <row r="50" spans="6:37" s="242" customFormat="1" x14ac:dyDescent="0.2">
      <c r="F50" s="155"/>
      <c r="G50" s="38"/>
      <c r="H50" s="265"/>
      <c r="I50" s="265"/>
      <c r="J50" s="307"/>
      <c r="K50" s="434"/>
      <c r="L50" s="155"/>
      <c r="M50" s="38"/>
      <c r="N50" s="265"/>
      <c r="O50" s="265"/>
      <c r="P50" s="307"/>
      <c r="Q50" s="156"/>
      <c r="R50" s="155"/>
      <c r="S50" s="38"/>
      <c r="T50" s="265"/>
      <c r="U50" s="265"/>
      <c r="V50" s="307"/>
      <c r="W50" s="156"/>
      <c r="X50" s="155"/>
      <c r="Y50" s="38"/>
      <c r="Z50" s="265"/>
      <c r="AA50" s="265"/>
      <c r="AB50" s="307"/>
      <c r="AC50" s="156"/>
      <c r="AD50" s="294"/>
      <c r="AE50" s="294"/>
      <c r="AF50" s="33"/>
      <c r="AG50" s="33"/>
      <c r="AH50" s="33"/>
    </row>
    <row r="51" spans="6:37" s="242" customFormat="1" x14ac:dyDescent="0.2">
      <c r="F51" s="589" t="s">
        <v>538</v>
      </c>
      <c r="G51" s="585"/>
      <c r="H51" s="586"/>
      <c r="I51" s="587">
        <f>SUM(I46:I49)</f>
        <v>28.840000000000003</v>
      </c>
      <c r="J51" s="588">
        <f>SUM(J46:J50)</f>
        <v>1418843.4208</v>
      </c>
      <c r="K51" s="434"/>
      <c r="L51" s="589" t="s">
        <v>538</v>
      </c>
      <c r="M51" s="585"/>
      <c r="N51" s="586"/>
      <c r="O51" s="587">
        <f>SUM(O46:O49)</f>
        <v>30.58</v>
      </c>
      <c r="P51" s="588">
        <f>SUM(P46:P50)</f>
        <v>1491227.4208</v>
      </c>
      <c r="Q51" s="156"/>
      <c r="R51" s="589" t="s">
        <v>538</v>
      </c>
      <c r="S51" s="585"/>
      <c r="T51" s="586"/>
      <c r="U51" s="587">
        <f>SUM(U46:U49)</f>
        <v>30.58</v>
      </c>
      <c r="V51" s="588">
        <f>SUM(V46:V50)</f>
        <v>1491227.4208</v>
      </c>
      <c r="W51" s="156"/>
      <c r="X51" s="589" t="s">
        <v>538</v>
      </c>
      <c r="Y51" s="585"/>
      <c r="Z51" s="586"/>
      <c r="AA51" s="587">
        <f>SUM(AA46:AA49)</f>
        <v>33.799999999999997</v>
      </c>
      <c r="AB51" s="588">
        <f>SUM(AB46:AB50)</f>
        <v>1655071.3088</v>
      </c>
      <c r="AC51" s="156"/>
      <c r="AD51" s="334"/>
      <c r="AE51" s="208"/>
    </row>
    <row r="52" spans="6:37" s="239" customFormat="1" ht="14.25" x14ac:dyDescent="0.2">
      <c r="F52" s="604" t="s">
        <v>80</v>
      </c>
      <c r="G52" s="38"/>
      <c r="H52" s="265"/>
      <c r="I52" s="265">
        <f>I15</f>
        <v>0.27379999999999999</v>
      </c>
      <c r="J52" s="307">
        <f>J51*I52</f>
        <v>388479.32861503999</v>
      </c>
      <c r="K52" s="434"/>
      <c r="L52" s="604" t="s">
        <v>80</v>
      </c>
      <c r="M52" s="38"/>
      <c r="N52" s="265"/>
      <c r="O52" s="265">
        <f>I52</f>
        <v>0.27379999999999999</v>
      </c>
      <c r="P52" s="307">
        <f>P51*O52</f>
        <v>408298.06781503995</v>
      </c>
      <c r="Q52" s="156"/>
      <c r="R52" s="604" t="s">
        <v>80</v>
      </c>
      <c r="S52" s="38"/>
      <c r="T52" s="265"/>
      <c r="U52" s="265">
        <f>O52</f>
        <v>0.27379999999999999</v>
      </c>
      <c r="V52" s="307">
        <f>V51*U52</f>
        <v>408298.06781503995</v>
      </c>
      <c r="W52" s="156"/>
      <c r="X52" s="604" t="s">
        <v>80</v>
      </c>
      <c r="Y52" s="38"/>
      <c r="Z52" s="265"/>
      <c r="AA52" s="265">
        <f>U52</f>
        <v>0.27379999999999999</v>
      </c>
      <c r="AB52" s="307">
        <f>AB51*AA52</f>
        <v>453158.52434944001</v>
      </c>
      <c r="AC52" s="156"/>
      <c r="AD52" s="334"/>
      <c r="AE52" s="334"/>
      <c r="AF52" s="363"/>
      <c r="AG52" s="363"/>
      <c r="AH52" s="363"/>
      <c r="AJ52" s="242"/>
      <c r="AK52" s="242"/>
    </row>
    <row r="53" spans="6:37" s="309" customFormat="1" ht="15.75" thickBot="1" x14ac:dyDescent="0.3">
      <c r="F53" s="590" t="s">
        <v>539</v>
      </c>
      <c r="G53" s="584"/>
      <c r="H53" s="584"/>
      <c r="I53" s="584"/>
      <c r="J53" s="605">
        <f>SUM(J51:J52)</f>
        <v>1807322.74941504</v>
      </c>
      <c r="K53" s="434"/>
      <c r="L53" s="590" t="s">
        <v>539</v>
      </c>
      <c r="M53" s="584"/>
      <c r="N53" s="584"/>
      <c r="O53" s="584"/>
      <c r="P53" s="605">
        <f>SUM(P51:P52)</f>
        <v>1899525.48861504</v>
      </c>
      <c r="Q53" s="156"/>
      <c r="R53" s="590" t="s">
        <v>539</v>
      </c>
      <c r="S53" s="584"/>
      <c r="T53" s="584"/>
      <c r="U53" s="584"/>
      <c r="V53" s="605">
        <f>SUM(V51:V52)</f>
        <v>1899525.48861504</v>
      </c>
      <c r="W53" s="156"/>
      <c r="X53" s="590" t="s">
        <v>539</v>
      </c>
      <c r="Y53" s="584"/>
      <c r="Z53" s="584"/>
      <c r="AA53" s="584"/>
      <c r="AB53" s="605">
        <f>SUM(AB51:AB52)</f>
        <v>2108229.8331494401</v>
      </c>
      <c r="AC53" s="156"/>
      <c r="AD53" s="334"/>
      <c r="AE53" s="334"/>
      <c r="AF53" s="363"/>
      <c r="AG53" s="363"/>
      <c r="AH53" s="363"/>
      <c r="AJ53" s="239"/>
      <c r="AK53" s="239"/>
    </row>
    <row r="54" spans="6:37" s="309" customFormat="1" ht="15.75" thickTop="1" x14ac:dyDescent="0.25">
      <c r="F54" s="583"/>
      <c r="G54" s="242"/>
      <c r="H54" s="242"/>
      <c r="I54" s="242"/>
      <c r="J54" s="358"/>
      <c r="K54" s="242"/>
      <c r="L54" s="583"/>
      <c r="M54" s="242"/>
      <c r="N54" s="242"/>
      <c r="O54" s="242"/>
      <c r="P54" s="358"/>
      <c r="Q54" s="242"/>
      <c r="R54" s="583"/>
      <c r="S54" s="242"/>
      <c r="T54" s="242"/>
      <c r="U54" s="242"/>
      <c r="V54" s="358"/>
      <c r="W54" s="242"/>
      <c r="X54" s="583"/>
      <c r="Y54" s="242"/>
      <c r="Z54" s="242"/>
      <c r="AA54" s="242"/>
      <c r="AB54" s="358"/>
      <c r="AC54" s="156"/>
      <c r="AD54" s="208"/>
      <c r="AE54" s="208"/>
      <c r="AF54" s="33"/>
      <c r="AG54" s="33"/>
      <c r="AH54" s="33"/>
    </row>
    <row r="55" spans="6:37" s="309" customFormat="1" ht="15" x14ac:dyDescent="0.25">
      <c r="F55" s="583" t="s">
        <v>540</v>
      </c>
      <c r="G55" s="242"/>
      <c r="H55" s="195"/>
      <c r="I55" s="294" t="s">
        <v>78</v>
      </c>
      <c r="J55" s="336"/>
      <c r="K55" s="242"/>
      <c r="L55" s="583" t="s">
        <v>540</v>
      </c>
      <c r="M55" s="242"/>
      <c r="N55" s="195"/>
      <c r="O55" s="294" t="s">
        <v>78</v>
      </c>
      <c r="P55" s="336"/>
      <c r="Q55" s="242"/>
      <c r="R55" s="583" t="s">
        <v>540</v>
      </c>
      <c r="S55" s="242"/>
      <c r="T55" s="195"/>
      <c r="U55" s="294" t="s">
        <v>78</v>
      </c>
      <c r="V55" s="336"/>
      <c r="W55" s="242"/>
      <c r="X55" s="583" t="s">
        <v>540</v>
      </c>
      <c r="Y55" s="242"/>
      <c r="Z55" s="195"/>
      <c r="AA55" s="294" t="s">
        <v>78</v>
      </c>
      <c r="AB55" s="336"/>
      <c r="AC55" s="156"/>
      <c r="AD55" s="208"/>
      <c r="AE55" s="208"/>
      <c r="AF55" s="33"/>
      <c r="AG55" s="33"/>
      <c r="AH55" s="33"/>
    </row>
    <row r="56" spans="6:37" s="309" customFormat="1" x14ac:dyDescent="0.2">
      <c r="F56" s="241" t="s">
        <v>82</v>
      </c>
      <c r="G56" s="33"/>
      <c r="H56" s="239"/>
      <c r="I56" s="248"/>
      <c r="J56" s="307">
        <v>25000</v>
      </c>
      <c r="K56" s="434"/>
      <c r="L56" s="241" t="s">
        <v>82</v>
      </c>
      <c r="M56" s="33"/>
      <c r="N56" s="239"/>
      <c r="O56" s="248"/>
      <c r="P56" s="307">
        <v>25000</v>
      </c>
      <c r="Q56" s="156"/>
      <c r="R56" s="241" t="s">
        <v>82</v>
      </c>
      <c r="S56" s="33"/>
      <c r="T56" s="239"/>
      <c r="U56" s="248"/>
      <c r="V56" s="307">
        <v>30000</v>
      </c>
      <c r="W56" s="156"/>
      <c r="X56" s="241" t="s">
        <v>82</v>
      </c>
      <c r="Y56" s="33"/>
      <c r="Z56" s="239"/>
      <c r="AA56" s="248"/>
      <c r="AB56" s="307">
        <v>30000</v>
      </c>
      <c r="AC56" s="156"/>
      <c r="AD56" s="353"/>
      <c r="AE56" s="353"/>
      <c r="AF56" s="33"/>
      <c r="AG56" s="33"/>
      <c r="AH56" s="33"/>
    </row>
    <row r="57" spans="6:37" s="239" customFormat="1" x14ac:dyDescent="0.2">
      <c r="F57" s="241" t="s">
        <v>83</v>
      </c>
      <c r="G57" s="33"/>
      <c r="I57" s="38">
        <f>AE24</f>
        <v>13.198061579248117</v>
      </c>
      <c r="J57" s="307">
        <f>I57*J$42</f>
        <v>57807.509717106754</v>
      </c>
      <c r="K57" s="434"/>
      <c r="L57" s="241" t="s">
        <v>83</v>
      </c>
      <c r="M57" s="33"/>
      <c r="O57" s="38">
        <f>$AE$24</f>
        <v>13.198061579248117</v>
      </c>
      <c r="P57" s="307">
        <f>O57*P$42</f>
        <v>74668.033384596216</v>
      </c>
      <c r="Q57" s="156"/>
      <c r="R57" s="241" t="s">
        <v>83</v>
      </c>
      <c r="S57" s="33"/>
      <c r="U57" s="38">
        <f>$AE$24</f>
        <v>13.198061579248117</v>
      </c>
      <c r="V57" s="307">
        <f>U57*V$42</f>
        <v>96345.849528511259</v>
      </c>
      <c r="W57" s="156"/>
      <c r="X57" s="241" t="s">
        <v>83</v>
      </c>
      <c r="Y57" s="33"/>
      <c r="AA57" s="38">
        <f>$AE$24</f>
        <v>13.198061579248117</v>
      </c>
      <c r="AB57" s="307">
        <f>AA57*AB$42</f>
        <v>120432.31191063907</v>
      </c>
      <c r="AC57" s="156"/>
      <c r="AD57" s="328"/>
      <c r="AE57" s="328"/>
      <c r="AF57" s="33"/>
      <c r="AG57" s="33"/>
      <c r="AH57" s="33"/>
      <c r="AJ57" s="309"/>
      <c r="AK57" s="309"/>
    </row>
    <row r="58" spans="6:37" s="242" customFormat="1" x14ac:dyDescent="0.2">
      <c r="F58" s="241" t="s">
        <v>86</v>
      </c>
      <c r="G58" s="33"/>
      <c r="H58" s="239"/>
      <c r="I58" s="38">
        <f>$AE$26</f>
        <v>15.901681537562935</v>
      </c>
      <c r="J58" s="307">
        <f>I58*J$42</f>
        <v>69649.365134525651</v>
      </c>
      <c r="K58" s="434"/>
      <c r="L58" s="241" t="s">
        <v>86</v>
      </c>
      <c r="M58" s="33"/>
      <c r="N58" s="239"/>
      <c r="O58" s="38">
        <f>$AE$26</f>
        <v>15.901681537562935</v>
      </c>
      <c r="P58" s="307">
        <f>O58*P$42</f>
        <v>89963.763298762307</v>
      </c>
      <c r="Q58" s="156"/>
      <c r="R58" s="241" t="s">
        <v>86</v>
      </c>
      <c r="S58" s="33"/>
      <c r="T58" s="239"/>
      <c r="U58" s="38">
        <f>$AE$26</f>
        <v>15.901681537562935</v>
      </c>
      <c r="V58" s="307">
        <f>U58*V$42</f>
        <v>116082.27522420943</v>
      </c>
      <c r="W58" s="156"/>
      <c r="X58" s="241" t="s">
        <v>86</v>
      </c>
      <c r="Y58" s="33"/>
      <c r="Z58" s="239"/>
      <c r="AA58" s="38">
        <f>$AE$26</f>
        <v>15.901681537562935</v>
      </c>
      <c r="AB58" s="307">
        <f>AA58*AB$42</f>
        <v>145102.84403026177</v>
      </c>
      <c r="AC58" s="156"/>
      <c r="AD58" s="334"/>
      <c r="AE58" s="334"/>
      <c r="AF58" s="33"/>
      <c r="AG58" s="33"/>
      <c r="AH58" s="33"/>
      <c r="AJ58" s="239"/>
      <c r="AK58" s="239"/>
    </row>
    <row r="59" spans="6:37" ht="15.75" thickBot="1" x14ac:dyDescent="0.3">
      <c r="F59" s="1045" t="s">
        <v>541</v>
      </c>
      <c r="G59" s="1025"/>
      <c r="H59" s="592"/>
      <c r="I59" s="593"/>
      <c r="J59" s="594">
        <f>SUM(J56:J58)</f>
        <v>152456.8748516324</v>
      </c>
      <c r="K59" s="195"/>
      <c r="L59" s="1046" t="s">
        <v>541</v>
      </c>
      <c r="M59" s="1025"/>
      <c r="N59" s="592"/>
      <c r="O59" s="593"/>
      <c r="P59" s="594">
        <f>SUM(P56:P58)</f>
        <v>189631.79668335852</v>
      </c>
      <c r="R59" s="1046" t="s">
        <v>541</v>
      </c>
      <c r="S59" s="1025"/>
      <c r="T59" s="592"/>
      <c r="U59" s="593"/>
      <c r="V59" s="594">
        <f>SUM(V56:V58)</f>
        <v>242428.1247527207</v>
      </c>
      <c r="W59" s="195"/>
      <c r="X59" s="1046" t="s">
        <v>541</v>
      </c>
      <c r="Y59" s="1025"/>
      <c r="Z59" s="592"/>
      <c r="AA59" s="593"/>
      <c r="AB59" s="594">
        <f>SUM(AB56:AB58)</f>
        <v>295535.15594090079</v>
      </c>
      <c r="AD59" s="33"/>
      <c r="AE59" s="346"/>
      <c r="AF59" s="571"/>
      <c r="AG59" s="33"/>
      <c r="AH59" s="33"/>
      <c r="AK59" s="324"/>
    </row>
    <row r="60" spans="6:37" ht="15.75" thickTop="1" x14ac:dyDescent="0.25">
      <c r="F60" s="595"/>
      <c r="G60" s="596"/>
      <c r="H60" s="597"/>
      <c r="I60" s="598"/>
      <c r="J60" s="599"/>
      <c r="K60" s="195"/>
      <c r="L60" s="600"/>
      <c r="M60" s="596"/>
      <c r="N60" s="597"/>
      <c r="O60" s="598"/>
      <c r="P60" s="599"/>
      <c r="R60" s="600"/>
      <c r="S60" s="596"/>
      <c r="T60" s="597"/>
      <c r="U60" s="598"/>
      <c r="V60" s="599"/>
      <c r="W60" s="195"/>
      <c r="X60" s="600"/>
      <c r="Y60" s="596"/>
      <c r="Z60" s="597"/>
      <c r="AA60" s="598"/>
      <c r="AB60" s="599"/>
      <c r="AD60" s="33"/>
      <c r="AE60" s="233"/>
      <c r="AF60" s="571"/>
      <c r="AG60" s="33"/>
      <c r="AH60" s="33"/>
      <c r="AK60" s="324"/>
    </row>
    <row r="61" spans="6:37" ht="30" x14ac:dyDescent="0.25">
      <c r="F61" s="591" t="s">
        <v>357</v>
      </c>
      <c r="G61" s="579"/>
      <c r="H61" s="422"/>
      <c r="I61" s="423"/>
      <c r="J61" s="424">
        <f>J53+J59</f>
        <v>1959779.6242666724</v>
      </c>
      <c r="K61" s="195"/>
      <c r="L61" s="591" t="s">
        <v>357</v>
      </c>
      <c r="M61" s="579"/>
      <c r="N61" s="422"/>
      <c r="O61" s="423"/>
      <c r="P61" s="424">
        <f>P53+P59</f>
        <v>2089157.2852983985</v>
      </c>
      <c r="R61" s="591" t="s">
        <v>357</v>
      </c>
      <c r="S61" s="579"/>
      <c r="T61" s="422"/>
      <c r="U61" s="423"/>
      <c r="V61" s="424">
        <f>V53+V59</f>
        <v>2141953.6133677606</v>
      </c>
      <c r="W61" s="195"/>
      <c r="X61" s="591" t="s">
        <v>357</v>
      </c>
      <c r="Y61" s="579"/>
      <c r="Z61" s="422"/>
      <c r="AA61" s="423"/>
      <c r="AB61" s="424">
        <f>AB53+AB59</f>
        <v>2403764.9890903411</v>
      </c>
      <c r="AD61" s="33"/>
      <c r="AE61" s="233"/>
      <c r="AF61" s="571"/>
      <c r="AG61" s="33"/>
      <c r="AH61" s="33"/>
      <c r="AK61" s="324"/>
    </row>
    <row r="62" spans="6:37" x14ac:dyDescent="0.2">
      <c r="F62" s="241" t="s">
        <v>89</v>
      </c>
      <c r="H62" s="346">
        <f>H25</f>
        <v>0.12</v>
      </c>
      <c r="I62" s="38"/>
      <c r="J62" s="307">
        <f>J61*H62</f>
        <v>235173.55491200069</v>
      </c>
      <c r="K62" s="239"/>
      <c r="L62" s="241" t="s">
        <v>89</v>
      </c>
      <c r="N62" s="346">
        <f>H62</f>
        <v>0.12</v>
      </c>
      <c r="O62" s="38"/>
      <c r="P62" s="307">
        <f>P61*N62</f>
        <v>250698.8742358078</v>
      </c>
      <c r="R62" s="241" t="s">
        <v>89</v>
      </c>
      <c r="S62" s="33"/>
      <c r="T62" s="346">
        <f>N62</f>
        <v>0.12</v>
      </c>
      <c r="U62" s="38"/>
      <c r="V62" s="307">
        <f>V61*T62</f>
        <v>257034.43360413125</v>
      </c>
      <c r="W62" s="239"/>
      <c r="X62" s="241" t="s">
        <v>89</v>
      </c>
      <c r="Y62" s="33"/>
      <c r="Z62" s="346">
        <f>T62</f>
        <v>0.12</v>
      </c>
      <c r="AA62" s="38"/>
      <c r="AB62" s="307">
        <f>AB61*Z62</f>
        <v>288451.79869084095</v>
      </c>
      <c r="AD62" s="33"/>
      <c r="AE62" s="233"/>
      <c r="AF62" s="571"/>
      <c r="AG62" s="33"/>
      <c r="AH62" s="242"/>
      <c r="AK62" s="324"/>
    </row>
    <row r="63" spans="6:37" x14ac:dyDescent="0.2">
      <c r="F63" s="241" t="s">
        <v>46</v>
      </c>
      <c r="H63" s="346">
        <f>H26</f>
        <v>2.7100379121522307E-2</v>
      </c>
      <c r="I63" s="38"/>
      <c r="J63" s="307">
        <f>H63*(J61+J62)</f>
        <v>59484.06330973273</v>
      </c>
      <c r="K63" s="239"/>
      <c r="L63" s="241" t="s">
        <v>46</v>
      </c>
      <c r="N63" s="346">
        <f>H63</f>
        <v>2.7100379121522307E-2</v>
      </c>
      <c r="O63" s="38"/>
      <c r="P63" s="307">
        <f>N63*(P61+P62)</f>
        <v>63410.98901320617</v>
      </c>
      <c r="R63" s="241" t="s">
        <v>46</v>
      </c>
      <c r="S63" s="33"/>
      <c r="T63" s="346">
        <f>N63</f>
        <v>2.7100379121522307E-2</v>
      </c>
      <c r="U63" s="38"/>
      <c r="V63" s="307">
        <f>T63*(V61+V62)</f>
        <v>65013.485580938635</v>
      </c>
      <c r="W63" s="239"/>
      <c r="X63" s="241" t="s">
        <v>46</v>
      </c>
      <c r="Y63" s="33"/>
      <c r="Z63" s="346">
        <f>T63</f>
        <v>2.7100379121522307E-2</v>
      </c>
      <c r="AA63" s="38"/>
      <c r="AB63" s="307">
        <f>Z63*(AB61+AB62)</f>
        <v>72960.095626196999</v>
      </c>
      <c r="AD63" s="33"/>
      <c r="AE63" s="233"/>
      <c r="AF63" s="571"/>
      <c r="AG63" s="33"/>
      <c r="AH63" s="242"/>
    </row>
    <row r="64" spans="6:37" ht="13.5" thickBot="1" x14ac:dyDescent="0.25">
      <c r="F64" s="348" t="s">
        <v>91</v>
      </c>
      <c r="G64" s="349"/>
      <c r="H64" s="350"/>
      <c r="I64" s="351"/>
      <c r="J64" s="352">
        <f>SUM(J61:J63)</f>
        <v>2254437.2424884061</v>
      </c>
      <c r="K64" s="195"/>
      <c r="L64" s="348" t="s">
        <v>91</v>
      </c>
      <c r="M64" s="349"/>
      <c r="N64" s="350"/>
      <c r="O64" s="351"/>
      <c r="P64" s="352">
        <f>SUM(P61:P63)</f>
        <v>2403267.1485474124</v>
      </c>
      <c r="R64" s="348" t="s">
        <v>91</v>
      </c>
      <c r="S64" s="349"/>
      <c r="T64" s="350"/>
      <c r="U64" s="351"/>
      <c r="V64" s="352">
        <f>SUM(V61:V63)</f>
        <v>2464001.5325528309</v>
      </c>
      <c r="W64" s="195"/>
      <c r="X64" s="348" t="s">
        <v>91</v>
      </c>
      <c r="Y64" s="349"/>
      <c r="Z64" s="350"/>
      <c r="AA64" s="351"/>
      <c r="AB64" s="352">
        <f>SUM(AB61:AB63)</f>
        <v>2765176.883407379</v>
      </c>
      <c r="AD64" s="33"/>
      <c r="AE64" s="346"/>
      <c r="AF64" s="39"/>
      <c r="AG64" s="242"/>
      <c r="AH64" s="33"/>
    </row>
    <row r="65" spans="6:37" ht="14.25" thickTop="1" thickBot="1" x14ac:dyDescent="0.25">
      <c r="F65" s="355" t="s">
        <v>93</v>
      </c>
      <c r="G65" s="324"/>
      <c r="H65" s="324"/>
      <c r="I65" s="324"/>
      <c r="J65" s="601">
        <f>J64/J42</f>
        <v>514.71169919826627</v>
      </c>
      <c r="K65" s="426"/>
      <c r="L65" s="355" t="s">
        <v>93</v>
      </c>
      <c r="M65" s="324"/>
      <c r="N65" s="324"/>
      <c r="O65" s="324"/>
      <c r="P65" s="602">
        <f>P64/P42</f>
        <v>424.79313275252537</v>
      </c>
      <c r="Q65" s="426"/>
      <c r="R65" s="355" t="s">
        <v>93</v>
      </c>
      <c r="S65" s="324"/>
      <c r="T65" s="324"/>
      <c r="U65" s="324"/>
      <c r="V65" s="602">
        <f>V64/V42</f>
        <v>337.5344565140864</v>
      </c>
      <c r="W65" s="426"/>
      <c r="X65" s="355" t="s">
        <v>93</v>
      </c>
      <c r="Y65" s="324"/>
      <c r="Z65" s="324"/>
      <c r="AA65" s="324"/>
      <c r="AB65" s="602">
        <f>AB64/AB42</f>
        <v>303.03308311313742</v>
      </c>
      <c r="AC65" s="324"/>
      <c r="AD65" s="33"/>
      <c r="AE65" s="346"/>
      <c r="AF65" s="606"/>
      <c r="AG65" s="242"/>
      <c r="AH65" s="33"/>
    </row>
    <row r="66" spans="6:37" x14ac:dyDescent="0.2">
      <c r="F66" s="359" t="s">
        <v>95</v>
      </c>
      <c r="G66" s="295"/>
      <c r="H66" s="360">
        <v>0.9</v>
      </c>
      <c r="I66" s="361"/>
      <c r="J66" s="427">
        <f>J$64*(H63+1)/(J$5*H66)</f>
        <v>587.40064598313575</v>
      </c>
      <c r="K66" s="426"/>
      <c r="L66" s="359" t="s">
        <v>95</v>
      </c>
      <c r="M66" s="295"/>
      <c r="N66" s="360">
        <v>0.9</v>
      </c>
      <c r="O66" s="361"/>
      <c r="P66" s="427">
        <f>P$64*(N63+1)/(P$5*N66)</f>
        <v>484.78354188704213</v>
      </c>
      <c r="Q66" s="426"/>
      <c r="R66" s="359" t="s">
        <v>95</v>
      </c>
      <c r="S66" s="295"/>
      <c r="T66" s="360">
        <v>0.9</v>
      </c>
      <c r="U66" s="361"/>
      <c r="V66" s="427">
        <f>V$64*(T63+1)/(V$5*T66)</f>
        <v>385.20196472466131</v>
      </c>
      <c r="W66" s="426"/>
      <c r="X66" s="359" t="s">
        <v>95</v>
      </c>
      <c r="Y66" s="295"/>
      <c r="Z66" s="360">
        <v>0.9</v>
      </c>
      <c r="AA66" s="361"/>
      <c r="AB66" s="427">
        <f>AB$64*(Z63+1)/(AB$5*Z66)</f>
        <v>345.82821616874139</v>
      </c>
      <c r="AC66" s="265"/>
      <c r="AD66" s="353"/>
      <c r="AE66" s="33"/>
      <c r="AF66" s="33"/>
      <c r="AG66" s="33"/>
      <c r="AH66" s="33"/>
    </row>
    <row r="67" spans="6:37" x14ac:dyDescent="0.2">
      <c r="F67" s="355"/>
      <c r="H67" s="364">
        <v>0.85</v>
      </c>
      <c r="I67" s="239"/>
      <c r="J67" s="427">
        <f>J$64*(H63+1)/(J$5*H67)</f>
        <v>621.95362515861427</v>
      </c>
      <c r="K67" s="426"/>
      <c r="L67" s="355"/>
      <c r="N67" s="364">
        <v>0.85</v>
      </c>
      <c r="O67" s="239"/>
      <c r="P67" s="427">
        <f>P$64*(N63+1)/(P$5*N67)</f>
        <v>513.30022082157404</v>
      </c>
      <c r="Q67" s="426"/>
      <c r="R67" s="355"/>
      <c r="S67" s="33"/>
      <c r="T67" s="364">
        <v>0.85</v>
      </c>
      <c r="V67" s="427">
        <f>V$64*(T63+1)/(V$5*T67)</f>
        <v>407.86090382611195</v>
      </c>
      <c r="W67" s="426"/>
      <c r="X67" s="355"/>
      <c r="Y67" s="33"/>
      <c r="Z67" s="364">
        <v>0.85</v>
      </c>
      <c r="AB67" s="427">
        <f>AB$64*(Z63+1)/(AB$5*Z67)</f>
        <v>366.17105241396143</v>
      </c>
      <c r="AC67" s="156"/>
      <c r="AD67" s="353"/>
      <c r="AE67" s="33"/>
      <c r="AF67" s="33"/>
      <c r="AG67" s="33"/>
      <c r="AH67" s="33"/>
    </row>
    <row r="68" spans="6:37" x14ac:dyDescent="0.2">
      <c r="F68" s="355"/>
      <c r="H68" s="364">
        <v>0.8</v>
      </c>
      <c r="I68" s="239"/>
      <c r="J68" s="427">
        <f>J$64*(H63+1)/(J$5*H68)</f>
        <v>660.82572673102766</v>
      </c>
      <c r="K68" s="426"/>
      <c r="L68" s="355"/>
      <c r="N68" s="364">
        <v>0.8</v>
      </c>
      <c r="O68" s="239"/>
      <c r="P68" s="427">
        <f>P$64*(N63+1)/(P$5*N68)</f>
        <v>545.38148462292247</v>
      </c>
      <c r="Q68" s="426"/>
      <c r="R68" s="355"/>
      <c r="S68" s="33"/>
      <c r="T68" s="364">
        <v>0.8</v>
      </c>
      <c r="V68" s="427">
        <f>V$64*(T63+1)/(V$5*T68)</f>
        <v>433.35221031524395</v>
      </c>
      <c r="W68" s="426"/>
      <c r="X68" s="355"/>
      <c r="Y68" s="33"/>
      <c r="Z68" s="364">
        <v>0.8</v>
      </c>
      <c r="AB68" s="427">
        <f>AB$64*(Z63+1)/(AB$5*Z68)</f>
        <v>389.05674318983404</v>
      </c>
      <c r="AC68" s="156"/>
      <c r="AD68" s="353"/>
      <c r="AE68" s="33"/>
      <c r="AF68" s="33"/>
      <c r="AG68" s="33"/>
      <c r="AH68" s="33"/>
    </row>
    <row r="69" spans="6:37" x14ac:dyDescent="0.2">
      <c r="F69" s="355"/>
      <c r="H69" s="364">
        <v>0.75</v>
      </c>
      <c r="I69" s="239"/>
      <c r="J69" s="427">
        <f>J$64*(H63+1)/(J$5*H69)</f>
        <v>704.88077517976285</v>
      </c>
      <c r="K69" s="426"/>
      <c r="L69" s="355"/>
      <c r="N69" s="364">
        <v>0.75</v>
      </c>
      <c r="O69" s="239"/>
      <c r="P69" s="427">
        <f>P$64*(N63+1)/(P$5*N69)</f>
        <v>581.74025026445054</v>
      </c>
      <c r="Q69" s="426"/>
      <c r="R69" s="355"/>
      <c r="S69" s="33"/>
      <c r="T69" s="364">
        <v>0.75</v>
      </c>
      <c r="V69" s="427">
        <f>V$64*(T63+1)/(V$5*T69)</f>
        <v>462.24235766959356</v>
      </c>
      <c r="W69" s="426"/>
      <c r="X69" s="355"/>
      <c r="Y69" s="33"/>
      <c r="Z69" s="364">
        <v>0.75</v>
      </c>
      <c r="AB69" s="427">
        <f>AB$64*(Z63+1)/(AB$5*Z69)</f>
        <v>414.99385940248965</v>
      </c>
      <c r="AC69" s="156"/>
      <c r="AE69" s="248"/>
      <c r="AG69" s="33"/>
      <c r="AH69" s="33"/>
    </row>
    <row r="70" spans="6:37" x14ac:dyDescent="0.2">
      <c r="F70" s="355"/>
      <c r="H70" s="364">
        <v>0.7</v>
      </c>
      <c r="I70" s="239"/>
      <c r="J70" s="427">
        <f>J$64*(H63+1)/(J$5*H70)</f>
        <v>755.22940197831736</v>
      </c>
      <c r="K70" s="426"/>
      <c r="L70" s="355"/>
      <c r="N70" s="364">
        <v>0.7</v>
      </c>
      <c r="O70" s="239"/>
      <c r="P70" s="427">
        <f>P$64*(N63+1)/(P$5*N70)</f>
        <v>623.29312528334003</v>
      </c>
      <c r="Q70" s="426"/>
      <c r="R70" s="355"/>
      <c r="S70" s="33"/>
      <c r="T70" s="364">
        <v>0.7</v>
      </c>
      <c r="V70" s="427">
        <f>V$64*(T63+1)/(V$5*T70)</f>
        <v>495.25966893170738</v>
      </c>
      <c r="W70" s="426"/>
      <c r="X70" s="355"/>
      <c r="Y70" s="33"/>
      <c r="Z70" s="364">
        <v>0.7</v>
      </c>
      <c r="AB70" s="427">
        <f>AB$64*(Z63+1)/(AB$5*Z70)</f>
        <v>444.63627793123891</v>
      </c>
      <c r="AC70" s="156"/>
      <c r="AE70" s="33"/>
      <c r="AF70" s="33"/>
      <c r="AG70" s="33"/>
      <c r="AH70" s="33"/>
    </row>
    <row r="71" spans="6:37" x14ac:dyDescent="0.2">
      <c r="F71" s="355"/>
      <c r="H71" s="364">
        <v>0.65</v>
      </c>
      <c r="I71" s="239"/>
      <c r="J71" s="427">
        <f>J$64*(H63+1)/(J$5*H71)</f>
        <v>813.32397136126485</v>
      </c>
      <c r="K71" s="426"/>
      <c r="L71" s="355"/>
      <c r="N71" s="364">
        <v>0.65</v>
      </c>
      <c r="O71" s="239"/>
      <c r="P71" s="427">
        <f>P$64*(N63+1)/(P$5*N71)</f>
        <v>671.23875030513534</v>
      </c>
      <c r="Q71" s="426"/>
      <c r="R71" s="355"/>
      <c r="S71" s="33"/>
      <c r="T71" s="364">
        <v>0.65</v>
      </c>
      <c r="V71" s="427">
        <f>V$64*(T63+1)/(V$5*T71)</f>
        <v>533.35656654183867</v>
      </c>
      <c r="W71" s="426"/>
      <c r="X71" s="355"/>
      <c r="Y71" s="33"/>
      <c r="Z71" s="364">
        <v>0.65</v>
      </c>
      <c r="AB71" s="427">
        <f>AB$64*(Z63+1)/(AB$5*Z71)</f>
        <v>478.8390685413342</v>
      </c>
      <c r="AC71" s="156"/>
      <c r="AE71" s="33"/>
      <c r="AF71" s="33"/>
      <c r="AG71" s="33"/>
      <c r="AH71" s="33"/>
    </row>
    <row r="72" spans="6:37" s="242" customFormat="1" x14ac:dyDescent="0.2">
      <c r="F72" s="355"/>
      <c r="G72" s="33"/>
      <c r="H72" s="364">
        <v>0.6</v>
      </c>
      <c r="I72" s="239"/>
      <c r="J72" s="427">
        <f>J$64*(H63+1)/(J$5*H72)</f>
        <v>881.10096897470362</v>
      </c>
      <c r="K72" s="426"/>
      <c r="L72" s="355"/>
      <c r="M72" s="33"/>
      <c r="N72" s="364">
        <v>0.6</v>
      </c>
      <c r="O72" s="239"/>
      <c r="P72" s="427">
        <f>P$64*(N63+1)/(P$5*N72)</f>
        <v>727.17531283056326</v>
      </c>
      <c r="Q72" s="426"/>
      <c r="R72" s="355"/>
      <c r="S72" s="33"/>
      <c r="T72" s="364">
        <v>0.6</v>
      </c>
      <c r="U72" s="239"/>
      <c r="V72" s="427">
        <f>V$64*(T63+1)/(V$5*T72)</f>
        <v>577.80294708699194</v>
      </c>
      <c r="W72" s="426"/>
      <c r="X72" s="355"/>
      <c r="Y72" s="33"/>
      <c r="Z72" s="364">
        <v>0.6</v>
      </c>
      <c r="AA72" s="239"/>
      <c r="AB72" s="427">
        <f>AB$64*(Z63+1)/(AB$5*Z72)</f>
        <v>518.74232425311209</v>
      </c>
      <c r="AC72" s="156"/>
      <c r="AG72" s="353"/>
      <c r="AJ72" s="33"/>
      <c r="AK72" s="33"/>
    </row>
    <row r="73" spans="6:37" s="363" customFormat="1" ht="13.15" customHeight="1" x14ac:dyDescent="0.2">
      <c r="F73" s="355"/>
      <c r="G73" s="33"/>
      <c r="H73" s="364">
        <v>0.55000000000000004</v>
      </c>
      <c r="I73" s="239"/>
      <c r="J73" s="427">
        <f>J$64*(H63+1)/(J$5*H73)</f>
        <v>961.20105706331299</v>
      </c>
      <c r="K73" s="426"/>
      <c r="L73" s="355"/>
      <c r="M73" s="33"/>
      <c r="N73" s="364">
        <v>0.55000000000000004</v>
      </c>
      <c r="O73" s="239"/>
      <c r="P73" s="427">
        <f>P$64*(N63+1)/(P$5*N73)</f>
        <v>793.2821594515234</v>
      </c>
      <c r="Q73" s="426"/>
      <c r="R73" s="355"/>
      <c r="S73" s="33"/>
      <c r="T73" s="364">
        <v>0.55000000000000004</v>
      </c>
      <c r="U73" s="239"/>
      <c r="V73" s="427">
        <f>V$64*(T63+1)/(V$5*T73)</f>
        <v>630.33048773126382</v>
      </c>
      <c r="W73" s="426"/>
      <c r="X73" s="355"/>
      <c r="Y73" s="33"/>
      <c r="Z73" s="364">
        <v>0.55000000000000004</v>
      </c>
      <c r="AA73" s="239"/>
      <c r="AB73" s="427">
        <f>AB$64*(Z63+1)/(AB$5*Z73)</f>
        <v>565.90071736703135</v>
      </c>
      <c r="AC73" s="156"/>
      <c r="AD73" s="294"/>
      <c r="AE73" s="242"/>
      <c r="AF73" s="242"/>
      <c r="AG73" s="242"/>
      <c r="AH73" s="242"/>
      <c r="AJ73" s="242"/>
      <c r="AK73" s="242"/>
    </row>
    <row r="74" spans="6:37" s="363" customFormat="1" ht="13.5" thickBot="1" x14ac:dyDescent="0.25">
      <c r="F74" s="373"/>
      <c r="G74" s="36"/>
      <c r="H74" s="374">
        <v>0.5</v>
      </c>
      <c r="I74" s="375"/>
      <c r="J74" s="427">
        <f>J$64*(H63+1)/(J$5*H74)</f>
        <v>1057.3211627696444</v>
      </c>
      <c r="K74" s="426"/>
      <c r="L74" s="373"/>
      <c r="M74" s="36"/>
      <c r="N74" s="374">
        <v>0.5</v>
      </c>
      <c r="O74" s="375"/>
      <c r="P74" s="427">
        <f>P$64*(N63+1)/(P$5*N74)</f>
        <v>872.61037539667586</v>
      </c>
      <c r="Q74" s="426"/>
      <c r="R74" s="373"/>
      <c r="S74" s="36"/>
      <c r="T74" s="374">
        <v>0.5</v>
      </c>
      <c r="U74" s="375"/>
      <c r="V74" s="427">
        <f>V$64*(T63+1)/(V$5*T74)</f>
        <v>693.36353650439037</v>
      </c>
      <c r="W74" s="426"/>
      <c r="X74" s="373"/>
      <c r="Y74" s="36"/>
      <c r="Z74" s="374">
        <v>0.5</v>
      </c>
      <c r="AA74" s="375"/>
      <c r="AB74" s="427">
        <f>AB$64*(Z63+1)/(AB$5*Z74)</f>
        <v>622.49078910373453</v>
      </c>
      <c r="AC74" s="156"/>
      <c r="AD74" s="294"/>
      <c r="AE74" s="242"/>
      <c r="AF74" s="242"/>
      <c r="AG74" s="242"/>
      <c r="AH74" s="242"/>
    </row>
    <row r="75" spans="6:37" x14ac:dyDescent="0.2">
      <c r="I75" s="187"/>
      <c r="K75" s="434"/>
      <c r="N75" s="33"/>
      <c r="O75" s="187"/>
      <c r="P75" s="33"/>
      <c r="Q75" s="156"/>
      <c r="S75" s="33"/>
      <c r="T75" s="33"/>
      <c r="U75" s="187"/>
      <c r="V75" s="33"/>
      <c r="W75" s="156"/>
      <c r="Y75" s="33"/>
      <c r="Z75" s="33"/>
      <c r="AA75" s="187"/>
      <c r="AB75" s="33"/>
      <c r="AC75" s="156"/>
      <c r="AD75" s="293"/>
      <c r="AE75" s="293"/>
      <c r="AF75" s="240"/>
      <c r="AG75" s="240"/>
      <c r="AH75" s="240"/>
      <c r="AJ75" s="363"/>
      <c r="AK75" s="363"/>
    </row>
    <row r="76" spans="6:37" ht="13.5" thickBot="1" x14ac:dyDescent="0.25">
      <c r="F76" s="239"/>
      <c r="I76" s="239"/>
      <c r="J76" s="248"/>
      <c r="K76" s="434"/>
      <c r="L76" s="239"/>
      <c r="N76" s="33"/>
      <c r="O76" s="239"/>
      <c r="P76" s="248"/>
      <c r="Q76" s="156"/>
      <c r="V76" s="33"/>
      <c r="W76" s="156"/>
      <c r="AB76" s="33"/>
      <c r="AC76" s="156"/>
      <c r="AG76" s="239"/>
    </row>
    <row r="77" spans="6:37" ht="13.5" thickBot="1" x14ac:dyDescent="0.25">
      <c r="F77" s="1047" t="s">
        <v>102</v>
      </c>
      <c r="G77" s="1048"/>
      <c r="K77" s="434"/>
      <c r="Q77" s="156"/>
      <c r="W77" s="156"/>
      <c r="AC77" s="156"/>
      <c r="AD77" s="435"/>
      <c r="AG77" s="239"/>
    </row>
    <row r="78" spans="6:37" ht="13.5" thickBot="1" x14ac:dyDescent="0.25">
      <c r="F78" s="406"/>
      <c r="G78" s="407"/>
      <c r="H78" s="408" t="s">
        <v>49</v>
      </c>
      <c r="I78" s="409"/>
      <c r="J78" s="410"/>
      <c r="K78" s="434"/>
      <c r="L78" s="406"/>
      <c r="M78" s="407"/>
      <c r="N78" s="408" t="s">
        <v>50</v>
      </c>
      <c r="O78" s="409"/>
      <c r="P78" s="410"/>
      <c r="Q78" s="156"/>
      <c r="R78" s="406"/>
      <c r="S78" s="407"/>
      <c r="T78" s="408" t="s">
        <v>51</v>
      </c>
      <c r="U78" s="409"/>
      <c r="V78" s="410"/>
      <c r="W78" s="156"/>
      <c r="X78" s="406"/>
      <c r="Y78" s="407"/>
      <c r="Z78" s="408" t="s">
        <v>52</v>
      </c>
      <c r="AA78" s="409"/>
      <c r="AB78" s="410"/>
      <c r="AC78" s="156"/>
      <c r="AD78" s="435"/>
      <c r="AG78" s="239"/>
    </row>
    <row r="79" spans="6:37" x14ac:dyDescent="0.2">
      <c r="F79" s="258" t="s">
        <v>56</v>
      </c>
      <c r="G79" s="279" t="s">
        <v>57</v>
      </c>
      <c r="H79" s="204" t="s">
        <v>58</v>
      </c>
      <c r="I79" s="294">
        <v>365</v>
      </c>
      <c r="J79" s="305">
        <f>I79*G80</f>
        <v>4380</v>
      </c>
      <c r="K79" s="434"/>
      <c r="L79" s="258" t="s">
        <v>56</v>
      </c>
      <c r="M79" s="411" t="s">
        <v>59</v>
      </c>
      <c r="N79" s="204" t="s">
        <v>58</v>
      </c>
      <c r="O79" s="294">
        <v>365</v>
      </c>
      <c r="P79" s="305">
        <f>M80*O79</f>
        <v>5657.5</v>
      </c>
      <c r="Q79" s="156"/>
      <c r="R79" s="258" t="s">
        <v>56</v>
      </c>
      <c r="S79" s="242" t="s">
        <v>60</v>
      </c>
      <c r="T79" s="204" t="s">
        <v>58</v>
      </c>
      <c r="U79" s="294">
        <v>365</v>
      </c>
      <c r="V79" s="305">
        <f>S80*U79</f>
        <v>7300</v>
      </c>
      <c r="W79" s="156"/>
      <c r="X79" s="258" t="s">
        <v>56</v>
      </c>
      <c r="Y79" s="242" t="s">
        <v>61</v>
      </c>
      <c r="Z79" s="204" t="s">
        <v>58</v>
      </c>
      <c r="AA79" s="294">
        <v>365</v>
      </c>
      <c r="AB79" s="305">
        <f>Y80*AA79</f>
        <v>9125</v>
      </c>
      <c r="AC79" s="156"/>
      <c r="AD79" s="435"/>
      <c r="AE79" s="242"/>
      <c r="AF79" s="242"/>
      <c r="AG79" s="242"/>
      <c r="AH79" s="242"/>
    </row>
    <row r="80" spans="6:37" x14ac:dyDescent="0.2">
      <c r="F80" s="258"/>
      <c r="G80" s="242">
        <v>12</v>
      </c>
      <c r="H80" s="204"/>
      <c r="I80" s="294"/>
      <c r="J80" s="305"/>
      <c r="K80" s="434"/>
      <c r="L80" s="258"/>
      <c r="M80" s="242">
        <v>15.5</v>
      </c>
      <c r="N80" s="204"/>
      <c r="O80" s="294"/>
      <c r="P80" s="305"/>
      <c r="Q80" s="156"/>
      <c r="R80" s="258"/>
      <c r="S80" s="242">
        <v>20</v>
      </c>
      <c r="T80" s="204"/>
      <c r="U80" s="294"/>
      <c r="V80" s="305"/>
      <c r="W80" s="156"/>
      <c r="X80" s="258"/>
      <c r="Y80" s="242">
        <v>25</v>
      </c>
      <c r="Z80" s="204"/>
      <c r="AA80" s="294"/>
      <c r="AB80" s="305"/>
      <c r="AC80" s="156"/>
      <c r="AD80" s="435"/>
      <c r="AE80" s="242"/>
      <c r="AF80" s="242"/>
      <c r="AG80" s="242"/>
      <c r="AH80" s="242"/>
    </row>
    <row r="81" spans="6:37" x14ac:dyDescent="0.2">
      <c r="F81" s="258"/>
      <c r="G81" s="242"/>
      <c r="H81" s="414"/>
      <c r="I81" s="294"/>
      <c r="J81" s="305"/>
      <c r="K81" s="434"/>
      <c r="L81" s="258"/>
      <c r="M81" s="242"/>
      <c r="N81" s="204"/>
      <c r="O81" s="294"/>
      <c r="P81" s="305"/>
      <c r="Q81" s="156"/>
      <c r="R81" s="258"/>
      <c r="S81" s="242"/>
      <c r="T81" s="204"/>
      <c r="U81" s="294"/>
      <c r="V81" s="305"/>
      <c r="W81" s="156"/>
      <c r="X81" s="258"/>
      <c r="Y81" s="242"/>
      <c r="Z81" s="204"/>
      <c r="AA81" s="294"/>
      <c r="AB81" s="305"/>
      <c r="AC81" s="156"/>
      <c r="AD81" s="33"/>
      <c r="AE81" s="33"/>
      <c r="AF81" s="33"/>
      <c r="AG81" s="33"/>
      <c r="AH81" s="33"/>
    </row>
    <row r="82" spans="6:37" ht="25.5" x14ac:dyDescent="0.2">
      <c r="F82" s="378"/>
      <c r="G82" s="310" t="s">
        <v>65</v>
      </c>
      <c r="H82" s="293" t="s">
        <v>66</v>
      </c>
      <c r="I82" s="311" t="s">
        <v>67</v>
      </c>
      <c r="J82" s="312" t="s">
        <v>68</v>
      </c>
      <c r="K82" s="434"/>
      <c r="L82" s="378"/>
      <c r="M82" s="310" t="s">
        <v>65</v>
      </c>
      <c r="N82" s="293" t="s">
        <v>66</v>
      </c>
      <c r="O82" s="311" t="s">
        <v>67</v>
      </c>
      <c r="P82" s="312" t="s">
        <v>68</v>
      </c>
      <c r="Q82" s="156"/>
      <c r="R82" s="378"/>
      <c r="S82" s="310" t="s">
        <v>65</v>
      </c>
      <c r="T82" s="293" t="s">
        <v>66</v>
      </c>
      <c r="U82" s="311" t="s">
        <v>67</v>
      </c>
      <c r="V82" s="312" t="s">
        <v>68</v>
      </c>
      <c r="W82" s="156"/>
      <c r="X82" s="378"/>
      <c r="Y82" s="310" t="s">
        <v>65</v>
      </c>
      <c r="Z82" s="293" t="s">
        <v>66</v>
      </c>
      <c r="AA82" s="311" t="s">
        <v>67</v>
      </c>
      <c r="AB82" s="312" t="s">
        <v>68</v>
      </c>
      <c r="AC82" s="156"/>
      <c r="AD82" s="33"/>
      <c r="AE82" s="33"/>
      <c r="AF82" s="33"/>
      <c r="AG82" s="33"/>
      <c r="AH82" s="33"/>
    </row>
    <row r="83" spans="6:37" x14ac:dyDescent="0.2">
      <c r="F83" s="437" t="s">
        <v>352</v>
      </c>
      <c r="G83" s="314"/>
      <c r="H83" s="239">
        <f>$AF$5</f>
        <v>79415.232000000018</v>
      </c>
      <c r="I83" s="38">
        <f>AE12</f>
        <v>2.15</v>
      </c>
      <c r="J83" s="307">
        <f>H83*I83</f>
        <v>170742.74880000003</v>
      </c>
      <c r="K83" s="434"/>
      <c r="L83" s="437" t="s">
        <v>352</v>
      </c>
      <c r="M83" s="314"/>
      <c r="N83" s="239">
        <f>$AF$5</f>
        <v>79415.232000000018</v>
      </c>
      <c r="O83" s="38">
        <f>AF12</f>
        <v>2.15</v>
      </c>
      <c r="P83" s="307">
        <f>N83*O83</f>
        <v>170742.74880000003</v>
      </c>
      <c r="Q83" s="156"/>
      <c r="R83" s="437" t="s">
        <v>352</v>
      </c>
      <c r="S83" s="314"/>
      <c r="T83" s="239">
        <f>$AF$5</f>
        <v>79415.232000000018</v>
      </c>
      <c r="U83" s="38">
        <f>AG12</f>
        <v>2.15</v>
      </c>
      <c r="V83" s="307">
        <f>T83*U83</f>
        <v>170742.74880000003</v>
      </c>
      <c r="W83" s="156"/>
      <c r="X83" s="437" t="s">
        <v>352</v>
      </c>
      <c r="Y83" s="314"/>
      <c r="Z83" s="239">
        <f>$AF$5</f>
        <v>79415.232000000018</v>
      </c>
      <c r="AA83" s="38">
        <f>AH12</f>
        <v>2.15</v>
      </c>
      <c r="AB83" s="307">
        <f>Z83*AA83</f>
        <v>170742.74880000003</v>
      </c>
      <c r="AC83" s="156"/>
      <c r="AD83" s="33"/>
      <c r="AE83" s="33"/>
      <c r="AF83" s="33"/>
      <c r="AG83" s="33"/>
      <c r="AH83" s="33"/>
    </row>
    <row r="84" spans="6:37" ht="15" customHeight="1" x14ac:dyDescent="0.2">
      <c r="F84" s="437" t="str">
        <f>AD6</f>
        <v>Clinical Director</v>
      </c>
      <c r="G84" s="314"/>
      <c r="H84" s="239">
        <f>AF6</f>
        <v>101383.77600000001</v>
      </c>
      <c r="I84" s="38">
        <v>1</v>
      </c>
      <c r="J84" s="307">
        <f>H84*I84</f>
        <v>101383.77600000001</v>
      </c>
      <c r="K84" s="434"/>
      <c r="L84" s="437" t="str">
        <f>AD6</f>
        <v>Clinical Director</v>
      </c>
      <c r="M84" s="314"/>
      <c r="N84" s="239">
        <f>AF6</f>
        <v>101383.77600000001</v>
      </c>
      <c r="O84" s="38">
        <v>1</v>
      </c>
      <c r="P84" s="307">
        <f>N84*O84</f>
        <v>101383.77600000001</v>
      </c>
      <c r="Q84" s="156"/>
      <c r="R84" s="437" t="str">
        <f>AD6</f>
        <v>Clinical Director</v>
      </c>
      <c r="S84" s="314"/>
      <c r="T84" s="239">
        <f>AF6</f>
        <v>101383.77600000001</v>
      </c>
      <c r="U84" s="38">
        <v>1</v>
      </c>
      <c r="V84" s="307">
        <f>T84*U84</f>
        <v>101383.77600000001</v>
      </c>
      <c r="W84" s="156"/>
      <c r="X84" s="437" t="str">
        <f>AD6</f>
        <v>Clinical Director</v>
      </c>
      <c r="Y84" s="314"/>
      <c r="Z84" s="239">
        <f>AF6</f>
        <v>101383.77600000001</v>
      </c>
      <c r="AA84" s="38">
        <v>1.5</v>
      </c>
      <c r="AB84" s="307">
        <f>Z84*AA84</f>
        <v>152075.66400000002</v>
      </c>
      <c r="AC84" s="156"/>
      <c r="AD84" s="33"/>
      <c r="AE84" s="33"/>
      <c r="AF84" s="33"/>
      <c r="AG84" s="33"/>
      <c r="AH84" s="33"/>
    </row>
    <row r="85" spans="6:37" ht="15" customHeight="1" x14ac:dyDescent="0.2">
      <c r="F85" s="437" t="str">
        <f>AD7</f>
        <v>Clinical (LICSW)</v>
      </c>
      <c r="G85" s="314"/>
      <c r="H85" s="239">
        <f>AF7</f>
        <v>80606.448000000004</v>
      </c>
      <c r="I85" s="38">
        <v>2</v>
      </c>
      <c r="J85" s="307">
        <f>H85*I85</f>
        <v>161212.89600000001</v>
      </c>
      <c r="K85" s="434"/>
      <c r="L85" s="437" t="str">
        <f>AD7</f>
        <v>Clinical (LICSW)</v>
      </c>
      <c r="M85" s="314"/>
      <c r="N85" s="239">
        <f>AF7</f>
        <v>80606.448000000004</v>
      </c>
      <c r="O85" s="38">
        <v>2</v>
      </c>
      <c r="P85" s="307">
        <f>N85*O85</f>
        <v>161212.89600000001</v>
      </c>
      <c r="Q85" s="156"/>
      <c r="R85" s="437" t="str">
        <f>AD7</f>
        <v>Clinical (LICSW)</v>
      </c>
      <c r="S85" s="314"/>
      <c r="T85" s="239">
        <f>AF7</f>
        <v>80606.448000000004</v>
      </c>
      <c r="U85" s="38">
        <v>2</v>
      </c>
      <c r="V85" s="307">
        <f>T85*U85</f>
        <v>161212.89600000001</v>
      </c>
      <c r="W85" s="156"/>
      <c r="X85" s="437" t="str">
        <f>AD7</f>
        <v>Clinical (LICSW)</v>
      </c>
      <c r="Y85" s="314"/>
      <c r="Z85" s="239">
        <f>AF7</f>
        <v>80606.448000000004</v>
      </c>
      <c r="AA85" s="38">
        <v>2</v>
      </c>
      <c r="AB85" s="307">
        <f>Z85*AA85</f>
        <v>161212.89600000001</v>
      </c>
      <c r="AC85" s="156"/>
      <c r="AD85" s="33"/>
      <c r="AE85" s="33"/>
      <c r="AF85" s="33"/>
      <c r="AG85" s="33"/>
      <c r="AH85" s="33"/>
    </row>
    <row r="86" spans="6:37" ht="15" customHeight="1" x14ac:dyDescent="0.2">
      <c r="F86" s="438" t="s">
        <v>354</v>
      </c>
      <c r="G86" s="38">
        <v>0.57999999999999996</v>
      </c>
      <c r="H86" s="239">
        <f>AF8</f>
        <v>41600</v>
      </c>
      <c r="I86" s="38">
        <v>23.69</v>
      </c>
      <c r="J86" s="307">
        <f>H86*I86</f>
        <v>985504</v>
      </c>
      <c r="K86" s="434"/>
      <c r="L86" s="438" t="s">
        <v>354</v>
      </c>
      <c r="M86" s="38">
        <v>0.69</v>
      </c>
      <c r="N86" s="239">
        <f>AF8</f>
        <v>41600</v>
      </c>
      <c r="O86" s="38">
        <v>25.43</v>
      </c>
      <c r="P86" s="307">
        <f>N86*O86</f>
        <v>1057888</v>
      </c>
      <c r="Q86" s="156"/>
      <c r="R86" s="438" t="s">
        <v>354</v>
      </c>
      <c r="S86" s="38">
        <v>0.89</v>
      </c>
      <c r="T86" s="239">
        <f>AF8</f>
        <v>41600</v>
      </c>
      <c r="U86" s="38">
        <v>25.43</v>
      </c>
      <c r="V86" s="307">
        <f>T86*U86</f>
        <v>1057888</v>
      </c>
      <c r="W86" s="156"/>
      <c r="X86" s="438" t="s">
        <v>354</v>
      </c>
      <c r="Y86" s="38">
        <v>0.94</v>
      </c>
      <c r="Z86" s="239">
        <f>AF8</f>
        <v>41600</v>
      </c>
      <c r="AA86" s="38">
        <v>30.73</v>
      </c>
      <c r="AB86" s="307">
        <f>Z86*AA86</f>
        <v>1278368</v>
      </c>
      <c r="AC86" s="156"/>
      <c r="AD86" s="33"/>
      <c r="AE86" s="33"/>
      <c r="AF86" s="33"/>
      <c r="AG86" s="33"/>
      <c r="AH86" s="33"/>
    </row>
    <row r="87" spans="6:37" x14ac:dyDescent="0.2">
      <c r="F87" s="155"/>
      <c r="G87" s="38"/>
      <c r="H87" s="265"/>
      <c r="I87" s="265"/>
      <c r="J87" s="307"/>
      <c r="K87" s="434"/>
      <c r="L87" s="155"/>
      <c r="M87" s="38"/>
      <c r="N87" s="265"/>
      <c r="O87" s="265"/>
      <c r="P87" s="307"/>
      <c r="Q87" s="156"/>
      <c r="R87" s="155"/>
      <c r="S87" s="38"/>
      <c r="T87" s="265"/>
      <c r="U87" s="265"/>
      <c r="V87" s="307"/>
      <c r="W87" s="156"/>
      <c r="X87" s="155"/>
      <c r="Y87" s="38"/>
      <c r="Z87" s="265"/>
      <c r="AA87" s="265"/>
      <c r="AB87" s="307"/>
      <c r="AC87" s="156"/>
      <c r="AD87" s="294"/>
      <c r="AE87" s="294"/>
      <c r="AF87" s="33"/>
      <c r="AG87" s="33"/>
      <c r="AH87" s="33"/>
    </row>
    <row r="88" spans="6:37" x14ac:dyDescent="0.2">
      <c r="F88" s="589" t="s">
        <v>538</v>
      </c>
      <c r="G88" s="585"/>
      <c r="H88" s="586"/>
      <c r="I88" s="587">
        <f>SUM(I83:I86)</f>
        <v>28.840000000000003</v>
      </c>
      <c r="J88" s="588">
        <f>SUM(J83:J87)</f>
        <v>1418843.4208</v>
      </c>
      <c r="K88" s="434"/>
      <c r="L88" s="589" t="s">
        <v>538</v>
      </c>
      <c r="M88" s="585"/>
      <c r="N88" s="586"/>
      <c r="O88" s="587">
        <f>SUM(O83:O86)</f>
        <v>30.58</v>
      </c>
      <c r="P88" s="588">
        <f>SUM(P83:P87)</f>
        <v>1491227.4208</v>
      </c>
      <c r="Q88" s="156"/>
      <c r="R88" s="589" t="s">
        <v>538</v>
      </c>
      <c r="S88" s="585"/>
      <c r="T88" s="586"/>
      <c r="U88" s="587">
        <f>SUM(U83:U86)</f>
        <v>30.58</v>
      </c>
      <c r="V88" s="588">
        <f>SUM(V83:V87)</f>
        <v>1491227.4208</v>
      </c>
      <c r="W88" s="156"/>
      <c r="X88" s="589" t="s">
        <v>538</v>
      </c>
      <c r="Y88" s="585"/>
      <c r="Z88" s="586"/>
      <c r="AA88" s="587">
        <f>SUM(AA83:AA86)</f>
        <v>36.380000000000003</v>
      </c>
      <c r="AB88" s="588">
        <f>SUM(AB83:AB87)</f>
        <v>1762399.3088</v>
      </c>
      <c r="AC88" s="156"/>
      <c r="AD88" s="294"/>
      <c r="AE88" s="294"/>
      <c r="AF88" s="33"/>
      <c r="AG88" s="33"/>
      <c r="AH88" s="33"/>
    </row>
    <row r="89" spans="6:37" s="242" customFormat="1" ht="14.25" x14ac:dyDescent="0.2">
      <c r="F89" s="604" t="s">
        <v>80</v>
      </c>
      <c r="G89" s="38"/>
      <c r="H89" s="265"/>
      <c r="I89" s="265">
        <f>I52</f>
        <v>0.27379999999999999</v>
      </c>
      <c r="J89" s="307">
        <f>J88*I89</f>
        <v>388479.32861503999</v>
      </c>
      <c r="K89" s="434"/>
      <c r="L89" s="604" t="s">
        <v>80</v>
      </c>
      <c r="M89" s="38"/>
      <c r="N89" s="265"/>
      <c r="O89" s="265">
        <f>I89</f>
        <v>0.27379999999999999</v>
      </c>
      <c r="P89" s="307">
        <f>P88*O89</f>
        <v>408298.06781503995</v>
      </c>
      <c r="Q89" s="156"/>
      <c r="R89" s="604" t="s">
        <v>80</v>
      </c>
      <c r="S89" s="38"/>
      <c r="T89" s="265"/>
      <c r="U89" s="265">
        <f>O89</f>
        <v>0.27379999999999999</v>
      </c>
      <c r="V89" s="307">
        <f>V88*U89</f>
        <v>408298.06781503995</v>
      </c>
      <c r="W89" s="156"/>
      <c r="X89" s="604" t="s">
        <v>80</v>
      </c>
      <c r="Y89" s="38"/>
      <c r="Z89" s="265"/>
      <c r="AA89" s="265">
        <f>U89</f>
        <v>0.27379999999999999</v>
      </c>
      <c r="AB89" s="307">
        <f>AB88*AA89</f>
        <v>482544.93074943998</v>
      </c>
      <c r="AC89" s="156"/>
      <c r="AD89" s="328"/>
      <c r="AE89" s="328"/>
      <c r="AJ89" s="33"/>
      <c r="AK89" s="33"/>
    </row>
    <row r="90" spans="6:37" s="242" customFormat="1" ht="15.75" thickBot="1" x14ac:dyDescent="0.3">
      <c r="F90" s="590" t="s">
        <v>539</v>
      </c>
      <c r="G90" s="584"/>
      <c r="H90" s="584"/>
      <c r="I90" s="584"/>
      <c r="J90" s="605">
        <f>SUM(J88:J89)</f>
        <v>1807322.74941504</v>
      </c>
      <c r="K90" s="434"/>
      <c r="L90" s="590" t="s">
        <v>539</v>
      </c>
      <c r="M90" s="584"/>
      <c r="N90" s="584"/>
      <c r="O90" s="584"/>
      <c r="P90" s="605">
        <f>SUM(P88:P89)</f>
        <v>1899525.48861504</v>
      </c>
      <c r="Q90" s="156"/>
      <c r="R90" s="590" t="s">
        <v>539</v>
      </c>
      <c r="S90" s="584"/>
      <c r="T90" s="584"/>
      <c r="U90" s="584"/>
      <c r="V90" s="605">
        <f>SUM(V88:V89)</f>
        <v>1899525.48861504</v>
      </c>
      <c r="W90" s="156"/>
      <c r="X90" s="590" t="s">
        <v>539</v>
      </c>
      <c r="Y90" s="584"/>
      <c r="Z90" s="584"/>
      <c r="AA90" s="584"/>
      <c r="AB90" s="605">
        <f>SUM(AB88:AB89)</f>
        <v>2244944.2395494399</v>
      </c>
      <c r="AC90" s="156"/>
      <c r="AD90" s="334"/>
      <c r="AE90" s="208"/>
    </row>
    <row r="91" spans="6:37" s="309" customFormat="1" ht="15.75" thickTop="1" x14ac:dyDescent="0.25">
      <c r="F91" s="583"/>
      <c r="G91" s="242"/>
      <c r="H91" s="242"/>
      <c r="I91" s="242"/>
      <c r="J91" s="358"/>
      <c r="K91" s="242"/>
      <c r="L91" s="583"/>
      <c r="M91" s="242"/>
      <c r="N91" s="242"/>
      <c r="O91" s="242"/>
      <c r="P91" s="358"/>
      <c r="Q91" s="242"/>
      <c r="R91" s="583"/>
      <c r="S91" s="242"/>
      <c r="T91" s="242"/>
      <c r="U91" s="242"/>
      <c r="V91" s="358"/>
      <c r="W91" s="242"/>
      <c r="X91" s="583"/>
      <c r="Y91" s="242"/>
      <c r="Z91" s="242"/>
      <c r="AA91" s="242"/>
      <c r="AB91" s="358"/>
      <c r="AC91" s="156"/>
      <c r="AD91" s="208"/>
      <c r="AE91" s="208"/>
      <c r="AF91" s="33"/>
      <c r="AG91" s="33"/>
      <c r="AH91" s="33"/>
    </row>
    <row r="92" spans="6:37" s="309" customFormat="1" ht="15" x14ac:dyDescent="0.25">
      <c r="F92" s="583" t="s">
        <v>540</v>
      </c>
      <c r="G92" s="242"/>
      <c r="H92" s="195"/>
      <c r="I92" s="294" t="s">
        <v>78</v>
      </c>
      <c r="J92" s="336"/>
      <c r="K92" s="242"/>
      <c r="L92" s="583" t="s">
        <v>540</v>
      </c>
      <c r="M92" s="242"/>
      <c r="N92" s="195"/>
      <c r="O92" s="294" t="s">
        <v>78</v>
      </c>
      <c r="P92" s="336"/>
      <c r="Q92" s="242"/>
      <c r="R92" s="583" t="s">
        <v>540</v>
      </c>
      <c r="S92" s="242"/>
      <c r="T92" s="195"/>
      <c r="U92" s="294" t="s">
        <v>78</v>
      </c>
      <c r="V92" s="336"/>
      <c r="W92" s="242"/>
      <c r="X92" s="583" t="s">
        <v>540</v>
      </c>
      <c r="Y92" s="242"/>
      <c r="Z92" s="195"/>
      <c r="AA92" s="294" t="s">
        <v>78</v>
      </c>
      <c r="AB92" s="336"/>
      <c r="AC92" s="156"/>
      <c r="AD92" s="208"/>
      <c r="AE92" s="208"/>
      <c r="AF92" s="33"/>
      <c r="AG92" s="33"/>
      <c r="AH92" s="33"/>
    </row>
    <row r="93" spans="6:37" s="242" customFormat="1" x14ac:dyDescent="0.2">
      <c r="F93" s="241" t="s">
        <v>82</v>
      </c>
      <c r="G93" s="33"/>
      <c r="H93" s="239"/>
      <c r="I93" s="248"/>
      <c r="J93" s="307">
        <v>25000</v>
      </c>
      <c r="K93" s="434"/>
      <c r="L93" s="241" t="s">
        <v>82</v>
      </c>
      <c r="M93" s="33"/>
      <c r="N93" s="239"/>
      <c r="O93" s="248"/>
      <c r="P93" s="307">
        <v>25000</v>
      </c>
      <c r="Q93" s="156"/>
      <c r="R93" s="241" t="s">
        <v>82</v>
      </c>
      <c r="S93" s="33"/>
      <c r="T93" s="239"/>
      <c r="U93" s="248"/>
      <c r="V93" s="307">
        <v>30000</v>
      </c>
      <c r="W93" s="156"/>
      <c r="X93" s="241" t="s">
        <v>82</v>
      </c>
      <c r="Y93" s="33"/>
      <c r="Z93" s="239"/>
      <c r="AA93" s="248"/>
      <c r="AB93" s="307">
        <v>30000</v>
      </c>
      <c r="AC93" s="156"/>
      <c r="AD93" s="334"/>
      <c r="AE93" s="334"/>
      <c r="AF93" s="363"/>
      <c r="AG93" s="363"/>
      <c r="AH93" s="363"/>
    </row>
    <row r="94" spans="6:37" s="242" customFormat="1" x14ac:dyDescent="0.2">
      <c r="F94" s="241" t="s">
        <v>83</v>
      </c>
      <c r="G94" s="33"/>
      <c r="H94" s="239"/>
      <c r="I94" s="38">
        <f>$AE$25</f>
        <v>7.3322564329156208</v>
      </c>
      <c r="J94" s="307">
        <f>I94*J$79</f>
        <v>32115.283176170418</v>
      </c>
      <c r="K94" s="434"/>
      <c r="L94" s="241" t="s">
        <v>83</v>
      </c>
      <c r="M94" s="33"/>
      <c r="N94" s="239"/>
      <c r="O94" s="38">
        <f>$AE$25</f>
        <v>7.3322564329156208</v>
      </c>
      <c r="P94" s="307">
        <f>O94*P$79</f>
        <v>41482.240769220123</v>
      </c>
      <c r="Q94" s="156"/>
      <c r="R94" s="241" t="s">
        <v>83</v>
      </c>
      <c r="S94" s="33"/>
      <c r="T94" s="239"/>
      <c r="U94" s="38">
        <f>$AE$25</f>
        <v>7.3322564329156208</v>
      </c>
      <c r="V94" s="307">
        <f>U94*V$79</f>
        <v>53525.471960284034</v>
      </c>
      <c r="W94" s="156"/>
      <c r="X94" s="241" t="s">
        <v>83</v>
      </c>
      <c r="Y94" s="33"/>
      <c r="Z94" s="239"/>
      <c r="AA94" s="38">
        <f>$AE$25</f>
        <v>7.3322564329156208</v>
      </c>
      <c r="AB94" s="307">
        <f>AA94*AB$79</f>
        <v>66906.839950355046</v>
      </c>
      <c r="AC94" s="156"/>
      <c r="AD94" s="334"/>
      <c r="AE94" s="334"/>
      <c r="AF94" s="363"/>
      <c r="AG94" s="363"/>
      <c r="AH94" s="363"/>
    </row>
    <row r="95" spans="6:37" s="239" customFormat="1" x14ac:dyDescent="0.2">
      <c r="F95" s="241" t="s">
        <v>86</v>
      </c>
      <c r="G95" s="33"/>
      <c r="I95" s="38">
        <f>$AE$26</f>
        <v>15.901681537562935</v>
      </c>
      <c r="J95" s="307">
        <f>I95*J$79</f>
        <v>69649.365134525651</v>
      </c>
      <c r="K95" s="434"/>
      <c r="L95" s="241" t="s">
        <v>86</v>
      </c>
      <c r="M95" s="33"/>
      <c r="O95" s="38">
        <f>$AE$26</f>
        <v>15.901681537562935</v>
      </c>
      <c r="P95" s="307">
        <f>O95*P$79</f>
        <v>89963.763298762307</v>
      </c>
      <c r="Q95" s="156"/>
      <c r="R95" s="241" t="s">
        <v>86</v>
      </c>
      <c r="S95" s="33"/>
      <c r="U95" s="38">
        <f>$AE$26</f>
        <v>15.901681537562935</v>
      </c>
      <c r="V95" s="307">
        <f>U95*V$79</f>
        <v>116082.27522420943</v>
      </c>
      <c r="W95" s="156"/>
      <c r="X95" s="241" t="s">
        <v>86</v>
      </c>
      <c r="Y95" s="33"/>
      <c r="AA95" s="38">
        <f>$AE$26</f>
        <v>15.901681537562935</v>
      </c>
      <c r="AB95" s="307">
        <f>AA95*AB$79</f>
        <v>145102.84403026177</v>
      </c>
      <c r="AC95" s="156"/>
      <c r="AD95" s="208"/>
      <c r="AE95" s="208"/>
      <c r="AF95" s="33"/>
      <c r="AG95" s="33"/>
      <c r="AH95" s="33"/>
      <c r="AJ95" s="242"/>
      <c r="AK95" s="242"/>
    </row>
    <row r="96" spans="6:37" ht="15.75" thickBot="1" x14ac:dyDescent="0.3">
      <c r="F96" s="1045" t="s">
        <v>541</v>
      </c>
      <c r="G96" s="1025"/>
      <c r="H96" s="592"/>
      <c r="I96" s="593"/>
      <c r="J96" s="594">
        <f>SUM(J93:J95)</f>
        <v>126764.64831069607</v>
      </c>
      <c r="K96" s="195"/>
      <c r="L96" s="1046" t="s">
        <v>541</v>
      </c>
      <c r="M96" s="1025"/>
      <c r="N96" s="592"/>
      <c r="O96" s="593"/>
      <c r="P96" s="594">
        <f>SUM(P93:P95)</f>
        <v>156446.00406798243</v>
      </c>
      <c r="R96" s="1046" t="s">
        <v>541</v>
      </c>
      <c r="S96" s="1025"/>
      <c r="T96" s="592"/>
      <c r="U96" s="593"/>
      <c r="V96" s="594">
        <f>SUM(V93:V95)</f>
        <v>199607.74718449346</v>
      </c>
      <c r="W96" s="195"/>
      <c r="X96" s="1046" t="s">
        <v>541</v>
      </c>
      <c r="Y96" s="1025"/>
      <c r="Z96" s="592"/>
      <c r="AA96" s="593"/>
      <c r="AB96" s="594">
        <f>SUM(AB93:AB95)</f>
        <v>242009.6839806168</v>
      </c>
      <c r="AD96" s="33"/>
      <c r="AE96" s="346"/>
      <c r="AF96" s="571"/>
      <c r="AG96" s="33"/>
      <c r="AH96" s="33"/>
      <c r="AK96" s="324"/>
    </row>
    <row r="97" spans="6:37" s="239" customFormat="1" ht="13.5" thickTop="1" x14ac:dyDescent="0.2">
      <c r="F97" s="241"/>
      <c r="G97" s="33"/>
      <c r="I97" s="38"/>
      <c r="J97" s="307"/>
      <c r="K97" s="434"/>
      <c r="L97" s="241"/>
      <c r="M97" s="33"/>
      <c r="O97" s="38"/>
      <c r="P97" s="307"/>
      <c r="Q97" s="156"/>
      <c r="R97" s="241"/>
      <c r="S97" s="33"/>
      <c r="U97" s="38"/>
      <c r="V97" s="307"/>
      <c r="W97" s="156"/>
      <c r="X97" s="241"/>
      <c r="Y97" s="33"/>
      <c r="AA97" s="38"/>
      <c r="AB97" s="307"/>
      <c r="AC97" s="156"/>
      <c r="AD97" s="208"/>
      <c r="AE97" s="208"/>
      <c r="AF97" s="33"/>
      <c r="AG97" s="33"/>
      <c r="AH97" s="33"/>
      <c r="AJ97" s="242"/>
      <c r="AK97" s="242"/>
    </row>
    <row r="98" spans="6:37" s="239" customFormat="1" ht="15" x14ac:dyDescent="0.25">
      <c r="F98" s="1044" t="s">
        <v>357</v>
      </c>
      <c r="G98" s="1027"/>
      <c r="H98" s="422"/>
      <c r="I98" s="423"/>
      <c r="J98" s="424">
        <f>J90+J96</f>
        <v>1934087.397725736</v>
      </c>
      <c r="K98" s="434"/>
      <c r="L98" s="1044" t="s">
        <v>357</v>
      </c>
      <c r="M98" s="1027"/>
      <c r="N98" s="422"/>
      <c r="O98" s="423"/>
      <c r="P98" s="424">
        <f>P90+P96</f>
        <v>2055971.4926830223</v>
      </c>
      <c r="Q98" s="156"/>
      <c r="R98" s="1044" t="s">
        <v>357</v>
      </c>
      <c r="S98" s="1027"/>
      <c r="T98" s="422"/>
      <c r="U98" s="423"/>
      <c r="V98" s="424">
        <f>V90+V96</f>
        <v>2099133.2357995333</v>
      </c>
      <c r="W98" s="156"/>
      <c r="X98" s="1044" t="s">
        <v>357</v>
      </c>
      <c r="Y98" s="1027"/>
      <c r="Z98" s="422"/>
      <c r="AA98" s="423"/>
      <c r="AB98" s="424">
        <f>AB90+AB96</f>
        <v>2486953.9235300566</v>
      </c>
      <c r="AC98" s="156"/>
      <c r="AD98" s="353"/>
      <c r="AE98" s="353"/>
      <c r="AF98" s="33"/>
      <c r="AG98" s="33"/>
      <c r="AH98" s="33"/>
    </row>
    <row r="99" spans="6:37" s="239" customFormat="1" x14ac:dyDescent="0.2">
      <c r="F99" s="241" t="s">
        <v>89</v>
      </c>
      <c r="G99" s="33"/>
      <c r="H99" s="346">
        <f>'[21]Salary Bench Chart'!C33</f>
        <v>0.12</v>
      </c>
      <c r="I99" s="38"/>
      <c r="J99" s="307">
        <f>J98*H99</f>
        <v>232090.4877270883</v>
      </c>
      <c r="K99" s="434"/>
      <c r="L99" s="241" t="s">
        <v>89</v>
      </c>
      <c r="M99" s="33"/>
      <c r="N99" s="346">
        <f>'[21]Salary Bench Chart'!C33</f>
        <v>0.12</v>
      </c>
      <c r="O99" s="38"/>
      <c r="P99" s="307">
        <f>P98*N99</f>
        <v>246716.57912196266</v>
      </c>
      <c r="Q99" s="156"/>
      <c r="R99" s="241" t="s">
        <v>89</v>
      </c>
      <c r="S99" s="33"/>
      <c r="T99" s="346">
        <f>'[21]Salary Bench Chart'!C33</f>
        <v>0.12</v>
      </c>
      <c r="U99" s="38"/>
      <c r="V99" s="307">
        <f>V98*T99</f>
        <v>251895.988295944</v>
      </c>
      <c r="W99" s="156"/>
      <c r="X99" s="241" t="s">
        <v>89</v>
      </c>
      <c r="Y99" s="33"/>
      <c r="Z99" s="346">
        <f>'[21]Salary Bench Chart'!C33</f>
        <v>0.12</v>
      </c>
      <c r="AA99" s="38"/>
      <c r="AB99" s="307">
        <f>AB98*Z99</f>
        <v>298434.47082360677</v>
      </c>
      <c r="AC99" s="156"/>
      <c r="AD99" s="328"/>
      <c r="AE99" s="328"/>
      <c r="AF99" s="33"/>
      <c r="AG99" s="33"/>
      <c r="AH99" s="33"/>
    </row>
    <row r="100" spans="6:37" s="309" customFormat="1" x14ac:dyDescent="0.2">
      <c r="F100" s="241" t="s">
        <v>46</v>
      </c>
      <c r="G100" s="33"/>
      <c r="H100" s="346">
        <f>AE28</f>
        <v>2.7100379121522307E-2</v>
      </c>
      <c r="I100" s="38"/>
      <c r="J100" s="307">
        <f>H100*(J98+J99)</f>
        <v>58704.241940429056</v>
      </c>
      <c r="K100" s="434"/>
      <c r="L100" s="241" t="s">
        <v>46</v>
      </c>
      <c r="M100" s="33"/>
      <c r="N100" s="346">
        <f>H100</f>
        <v>2.7100379121522307E-2</v>
      </c>
      <c r="O100" s="38"/>
      <c r="P100" s="307">
        <f>N100*(P98+P99)</f>
        <v>62403.71974452227</v>
      </c>
      <c r="Q100" s="156"/>
      <c r="R100" s="241" t="s">
        <v>46</v>
      </c>
      <c r="S100" s="33"/>
      <c r="T100" s="346">
        <f>N100</f>
        <v>2.7100379121522307E-2</v>
      </c>
      <c r="U100" s="38"/>
      <c r="V100" s="307">
        <f>T100*(V98+V99)</f>
        <v>63713.783298765862</v>
      </c>
      <c r="W100" s="156"/>
      <c r="X100" s="241" t="s">
        <v>46</v>
      </c>
      <c r="Y100" s="33"/>
      <c r="Z100" s="346">
        <f>T100</f>
        <v>2.7100379121522307E-2</v>
      </c>
      <c r="AA100" s="38"/>
      <c r="AB100" s="307">
        <f>Z100*(AB98+AB99)</f>
        <v>75485.081487672564</v>
      </c>
      <c r="AC100" s="156"/>
      <c r="AD100" s="334"/>
      <c r="AE100" s="334"/>
      <c r="AF100" s="33"/>
      <c r="AG100" s="33"/>
      <c r="AH100" s="33"/>
      <c r="AJ100" s="239"/>
      <c r="AK100" s="239"/>
    </row>
    <row r="101" spans="6:37" s="309" customFormat="1" ht="13.5" thickBot="1" x14ac:dyDescent="0.25">
      <c r="F101" s="348" t="s">
        <v>91</v>
      </c>
      <c r="G101" s="349"/>
      <c r="H101" s="350"/>
      <c r="I101" s="351"/>
      <c r="J101" s="352">
        <f>ROUND(SUM(J98:J100),2)</f>
        <v>2224882.13</v>
      </c>
      <c r="K101" s="434"/>
      <c r="L101" s="348" t="s">
        <v>91</v>
      </c>
      <c r="M101" s="349"/>
      <c r="N101" s="350"/>
      <c r="O101" s="351"/>
      <c r="P101" s="352">
        <f>ROUND(SUM(P98:P100),2)</f>
        <v>2365091.79</v>
      </c>
      <c r="Q101" s="156"/>
      <c r="R101" s="348" t="s">
        <v>91</v>
      </c>
      <c r="S101" s="349"/>
      <c r="T101" s="350"/>
      <c r="U101" s="351"/>
      <c r="V101" s="352">
        <f>ROUND(SUM(V98:V100),2)</f>
        <v>2414743.0099999998</v>
      </c>
      <c r="W101" s="156"/>
      <c r="X101" s="348" t="s">
        <v>91</v>
      </c>
      <c r="Y101" s="349"/>
      <c r="Z101" s="350"/>
      <c r="AA101" s="351"/>
      <c r="AB101" s="352">
        <f>ROUND(SUM(AB98:AB100),2)</f>
        <v>2860873.48</v>
      </c>
      <c r="AC101" s="239"/>
      <c r="AD101" s="33"/>
      <c r="AE101" s="33"/>
      <c r="AF101" s="33"/>
      <c r="AG101" s="33"/>
      <c r="AH101" s="33"/>
    </row>
    <row r="102" spans="6:37" s="242" customFormat="1" ht="14.25" thickTop="1" thickBot="1" x14ac:dyDescent="0.25">
      <c r="F102" s="355" t="s">
        <v>93</v>
      </c>
      <c r="G102" s="324"/>
      <c r="H102" s="324"/>
      <c r="I102" s="324"/>
      <c r="J102" s="602">
        <f>J101/J79</f>
        <v>507.96395662100451</v>
      </c>
      <c r="K102" s="426"/>
      <c r="L102" s="355" t="s">
        <v>93</v>
      </c>
      <c r="M102" s="324"/>
      <c r="N102" s="324"/>
      <c r="O102" s="324"/>
      <c r="P102" s="602">
        <f>P101/P79</f>
        <v>418.04538930623067</v>
      </c>
      <c r="Q102" s="426"/>
      <c r="R102" s="355" t="s">
        <v>93</v>
      </c>
      <c r="S102" s="324"/>
      <c r="T102" s="324"/>
      <c r="U102" s="324"/>
      <c r="V102" s="602">
        <f>V101/V79</f>
        <v>330.78671369863008</v>
      </c>
      <c r="W102" s="426"/>
      <c r="X102" s="355" t="s">
        <v>93</v>
      </c>
      <c r="Y102" s="324"/>
      <c r="Z102" s="324"/>
      <c r="AA102" s="324"/>
      <c r="AB102" s="602">
        <f>AB101/AB79</f>
        <v>313.520381369863</v>
      </c>
      <c r="AC102" s="156"/>
      <c r="AD102" s="33"/>
      <c r="AE102" s="33"/>
      <c r="AF102" s="33"/>
      <c r="AG102" s="33"/>
      <c r="AH102" s="33"/>
      <c r="AJ102" s="239"/>
      <c r="AK102" s="239"/>
    </row>
    <row r="103" spans="6:37" s="242" customFormat="1" ht="13.5" thickBot="1" x14ac:dyDescent="0.25">
      <c r="F103" s="359" t="s">
        <v>95</v>
      </c>
      <c r="G103" s="295"/>
      <c r="H103" s="360">
        <v>0.9</v>
      </c>
      <c r="I103" s="361"/>
      <c r="J103" s="362">
        <f>J$101*(H100+1)/(J$79*H103)</f>
        <v>579.69996936166922</v>
      </c>
      <c r="K103" s="426"/>
      <c r="L103" s="359" t="s">
        <v>95</v>
      </c>
      <c r="M103" s="295"/>
      <c r="N103" s="360">
        <v>0.9</v>
      </c>
      <c r="O103" s="361"/>
      <c r="P103" s="362">
        <f>P$101*(N100+1)/(P$79*N103)</f>
        <v>477.08286427381546</v>
      </c>
      <c r="Q103" s="426"/>
      <c r="R103" s="359" t="s">
        <v>95</v>
      </c>
      <c r="S103" s="295"/>
      <c r="T103" s="360">
        <v>0.9</v>
      </c>
      <c r="U103" s="361"/>
      <c r="V103" s="362">
        <f>V$101*(T100+1)/(V$79*T103)</f>
        <v>377.50128783136159</v>
      </c>
      <c r="W103" s="426"/>
      <c r="X103" s="359" t="s">
        <v>95</v>
      </c>
      <c r="Y103" s="295"/>
      <c r="Z103" s="360">
        <v>0.9</v>
      </c>
      <c r="AA103" s="361"/>
      <c r="AB103" s="362">
        <f>AB$101*(Z100+1)/(AB$79*Z103)</f>
        <v>357.79655840812285</v>
      </c>
      <c r="AC103" s="156"/>
      <c r="AD103" s="33"/>
      <c r="AE103" s="33"/>
      <c r="AF103" s="33"/>
      <c r="AG103" s="33"/>
      <c r="AH103" s="33"/>
    </row>
    <row r="104" spans="6:37" ht="13.5" thickBot="1" x14ac:dyDescent="0.25">
      <c r="F104" s="355"/>
      <c r="H104" s="364">
        <v>0.85</v>
      </c>
      <c r="I104" s="239"/>
      <c r="J104" s="362">
        <f>J$101*(H100+1)/(J$79*H104)</f>
        <v>613.79996755941443</v>
      </c>
      <c r="K104" s="426"/>
      <c r="L104" s="355"/>
      <c r="N104" s="364">
        <v>0.85</v>
      </c>
      <c r="O104" s="239"/>
      <c r="P104" s="362">
        <f>P$101*(N100+1)/(P$79*N104)</f>
        <v>505.1465621722752</v>
      </c>
      <c r="Q104" s="426"/>
      <c r="R104" s="355"/>
      <c r="S104" s="33"/>
      <c r="T104" s="364">
        <v>0.85</v>
      </c>
      <c r="V104" s="362">
        <f>V$101*(T100+1)/(V$79*T104)</f>
        <v>399.70724593908875</v>
      </c>
      <c r="W104" s="426"/>
      <c r="X104" s="355"/>
      <c r="Y104" s="33"/>
      <c r="Z104" s="364">
        <v>0.85</v>
      </c>
      <c r="AB104" s="362">
        <f>AB$101*(Z100+1)/(AB$79*Z104)</f>
        <v>378.84341478507122</v>
      </c>
      <c r="AC104" s="156"/>
      <c r="AD104" s="33"/>
      <c r="AE104" s="33"/>
      <c r="AF104" s="33"/>
      <c r="AG104" s="33"/>
      <c r="AH104" s="33"/>
      <c r="AJ104" s="242"/>
      <c r="AK104" s="242"/>
    </row>
    <row r="105" spans="6:37" ht="13.5" thickBot="1" x14ac:dyDescent="0.25">
      <c r="F105" s="355"/>
      <c r="H105" s="364">
        <v>0.8</v>
      </c>
      <c r="I105" s="239"/>
      <c r="J105" s="362">
        <f>J$101*(H100+1)/(J$79*H105)</f>
        <v>652.16246553187784</v>
      </c>
      <c r="K105" s="426"/>
      <c r="L105" s="355"/>
      <c r="N105" s="364">
        <v>0.8</v>
      </c>
      <c r="O105" s="239"/>
      <c r="P105" s="362">
        <f>P$101*(N100+1)/(P$79*N105)</f>
        <v>536.71822230804241</v>
      </c>
      <c r="Q105" s="426"/>
      <c r="R105" s="355"/>
      <c r="S105" s="33"/>
      <c r="T105" s="364">
        <v>0.8</v>
      </c>
      <c r="V105" s="362">
        <f>V$101*(T100+1)/(V$79*T105)</f>
        <v>424.68894881028177</v>
      </c>
      <c r="W105" s="426"/>
      <c r="X105" s="355"/>
      <c r="Y105" s="33"/>
      <c r="Z105" s="364">
        <v>0.8</v>
      </c>
      <c r="AB105" s="362">
        <f>AB$101*(Z100+1)/(AB$79*Z105)</f>
        <v>402.52112820913817</v>
      </c>
      <c r="AC105" s="156"/>
      <c r="AD105" s="33"/>
      <c r="AE105" s="33"/>
      <c r="AF105" s="33"/>
      <c r="AG105" s="33"/>
      <c r="AH105" s="33"/>
    </row>
    <row r="106" spans="6:37" ht="13.5" thickBot="1" x14ac:dyDescent="0.25">
      <c r="F106" s="355"/>
      <c r="H106" s="364">
        <v>0.75</v>
      </c>
      <c r="I106" s="239"/>
      <c r="J106" s="362">
        <f>J$101*(H100+1)/(J$79*H106)</f>
        <v>695.63996323400306</v>
      </c>
      <c r="K106" s="426"/>
      <c r="L106" s="355"/>
      <c r="N106" s="364">
        <v>0.75</v>
      </c>
      <c r="O106" s="239"/>
      <c r="P106" s="362">
        <f>P$101*(N100+1)/(P$79*N106)</f>
        <v>572.49943712857851</v>
      </c>
      <c r="Q106" s="426"/>
      <c r="R106" s="355"/>
      <c r="S106" s="33"/>
      <c r="T106" s="364">
        <v>0.75</v>
      </c>
      <c r="V106" s="362">
        <f>V$101*(T100+1)/(V$79*T106)</f>
        <v>453.00154539763389</v>
      </c>
      <c r="W106" s="426"/>
      <c r="X106" s="355"/>
      <c r="Y106" s="33"/>
      <c r="Z106" s="364">
        <v>0.75</v>
      </c>
      <c r="AB106" s="362">
        <f>AB$101*(Z100+1)/(AB$79*Z106)</f>
        <v>429.35587008974738</v>
      </c>
      <c r="AC106" s="156"/>
      <c r="AD106" s="33"/>
      <c r="AE106" s="33"/>
      <c r="AF106" s="33"/>
      <c r="AG106" s="33"/>
      <c r="AH106" s="33"/>
    </row>
    <row r="107" spans="6:37" ht="13.5" thickBot="1" x14ac:dyDescent="0.25">
      <c r="F107" s="355"/>
      <c r="H107" s="364">
        <v>0.7</v>
      </c>
      <c r="I107" s="239"/>
      <c r="J107" s="362">
        <f>J$101*(H100+1)/(J$79*H107)</f>
        <v>745.32853203643185</v>
      </c>
      <c r="K107" s="426"/>
      <c r="L107" s="355"/>
      <c r="N107" s="364">
        <v>0.7</v>
      </c>
      <c r="O107" s="239"/>
      <c r="P107" s="362">
        <f>P$101*(N100+1)/(P$79*N107)</f>
        <v>613.3922540663342</v>
      </c>
      <c r="Q107" s="426"/>
      <c r="R107" s="355"/>
      <c r="S107" s="33"/>
      <c r="T107" s="364">
        <v>0.7</v>
      </c>
      <c r="V107" s="362">
        <f>V$101*(T100+1)/(V$79*T107)</f>
        <v>485.35879864032205</v>
      </c>
      <c r="W107" s="426"/>
      <c r="X107" s="355"/>
      <c r="Y107" s="33"/>
      <c r="Z107" s="364">
        <v>0.7</v>
      </c>
      <c r="AB107" s="362">
        <f>AB$101*(Z100+1)/(AB$79*Z107)</f>
        <v>460.02414652472936</v>
      </c>
      <c r="AC107" s="156"/>
      <c r="AD107" s="38"/>
      <c r="AE107" s="33"/>
      <c r="AF107" s="242"/>
      <c r="AG107" s="242"/>
      <c r="AH107" s="242"/>
    </row>
    <row r="108" spans="6:37" ht="13.5" thickBot="1" x14ac:dyDescent="0.25">
      <c r="F108" s="355"/>
      <c r="H108" s="364">
        <v>0.65</v>
      </c>
      <c r="I108" s="239"/>
      <c r="J108" s="362">
        <f>J$101*(H100+1)/(J$79*H108)</f>
        <v>802.66149603923429</v>
      </c>
      <c r="K108" s="426"/>
      <c r="L108" s="355"/>
      <c r="N108" s="364">
        <v>0.65</v>
      </c>
      <c r="O108" s="239"/>
      <c r="P108" s="362">
        <f>P$101*(N100+1)/(P$79*N108)</f>
        <v>660.57627360989829</v>
      </c>
      <c r="Q108" s="426"/>
      <c r="R108" s="355"/>
      <c r="S108" s="33"/>
      <c r="T108" s="364">
        <v>0.65</v>
      </c>
      <c r="V108" s="362">
        <f>V$101*(T100+1)/(V$79*T108)</f>
        <v>522.69409084342374</v>
      </c>
      <c r="W108" s="426"/>
      <c r="X108" s="355"/>
      <c r="Y108" s="33"/>
      <c r="Z108" s="364">
        <v>0.65</v>
      </c>
      <c r="AB108" s="362">
        <f>AB$101*(Z100+1)/(AB$79*Z108)</f>
        <v>495.41061933432388</v>
      </c>
      <c r="AC108" s="156"/>
      <c r="AD108" s="353"/>
      <c r="AE108" s="33"/>
      <c r="AF108" s="33"/>
      <c r="AG108" s="33"/>
      <c r="AH108" s="33"/>
    </row>
    <row r="109" spans="6:37" ht="13.5" thickBot="1" x14ac:dyDescent="0.25">
      <c r="F109" s="355"/>
      <c r="H109" s="364">
        <v>0.6</v>
      </c>
      <c r="I109" s="239"/>
      <c r="J109" s="362">
        <f>J$101*(H100+1)/(J$79*H109)</f>
        <v>869.54995404250383</v>
      </c>
      <c r="K109" s="426"/>
      <c r="L109" s="355"/>
      <c r="N109" s="364">
        <v>0.6</v>
      </c>
      <c r="O109" s="239"/>
      <c r="P109" s="362">
        <f>P$101*(N100+1)/(P$79*N109)</f>
        <v>715.6242964107231</v>
      </c>
      <c r="Q109" s="426"/>
      <c r="R109" s="355"/>
      <c r="S109" s="33"/>
      <c r="T109" s="364">
        <v>0.6</v>
      </c>
      <c r="V109" s="362">
        <f>V$101*(T100+1)/(V$79*T109)</f>
        <v>566.25193174704236</v>
      </c>
      <c r="W109" s="426"/>
      <c r="X109" s="355"/>
      <c r="Y109" s="33"/>
      <c r="Z109" s="364">
        <v>0.6</v>
      </c>
      <c r="AB109" s="362">
        <f>AB$101*(Z100+1)/(AB$79*Z109)</f>
        <v>536.69483761218419</v>
      </c>
      <c r="AC109" s="156"/>
      <c r="AE109" s="248"/>
      <c r="AG109" s="33"/>
      <c r="AH109" s="33"/>
    </row>
    <row r="110" spans="6:37" ht="13.5" thickBot="1" x14ac:dyDescent="0.25">
      <c r="F110" s="355"/>
      <c r="H110" s="364">
        <v>0.55000000000000004</v>
      </c>
      <c r="I110" s="239"/>
      <c r="J110" s="362">
        <f>J$101*(H100+1)/(J$79*H110)</f>
        <v>948.59994986454967</v>
      </c>
      <c r="K110" s="426"/>
      <c r="L110" s="355"/>
      <c r="N110" s="364">
        <v>0.55000000000000004</v>
      </c>
      <c r="O110" s="239"/>
      <c r="P110" s="362">
        <f>P$101*(N100+1)/(P$79*N110)</f>
        <v>780.68105062987968</v>
      </c>
      <c r="Q110" s="426"/>
      <c r="R110" s="355"/>
      <c r="S110" s="33"/>
      <c r="T110" s="364">
        <v>0.55000000000000004</v>
      </c>
      <c r="V110" s="362">
        <f>V$101*(T100+1)/(V$79*T110)</f>
        <v>617.72938008768256</v>
      </c>
      <c r="W110" s="426"/>
      <c r="X110" s="355"/>
      <c r="Y110" s="33"/>
      <c r="Z110" s="364">
        <v>0.55000000000000004</v>
      </c>
      <c r="AB110" s="362">
        <f>AB$101*(Z100+1)/(AB$79*Z110)</f>
        <v>585.48527739511007</v>
      </c>
      <c r="AC110" s="156"/>
      <c r="AE110" s="33"/>
      <c r="AF110" s="33"/>
      <c r="AG110" s="33"/>
      <c r="AH110" s="33"/>
    </row>
    <row r="111" spans="6:37" s="242" customFormat="1" ht="15" customHeight="1" thickBot="1" x14ac:dyDescent="0.25">
      <c r="F111" s="373"/>
      <c r="G111" s="36"/>
      <c r="H111" s="374">
        <v>0.5</v>
      </c>
      <c r="I111" s="375"/>
      <c r="J111" s="376">
        <f>J$101*(H100+1)/(J$79*H111)</f>
        <v>1043.4599448510046</v>
      </c>
      <c r="K111" s="426"/>
      <c r="L111" s="373"/>
      <c r="M111" s="36"/>
      <c r="N111" s="374">
        <v>0.5</v>
      </c>
      <c r="O111" s="375"/>
      <c r="P111" s="376">
        <f>P$101*(N100+1)/(P$79*N111)</f>
        <v>858.74915569286782</v>
      </c>
      <c r="Q111" s="426"/>
      <c r="R111" s="373"/>
      <c r="S111" s="36"/>
      <c r="T111" s="374">
        <v>0.5</v>
      </c>
      <c r="U111" s="375"/>
      <c r="V111" s="376">
        <f>V$101*(T100+1)/(V$79*T111)</f>
        <v>679.50231809645084</v>
      </c>
      <c r="W111" s="426"/>
      <c r="X111" s="373"/>
      <c r="Y111" s="36"/>
      <c r="Z111" s="374">
        <v>0.5</v>
      </c>
      <c r="AA111" s="375"/>
      <c r="AB111" s="376">
        <f>AB$101*(Z100+1)/(AB$79*Z111)</f>
        <v>644.03380513462105</v>
      </c>
      <c r="AC111" s="156"/>
      <c r="AJ111" s="33"/>
      <c r="AK111" s="33"/>
    </row>
    <row r="112" spans="6:37" s="242" customFormat="1" x14ac:dyDescent="0.2">
      <c r="F112" s="324"/>
      <c r="G112" s="33"/>
      <c r="H112" s="364"/>
      <c r="I112" s="187"/>
      <c r="J112" s="324"/>
      <c r="K112" s="434"/>
      <c r="L112" s="324"/>
      <c r="M112" s="33"/>
      <c r="N112" s="364"/>
      <c r="O112" s="187"/>
      <c r="P112" s="324"/>
      <c r="Q112" s="156"/>
      <c r="R112" s="324"/>
      <c r="S112" s="33"/>
      <c r="T112" s="364"/>
      <c r="U112" s="187"/>
      <c r="V112" s="324"/>
      <c r="W112" s="156"/>
      <c r="X112" s="324"/>
      <c r="Y112" s="33"/>
      <c r="Z112" s="364"/>
      <c r="AA112" s="187"/>
      <c r="AB112" s="324"/>
      <c r="AC112" s="156"/>
    </row>
    <row r="113" spans="6:37" s="363" customFormat="1" ht="13.15" customHeight="1" thickBot="1" x14ac:dyDescent="0.25">
      <c r="F113" s="324"/>
      <c r="G113" s="33"/>
      <c r="H113" s="364"/>
      <c r="I113" s="239"/>
      <c r="J113" s="324"/>
      <c r="K113" s="434"/>
      <c r="L113" s="324"/>
      <c r="M113" s="33"/>
      <c r="N113" s="364"/>
      <c r="O113" s="239"/>
      <c r="P113" s="324"/>
      <c r="Q113" s="156"/>
      <c r="R113" s="324"/>
      <c r="S113" s="33"/>
      <c r="T113" s="364"/>
      <c r="U113" s="239"/>
      <c r="V113" s="324"/>
      <c r="W113" s="156"/>
      <c r="X113" s="324"/>
      <c r="Y113" s="33"/>
      <c r="Z113" s="364"/>
      <c r="AA113" s="239"/>
      <c r="AB113" s="324"/>
      <c r="AC113" s="156"/>
      <c r="AD113" s="294"/>
      <c r="AE113" s="242"/>
      <c r="AF113" s="242"/>
      <c r="AG113" s="242"/>
      <c r="AH113" s="242"/>
      <c r="AJ113" s="242"/>
      <c r="AK113" s="242"/>
    </row>
    <row r="114" spans="6:37" s="363" customFormat="1" ht="13.5" thickBot="1" x14ac:dyDescent="0.25">
      <c r="F114" s="1047" t="s">
        <v>103</v>
      </c>
      <c r="G114" s="1048"/>
      <c r="H114" s="33"/>
      <c r="I114" s="33"/>
      <c r="J114" s="33"/>
      <c r="K114" s="434"/>
      <c r="L114" s="33"/>
      <c r="M114" s="33"/>
      <c r="N114" s="239"/>
      <c r="O114" s="248"/>
      <c r="P114" s="239"/>
      <c r="Q114" s="156"/>
      <c r="R114" s="33"/>
      <c r="S114" s="239"/>
      <c r="T114" s="248"/>
      <c r="U114" s="239"/>
      <c r="V114" s="239"/>
      <c r="W114" s="156"/>
      <c r="X114" s="33"/>
      <c r="Y114" s="239"/>
      <c r="Z114" s="248"/>
      <c r="AA114" s="239"/>
      <c r="AB114" s="239"/>
      <c r="AC114" s="156"/>
      <c r="AD114" s="435"/>
      <c r="AE114" s="309"/>
      <c r="AF114" s="309"/>
      <c r="AG114" s="309"/>
      <c r="AH114" s="309"/>
    </row>
    <row r="115" spans="6:37" ht="13.5" thickBot="1" x14ac:dyDescent="0.25">
      <c r="F115" s="406"/>
      <c r="G115" s="407"/>
      <c r="H115" s="408" t="s">
        <v>49</v>
      </c>
      <c r="I115" s="409"/>
      <c r="J115" s="410"/>
      <c r="K115" s="434"/>
      <c r="L115" s="1032" t="s">
        <v>50</v>
      </c>
      <c r="M115" s="1033"/>
      <c r="N115" s="1033"/>
      <c r="O115" s="1033"/>
      <c r="P115" s="1034"/>
      <c r="Q115" s="156"/>
      <c r="R115" s="406"/>
      <c r="S115" s="407"/>
      <c r="T115" s="408" t="s">
        <v>51</v>
      </c>
      <c r="U115" s="409"/>
      <c r="V115" s="410"/>
      <c r="W115" s="156"/>
      <c r="X115" s="406"/>
      <c r="Y115" s="407"/>
      <c r="Z115" s="408" t="s">
        <v>52</v>
      </c>
      <c r="AA115" s="409"/>
      <c r="AB115" s="410"/>
      <c r="AC115" s="156"/>
      <c r="AD115" s="435"/>
      <c r="AE115" s="309"/>
      <c r="AF115" s="309"/>
      <c r="AG115" s="309"/>
      <c r="AH115" s="309"/>
      <c r="AJ115" s="363"/>
      <c r="AK115" s="363"/>
    </row>
    <row r="116" spans="6:37" x14ac:dyDescent="0.2">
      <c r="F116" s="258" t="s">
        <v>56</v>
      </c>
      <c r="G116" s="279" t="s">
        <v>57</v>
      </c>
      <c r="H116" s="204" t="s">
        <v>58</v>
      </c>
      <c r="I116" s="294">
        <v>365</v>
      </c>
      <c r="J116" s="305">
        <f>I116*G117</f>
        <v>4380</v>
      </c>
      <c r="K116" s="434"/>
      <c r="L116" s="258" t="s">
        <v>56</v>
      </c>
      <c r="M116" s="411" t="s">
        <v>59</v>
      </c>
      <c r="N116" s="204" t="s">
        <v>58</v>
      </c>
      <c r="O116" s="294">
        <v>365</v>
      </c>
      <c r="P116" s="305">
        <f>M117*O116</f>
        <v>5657.5</v>
      </c>
      <c r="Q116" s="156"/>
      <c r="R116" s="258" t="s">
        <v>56</v>
      </c>
      <c r="S116" s="242" t="s">
        <v>60</v>
      </c>
      <c r="T116" s="204" t="s">
        <v>58</v>
      </c>
      <c r="U116" s="294">
        <v>365</v>
      </c>
      <c r="V116" s="305">
        <f>S117*U116</f>
        <v>7300</v>
      </c>
      <c r="W116" s="156"/>
      <c r="X116" s="258" t="s">
        <v>56</v>
      </c>
      <c r="Y116" s="242" t="s">
        <v>61</v>
      </c>
      <c r="Z116" s="204" t="s">
        <v>58</v>
      </c>
      <c r="AA116" s="294">
        <v>365</v>
      </c>
      <c r="AB116" s="305">
        <f>Y117*AA116</f>
        <v>9125</v>
      </c>
      <c r="AC116" s="156"/>
      <c r="AD116" s="435"/>
      <c r="AE116" s="309"/>
      <c r="AF116" s="309"/>
      <c r="AG116" s="309"/>
      <c r="AH116" s="309"/>
    </row>
    <row r="117" spans="6:37" x14ac:dyDescent="0.2">
      <c r="F117" s="258"/>
      <c r="G117" s="242">
        <v>12</v>
      </c>
      <c r="H117" s="204"/>
      <c r="I117" s="294"/>
      <c r="J117" s="305"/>
      <c r="K117" s="434"/>
      <c r="L117" s="258"/>
      <c r="M117" s="242">
        <v>15.5</v>
      </c>
      <c r="N117" s="204"/>
      <c r="O117" s="294"/>
      <c r="P117" s="305"/>
      <c r="Q117" s="156"/>
      <c r="R117" s="258"/>
      <c r="S117" s="242">
        <v>20</v>
      </c>
      <c r="T117" s="204"/>
      <c r="U117" s="294"/>
      <c r="V117" s="305"/>
      <c r="W117" s="156"/>
      <c r="X117" s="258"/>
      <c r="Y117" s="242">
        <v>25</v>
      </c>
      <c r="Z117" s="204"/>
      <c r="AA117" s="294"/>
      <c r="AB117" s="305"/>
      <c r="AC117" s="156"/>
      <c r="AD117" s="435"/>
      <c r="AG117" s="239"/>
    </row>
    <row r="118" spans="6:37" ht="25.5" x14ac:dyDescent="0.2">
      <c r="F118" s="378"/>
      <c r="G118" s="310" t="s">
        <v>65</v>
      </c>
      <c r="H118" s="293" t="s">
        <v>66</v>
      </c>
      <c r="I118" s="311" t="s">
        <v>67</v>
      </c>
      <c r="J118" s="312" t="s">
        <v>68</v>
      </c>
      <c r="K118" s="434"/>
      <c r="L118" s="378"/>
      <c r="M118" s="310" t="s">
        <v>65</v>
      </c>
      <c r="N118" s="293" t="s">
        <v>66</v>
      </c>
      <c r="O118" s="311" t="s">
        <v>67</v>
      </c>
      <c r="P118" s="312" t="s">
        <v>68</v>
      </c>
      <c r="Q118" s="156"/>
      <c r="R118" s="378"/>
      <c r="S118" s="310" t="s">
        <v>65</v>
      </c>
      <c r="T118" s="293" t="s">
        <v>66</v>
      </c>
      <c r="U118" s="311" t="s">
        <v>67</v>
      </c>
      <c r="V118" s="312" t="s">
        <v>68</v>
      </c>
      <c r="W118" s="156"/>
      <c r="X118" s="378"/>
      <c r="Y118" s="310" t="s">
        <v>65</v>
      </c>
      <c r="Z118" s="293" t="s">
        <v>66</v>
      </c>
      <c r="AA118" s="311" t="s">
        <v>67</v>
      </c>
      <c r="AB118" s="312" t="s">
        <v>68</v>
      </c>
      <c r="AC118" s="156"/>
      <c r="AD118" s="435"/>
      <c r="AE118" s="242"/>
      <c r="AF118" s="242"/>
      <c r="AG118" s="242"/>
      <c r="AH118" s="242"/>
    </row>
    <row r="119" spans="6:37" x14ac:dyDescent="0.2">
      <c r="F119" s="437" t="s">
        <v>352</v>
      </c>
      <c r="G119" s="314"/>
      <c r="H119" s="239">
        <f>$AF$5</f>
        <v>79415.232000000018</v>
      </c>
      <c r="I119" s="38">
        <f>AE12</f>
        <v>2.15</v>
      </c>
      <c r="J119" s="307">
        <f>H119*I119</f>
        <v>170742.74880000003</v>
      </c>
      <c r="K119" s="434"/>
      <c r="L119" s="437" t="s">
        <v>352</v>
      </c>
      <c r="M119" s="314"/>
      <c r="N119" s="239">
        <f>$AF$5</f>
        <v>79415.232000000018</v>
      </c>
      <c r="O119" s="38">
        <f>AE12</f>
        <v>2.15</v>
      </c>
      <c r="P119" s="307">
        <f>N119*O119</f>
        <v>170742.74880000003</v>
      </c>
      <c r="Q119" s="156"/>
      <c r="R119" s="437" t="s">
        <v>352</v>
      </c>
      <c r="S119" s="314"/>
      <c r="T119" s="239">
        <f>$AF$5</f>
        <v>79415.232000000018</v>
      </c>
      <c r="U119" s="38">
        <f>AE12</f>
        <v>2.15</v>
      </c>
      <c r="V119" s="307">
        <f>T119*U119</f>
        <v>170742.74880000003</v>
      </c>
      <c r="W119" s="156"/>
      <c r="X119" s="437" t="s">
        <v>352</v>
      </c>
      <c r="Y119" s="314"/>
      <c r="Z119" s="239">
        <f>$AF$5</f>
        <v>79415.232000000018</v>
      </c>
      <c r="AA119" s="38">
        <f>AE12</f>
        <v>2.15</v>
      </c>
      <c r="AB119" s="307">
        <f>Z119*AA119</f>
        <v>170742.74880000003</v>
      </c>
      <c r="AC119" s="156"/>
      <c r="AD119" s="435"/>
      <c r="AE119" s="242"/>
      <c r="AF119" s="242"/>
      <c r="AG119" s="242"/>
      <c r="AH119" s="242"/>
    </row>
    <row r="120" spans="6:37" x14ac:dyDescent="0.2">
      <c r="F120" s="437" t="str">
        <f>AD6</f>
        <v>Clinical Director</v>
      </c>
      <c r="G120" s="314"/>
      <c r="H120" s="239">
        <f>AF6</f>
        <v>101383.77600000001</v>
      </c>
      <c r="I120" s="38">
        <v>1</v>
      </c>
      <c r="J120" s="307">
        <f>H120*I120</f>
        <v>101383.77600000001</v>
      </c>
      <c r="K120" s="434"/>
      <c r="L120" s="437" t="str">
        <f>AD6</f>
        <v>Clinical Director</v>
      </c>
      <c r="M120" s="314"/>
      <c r="N120" s="239">
        <f>AF6</f>
        <v>101383.77600000001</v>
      </c>
      <c r="O120" s="38">
        <v>1</v>
      </c>
      <c r="P120" s="307">
        <f>N120*O120</f>
        <v>101383.77600000001</v>
      </c>
      <c r="Q120" s="156"/>
      <c r="R120" s="437" t="str">
        <f>AD6</f>
        <v>Clinical Director</v>
      </c>
      <c r="S120" s="314"/>
      <c r="T120" s="239">
        <f>AF6</f>
        <v>101383.77600000001</v>
      </c>
      <c r="U120" s="38">
        <v>1</v>
      </c>
      <c r="V120" s="307">
        <f>T120*U120</f>
        <v>101383.77600000001</v>
      </c>
      <c r="W120" s="156"/>
      <c r="X120" s="437" t="str">
        <f>AD6</f>
        <v>Clinical Director</v>
      </c>
      <c r="Y120" s="314"/>
      <c r="Z120" s="239">
        <f>AF6</f>
        <v>101383.77600000001</v>
      </c>
      <c r="AA120" s="38">
        <v>1.5</v>
      </c>
      <c r="AB120" s="307">
        <f>Z120*AA120</f>
        <v>152075.66400000002</v>
      </c>
      <c r="AC120" s="156"/>
      <c r="AD120" s="435"/>
      <c r="AE120" s="33"/>
      <c r="AF120" s="33"/>
      <c r="AG120" s="33"/>
      <c r="AH120" s="33"/>
    </row>
    <row r="121" spans="6:37" x14ac:dyDescent="0.2">
      <c r="F121" s="437" t="str">
        <f>AD7</f>
        <v>Clinical (LICSW)</v>
      </c>
      <c r="G121" s="314"/>
      <c r="H121" s="239">
        <f>AF7</f>
        <v>80606.448000000004</v>
      </c>
      <c r="I121" s="38">
        <v>2</v>
      </c>
      <c r="J121" s="307">
        <f>H121*I121</f>
        <v>161212.89600000001</v>
      </c>
      <c r="K121" s="434"/>
      <c r="L121" s="437" t="str">
        <f>AD7</f>
        <v>Clinical (LICSW)</v>
      </c>
      <c r="M121" s="314"/>
      <c r="N121" s="239">
        <f>AF7</f>
        <v>80606.448000000004</v>
      </c>
      <c r="O121" s="38">
        <v>2</v>
      </c>
      <c r="P121" s="307">
        <f>N121*O121</f>
        <v>161212.89600000001</v>
      </c>
      <c r="Q121" s="156"/>
      <c r="R121" s="437" t="str">
        <f>AD7</f>
        <v>Clinical (LICSW)</v>
      </c>
      <c r="S121" s="314"/>
      <c r="T121" s="239">
        <f>AF7</f>
        <v>80606.448000000004</v>
      </c>
      <c r="U121" s="38">
        <v>2</v>
      </c>
      <c r="V121" s="307">
        <f>T121*U121</f>
        <v>161212.89600000001</v>
      </c>
      <c r="W121" s="156"/>
      <c r="X121" s="437" t="str">
        <f>AD7</f>
        <v>Clinical (LICSW)</v>
      </c>
      <c r="Y121" s="314"/>
      <c r="Z121" s="239">
        <f>AF7</f>
        <v>80606.448000000004</v>
      </c>
      <c r="AA121" s="38">
        <v>2</v>
      </c>
      <c r="AB121" s="307">
        <f>Z121*AA121</f>
        <v>161212.89600000001</v>
      </c>
      <c r="AC121" s="156"/>
      <c r="AD121" s="435"/>
      <c r="AE121" s="33"/>
      <c r="AF121" s="33"/>
      <c r="AG121" s="33"/>
      <c r="AH121" s="33"/>
    </row>
    <row r="122" spans="6:37" x14ac:dyDescent="0.2">
      <c r="F122" s="438" t="s">
        <v>354</v>
      </c>
      <c r="G122" s="38">
        <v>0.57999999999999996</v>
      </c>
      <c r="H122" s="239">
        <f>AF8</f>
        <v>41600</v>
      </c>
      <c r="I122" s="38">
        <v>21.44</v>
      </c>
      <c r="J122" s="307">
        <f>H122*I122</f>
        <v>891904</v>
      </c>
      <c r="K122" s="434"/>
      <c r="L122" s="438" t="s">
        <v>354</v>
      </c>
      <c r="M122" s="38">
        <v>0.69</v>
      </c>
      <c r="N122" s="239">
        <f>AF8</f>
        <v>41600</v>
      </c>
      <c r="O122" s="38">
        <v>23.33</v>
      </c>
      <c r="P122" s="307">
        <f>N122*O122</f>
        <v>970527.99999999988</v>
      </c>
      <c r="Q122" s="156"/>
      <c r="R122" s="438" t="s">
        <v>354</v>
      </c>
      <c r="S122" s="38">
        <v>0.89</v>
      </c>
      <c r="T122" s="239">
        <f>AF8</f>
        <v>41600</v>
      </c>
      <c r="U122" s="38">
        <v>23.43</v>
      </c>
      <c r="V122" s="307">
        <f>T122*U122</f>
        <v>974688</v>
      </c>
      <c r="W122" s="156"/>
      <c r="X122" s="438" t="s">
        <v>354</v>
      </c>
      <c r="Y122" s="38">
        <v>0.94</v>
      </c>
      <c r="Z122" s="239">
        <f>AF8</f>
        <v>41600</v>
      </c>
      <c r="AA122" s="38">
        <v>28.23</v>
      </c>
      <c r="AB122" s="307">
        <f>Z122*AA122</f>
        <v>1174368</v>
      </c>
      <c r="AC122" s="156"/>
      <c r="AD122" s="33"/>
      <c r="AE122" s="33"/>
      <c r="AF122" s="33"/>
      <c r="AG122" s="33"/>
      <c r="AH122" s="33"/>
    </row>
    <row r="123" spans="6:37" x14ac:dyDescent="0.2">
      <c r="F123" s="155"/>
      <c r="G123" s="38"/>
      <c r="H123" s="265"/>
      <c r="I123" s="265"/>
      <c r="J123" s="307"/>
      <c r="K123" s="434"/>
      <c r="L123" s="155"/>
      <c r="M123" s="38"/>
      <c r="N123" s="265"/>
      <c r="O123" s="265"/>
      <c r="P123" s="307"/>
      <c r="Q123" s="156"/>
      <c r="R123" s="155"/>
      <c r="S123" s="38"/>
      <c r="T123" s="265"/>
      <c r="U123" s="265"/>
      <c r="V123" s="307"/>
      <c r="W123" s="156"/>
      <c r="X123" s="155"/>
      <c r="Y123" s="38"/>
      <c r="Z123" s="265"/>
      <c r="AA123" s="265"/>
      <c r="AB123" s="307"/>
      <c r="AC123" s="156"/>
      <c r="AD123" s="33"/>
      <c r="AE123" s="33"/>
      <c r="AF123" s="33"/>
      <c r="AG123" s="33"/>
      <c r="AH123" s="33"/>
    </row>
    <row r="124" spans="6:37" x14ac:dyDescent="0.2">
      <c r="F124" s="589" t="s">
        <v>538</v>
      </c>
      <c r="G124" s="585"/>
      <c r="H124" s="586"/>
      <c r="I124" s="587">
        <f>SUM(I119:I122)</f>
        <v>26.590000000000003</v>
      </c>
      <c r="J124" s="588">
        <f>SUM(J119:J123)</f>
        <v>1325243.4208</v>
      </c>
      <c r="K124" s="434"/>
      <c r="L124" s="589" t="s">
        <v>538</v>
      </c>
      <c r="M124" s="585"/>
      <c r="N124" s="586"/>
      <c r="O124" s="587">
        <f>SUM(O119:O122)</f>
        <v>28.479999999999997</v>
      </c>
      <c r="P124" s="588">
        <f>SUM(P119:P123)</f>
        <v>1403867.4208</v>
      </c>
      <c r="Q124" s="156"/>
      <c r="R124" s="589" t="s">
        <v>538</v>
      </c>
      <c r="S124" s="585"/>
      <c r="T124" s="586"/>
      <c r="U124" s="587">
        <f>SUM(U119:U122)</f>
        <v>28.58</v>
      </c>
      <c r="V124" s="588">
        <f>SUM(V119:V123)</f>
        <v>1408027.4208</v>
      </c>
      <c r="W124" s="156"/>
      <c r="X124" s="589" t="s">
        <v>538</v>
      </c>
      <c r="Y124" s="585"/>
      <c r="Z124" s="586"/>
      <c r="AA124" s="587">
        <f>SUM(AA119:AA122)</f>
        <v>33.880000000000003</v>
      </c>
      <c r="AB124" s="588">
        <f>SUM(AB119:AB123)</f>
        <v>1658399.3088</v>
      </c>
      <c r="AC124" s="156"/>
      <c r="AD124" s="33"/>
      <c r="AE124" s="33"/>
      <c r="AF124" s="33"/>
      <c r="AG124" s="33"/>
      <c r="AH124" s="33"/>
    </row>
    <row r="125" spans="6:37" ht="14.25" x14ac:dyDescent="0.2">
      <c r="F125" s="604" t="s">
        <v>80</v>
      </c>
      <c r="G125" s="38"/>
      <c r="H125" s="265"/>
      <c r="I125" s="265">
        <f>I89</f>
        <v>0.27379999999999999</v>
      </c>
      <c r="J125" s="307">
        <f>J124*I125</f>
        <v>362851.64861504</v>
      </c>
      <c r="K125" s="434"/>
      <c r="L125" s="604" t="s">
        <v>80</v>
      </c>
      <c r="M125" s="38"/>
      <c r="N125" s="265"/>
      <c r="O125" s="265">
        <f>I125</f>
        <v>0.27379999999999999</v>
      </c>
      <c r="P125" s="307">
        <f>P124*O125</f>
        <v>384378.89981504</v>
      </c>
      <c r="Q125" s="156"/>
      <c r="R125" s="604" t="s">
        <v>80</v>
      </c>
      <c r="S125" s="38"/>
      <c r="T125" s="265"/>
      <c r="U125" s="265">
        <f>I125</f>
        <v>0.27379999999999999</v>
      </c>
      <c r="V125" s="307">
        <f>V124*U125</f>
        <v>385517.90781503997</v>
      </c>
      <c r="W125" s="156"/>
      <c r="X125" s="604" t="s">
        <v>80</v>
      </c>
      <c r="Y125" s="38"/>
      <c r="Z125" s="265"/>
      <c r="AA125" s="265">
        <f>U125</f>
        <v>0.27379999999999999</v>
      </c>
      <c r="AB125" s="307">
        <f>AB124*AA125</f>
        <v>454069.73074943997</v>
      </c>
      <c r="AC125" s="156"/>
      <c r="AD125" s="33"/>
      <c r="AE125" s="33"/>
      <c r="AF125" s="33"/>
      <c r="AG125" s="33"/>
      <c r="AH125" s="33"/>
    </row>
    <row r="126" spans="6:37" ht="15.75" thickBot="1" x14ac:dyDescent="0.3">
      <c r="F126" s="590" t="s">
        <v>539</v>
      </c>
      <c r="G126" s="584"/>
      <c r="H126" s="584"/>
      <c r="I126" s="584"/>
      <c r="J126" s="605">
        <f>SUM(J124:J125)</f>
        <v>1688095.0694150398</v>
      </c>
      <c r="K126" s="434"/>
      <c r="L126" s="590" t="s">
        <v>539</v>
      </c>
      <c r="M126" s="584"/>
      <c r="N126" s="584"/>
      <c r="O126" s="584"/>
      <c r="P126" s="605">
        <f>SUM(P124:P125)</f>
        <v>1788246.3206150399</v>
      </c>
      <c r="Q126" s="156"/>
      <c r="R126" s="590" t="s">
        <v>539</v>
      </c>
      <c r="S126" s="584"/>
      <c r="T126" s="584"/>
      <c r="U126" s="584"/>
      <c r="V126" s="605">
        <f>SUM(V124:V125)</f>
        <v>1793545.3286150401</v>
      </c>
      <c r="W126" s="156"/>
      <c r="X126" s="590" t="s">
        <v>539</v>
      </c>
      <c r="Y126" s="584"/>
      <c r="Z126" s="584"/>
      <c r="AA126" s="584"/>
      <c r="AB126" s="605">
        <f>SUM(AB124:AB125)</f>
        <v>2112469.0395494401</v>
      </c>
      <c r="AC126" s="156"/>
      <c r="AD126" s="294"/>
      <c r="AE126" s="294"/>
      <c r="AF126" s="33"/>
      <c r="AG126" s="33"/>
      <c r="AH126" s="33"/>
    </row>
    <row r="127" spans="6:37" s="309" customFormat="1" ht="15.75" thickTop="1" x14ac:dyDescent="0.25">
      <c r="F127" s="583"/>
      <c r="G127" s="242"/>
      <c r="H127" s="242"/>
      <c r="I127" s="242"/>
      <c r="J127" s="358"/>
      <c r="K127" s="242"/>
      <c r="L127" s="583"/>
      <c r="M127" s="242"/>
      <c r="N127" s="242"/>
      <c r="O127" s="242"/>
      <c r="P127" s="358"/>
      <c r="Q127" s="242"/>
      <c r="R127" s="583"/>
      <c r="S127" s="242"/>
      <c r="T127" s="242"/>
      <c r="U127" s="242"/>
      <c r="V127" s="358"/>
      <c r="W127" s="242"/>
      <c r="X127" s="583"/>
      <c r="Y127" s="242"/>
      <c r="Z127" s="242"/>
      <c r="AA127" s="242"/>
      <c r="AB127" s="358"/>
      <c r="AC127" s="156"/>
      <c r="AD127" s="208"/>
      <c r="AE127" s="208"/>
      <c r="AF127" s="33"/>
      <c r="AG127" s="33"/>
      <c r="AH127" s="33"/>
    </row>
    <row r="128" spans="6:37" s="309" customFormat="1" ht="15" x14ac:dyDescent="0.25">
      <c r="F128" s="583" t="s">
        <v>540</v>
      </c>
      <c r="G128" s="242"/>
      <c r="H128" s="195"/>
      <c r="I128" s="294" t="s">
        <v>78</v>
      </c>
      <c r="J128" s="336"/>
      <c r="K128" s="242"/>
      <c r="L128" s="583" t="s">
        <v>540</v>
      </c>
      <c r="M128" s="242"/>
      <c r="N128" s="195"/>
      <c r="O128" s="294" t="s">
        <v>78</v>
      </c>
      <c r="P128" s="336"/>
      <c r="Q128" s="242"/>
      <c r="R128" s="583" t="s">
        <v>540</v>
      </c>
      <c r="S128" s="242"/>
      <c r="T128" s="195"/>
      <c r="U128" s="294" t="s">
        <v>78</v>
      </c>
      <c r="V128" s="336"/>
      <c r="W128" s="242"/>
      <c r="X128" s="583" t="s">
        <v>540</v>
      </c>
      <c r="Y128" s="242"/>
      <c r="Z128" s="195"/>
      <c r="AA128" s="294" t="s">
        <v>78</v>
      </c>
      <c r="AB128" s="336"/>
      <c r="AC128" s="156"/>
      <c r="AD128" s="208"/>
      <c r="AE128" s="208"/>
      <c r="AF128" s="33"/>
      <c r="AG128" s="33"/>
      <c r="AH128" s="33"/>
    </row>
    <row r="129" spans="6:37" ht="14.25" customHeight="1" x14ac:dyDescent="0.2">
      <c r="F129" s="241" t="s">
        <v>82</v>
      </c>
      <c r="H129" s="239"/>
      <c r="I129" s="248"/>
      <c r="J129" s="307">
        <v>25000</v>
      </c>
      <c r="K129" s="434"/>
      <c r="L129" s="241" t="s">
        <v>82</v>
      </c>
      <c r="P129" s="307">
        <v>25000</v>
      </c>
      <c r="Q129" s="156"/>
      <c r="R129" s="241" t="s">
        <v>82</v>
      </c>
      <c r="S129" s="33"/>
      <c r="T129" s="239"/>
      <c r="U129" s="248"/>
      <c r="V129" s="307">
        <v>30000</v>
      </c>
      <c r="W129" s="156"/>
      <c r="X129" s="241" t="s">
        <v>82</v>
      </c>
      <c r="Y129" s="33"/>
      <c r="Z129" s="239"/>
      <c r="AA129" s="248"/>
      <c r="AB129" s="307">
        <v>30000</v>
      </c>
      <c r="AC129" s="156"/>
      <c r="AD129" s="294"/>
      <c r="AE129" s="294"/>
      <c r="AF129" s="33"/>
      <c r="AG129" s="33"/>
      <c r="AH129" s="33"/>
    </row>
    <row r="130" spans="6:37" ht="14.25" customHeight="1" x14ac:dyDescent="0.2">
      <c r="F130" s="241" t="s">
        <v>83</v>
      </c>
      <c r="H130" s="239"/>
      <c r="I130" s="38">
        <f>$AE$25</f>
        <v>7.3322564329156208</v>
      </c>
      <c r="J130" s="307">
        <f>I130*J116</f>
        <v>32115.283176170418</v>
      </c>
      <c r="K130" s="434"/>
      <c r="L130" s="241" t="s">
        <v>83</v>
      </c>
      <c r="O130" s="38">
        <f>$AE$25</f>
        <v>7.3322564329156208</v>
      </c>
      <c r="P130" s="307">
        <f>O130*P116</f>
        <v>41482.240769220123</v>
      </c>
      <c r="Q130" s="156"/>
      <c r="R130" s="241" t="s">
        <v>83</v>
      </c>
      <c r="S130" s="33"/>
      <c r="T130" s="239"/>
      <c r="U130" s="38">
        <f>$AE$25</f>
        <v>7.3322564329156208</v>
      </c>
      <c r="V130" s="307">
        <f>U130*V116</f>
        <v>53525.471960284034</v>
      </c>
      <c r="W130" s="156"/>
      <c r="X130" s="241" t="s">
        <v>83</v>
      </c>
      <c r="Y130" s="33"/>
      <c r="Z130" s="239"/>
      <c r="AA130" s="38">
        <f>$AE$25</f>
        <v>7.3322564329156208</v>
      </c>
      <c r="AB130" s="307">
        <f>AA130*AB116</f>
        <v>66906.839950355046</v>
      </c>
      <c r="AC130" s="156"/>
      <c r="AD130" s="328"/>
      <c r="AE130" s="328"/>
      <c r="AF130" s="242"/>
      <c r="AG130" s="242"/>
      <c r="AH130" s="242"/>
    </row>
    <row r="131" spans="6:37" s="242" customFormat="1" x14ac:dyDescent="0.2">
      <c r="F131" s="241" t="s">
        <v>86</v>
      </c>
      <c r="G131" s="33"/>
      <c r="H131" s="239"/>
      <c r="I131" s="38">
        <f>$AE$26</f>
        <v>15.901681537562935</v>
      </c>
      <c r="J131" s="307">
        <f>I131*J116</f>
        <v>69649.365134525651</v>
      </c>
      <c r="K131" s="434"/>
      <c r="L131" s="241" t="s">
        <v>86</v>
      </c>
      <c r="M131" s="33"/>
      <c r="N131" s="239"/>
      <c r="O131" s="38">
        <f>$AE$26</f>
        <v>15.901681537562935</v>
      </c>
      <c r="P131" s="307">
        <f>O131*P116</f>
        <v>89963.763298762307</v>
      </c>
      <c r="Q131" s="156"/>
      <c r="R131" s="241" t="s">
        <v>86</v>
      </c>
      <c r="S131" s="33"/>
      <c r="T131" s="239"/>
      <c r="U131" s="38">
        <f>$AE$26</f>
        <v>15.901681537562935</v>
      </c>
      <c r="V131" s="307">
        <f>U131*V116</f>
        <v>116082.27522420943</v>
      </c>
      <c r="W131" s="156"/>
      <c r="X131" s="241" t="s">
        <v>86</v>
      </c>
      <c r="Y131" s="33"/>
      <c r="Z131" s="239"/>
      <c r="AA131" s="38">
        <f>$AE$26</f>
        <v>15.901681537562935</v>
      </c>
      <c r="AB131" s="307">
        <f>AA131*AB116</f>
        <v>145102.84403026177</v>
      </c>
      <c r="AC131" s="156"/>
      <c r="AD131" s="353"/>
      <c r="AE131" s="353"/>
      <c r="AF131" s="33"/>
      <c r="AG131" s="33"/>
      <c r="AH131" s="33"/>
      <c r="AJ131" s="33"/>
      <c r="AK131" s="33"/>
    </row>
    <row r="132" spans="6:37" ht="15.75" thickBot="1" x14ac:dyDescent="0.3">
      <c r="F132" s="1045" t="s">
        <v>541</v>
      </c>
      <c r="G132" s="1025"/>
      <c r="H132" s="592"/>
      <c r="I132" s="593"/>
      <c r="J132" s="594">
        <f>SUM(J129:J131)</f>
        <v>126764.64831069607</v>
      </c>
      <c r="K132" s="195"/>
      <c r="L132" s="1046" t="s">
        <v>541</v>
      </c>
      <c r="M132" s="1025"/>
      <c r="N132" s="592"/>
      <c r="O132" s="593"/>
      <c r="P132" s="594">
        <f>SUM(P129:P131)</f>
        <v>156446.00406798243</v>
      </c>
      <c r="R132" s="1046" t="s">
        <v>541</v>
      </c>
      <c r="S132" s="1025"/>
      <c r="T132" s="592"/>
      <c r="U132" s="593"/>
      <c r="V132" s="594">
        <f>SUM(V129:V131)</f>
        <v>199607.74718449346</v>
      </c>
      <c r="W132" s="195"/>
      <c r="X132" s="1046" t="s">
        <v>541</v>
      </c>
      <c r="Y132" s="1025"/>
      <c r="Z132" s="592"/>
      <c r="AA132" s="593"/>
      <c r="AB132" s="594">
        <f>SUM(AB129:AB131)</f>
        <v>242009.6839806168</v>
      </c>
      <c r="AD132" s="33"/>
      <c r="AE132" s="346"/>
      <c r="AF132" s="571"/>
      <c r="AG132" s="33"/>
      <c r="AH132" s="33"/>
      <c r="AK132" s="324"/>
    </row>
    <row r="133" spans="6:37" s="239" customFormat="1" ht="13.5" thickTop="1" x14ac:dyDescent="0.2">
      <c r="F133" s="241"/>
      <c r="G133" s="33"/>
      <c r="I133" s="38"/>
      <c r="J133" s="307"/>
      <c r="K133" s="434"/>
      <c r="L133" s="241"/>
      <c r="M133" s="33"/>
      <c r="O133" s="38"/>
      <c r="P133" s="307"/>
      <c r="Q133" s="156"/>
      <c r="R133" s="241"/>
      <c r="S133" s="33"/>
      <c r="U133" s="38"/>
      <c r="V133" s="307"/>
      <c r="W133" s="156"/>
      <c r="X133" s="241"/>
      <c r="Y133" s="33"/>
      <c r="AA133" s="38"/>
      <c r="AB133" s="307"/>
      <c r="AC133" s="156"/>
      <c r="AD133" s="208"/>
      <c r="AE133" s="208"/>
      <c r="AF133" s="33"/>
      <c r="AG133" s="33"/>
      <c r="AH133" s="33"/>
      <c r="AJ133" s="242"/>
      <c r="AK133" s="242"/>
    </row>
    <row r="134" spans="6:37" s="242" customFormat="1" ht="15" x14ac:dyDescent="0.25">
      <c r="F134" s="1049" t="s">
        <v>357</v>
      </c>
      <c r="G134" s="1027"/>
      <c r="H134" s="422"/>
      <c r="I134" s="423"/>
      <c r="J134" s="439">
        <f>J126+J132</f>
        <v>1814859.7177257359</v>
      </c>
      <c r="K134" s="434"/>
      <c r="L134" s="1049" t="s">
        <v>357</v>
      </c>
      <c r="M134" s="1027"/>
      <c r="N134" s="422"/>
      <c r="O134" s="423"/>
      <c r="P134" s="439">
        <f>P132+P126</f>
        <v>1944692.3246830222</v>
      </c>
      <c r="Q134" s="156"/>
      <c r="R134" s="1049" t="s">
        <v>357</v>
      </c>
      <c r="S134" s="1027"/>
      <c r="T134" s="422"/>
      <c r="U134" s="423"/>
      <c r="V134" s="439">
        <f>V132+V126</f>
        <v>1993153.0757995336</v>
      </c>
      <c r="W134" s="156"/>
      <c r="X134" s="1049" t="s">
        <v>357</v>
      </c>
      <c r="Y134" s="1027"/>
      <c r="Z134" s="422"/>
      <c r="AA134" s="423"/>
      <c r="AB134" s="439">
        <f>AB132+AB126</f>
        <v>2354478.7235300569</v>
      </c>
      <c r="AC134" s="156"/>
      <c r="AD134" s="328"/>
      <c r="AE134" s="328"/>
      <c r="AF134" s="33"/>
      <c r="AG134" s="33"/>
      <c r="AH134" s="33"/>
    </row>
    <row r="135" spans="6:37" s="242" customFormat="1" x14ac:dyDescent="0.2">
      <c r="F135" s="241" t="s">
        <v>89</v>
      </c>
      <c r="G135" s="33"/>
      <c r="H135" s="346">
        <f>'[21]Salary Bench Chart'!C33</f>
        <v>0.12</v>
      </c>
      <c r="I135" s="38"/>
      <c r="J135" s="307">
        <f>J134*H135</f>
        <v>217783.16612708831</v>
      </c>
      <c r="K135" s="434"/>
      <c r="L135" s="241" t="s">
        <v>89</v>
      </c>
      <c r="M135" s="33"/>
      <c r="N135" s="346">
        <f>'[21]Salary Bench Chart'!C33</f>
        <v>0.12</v>
      </c>
      <c r="O135" s="38"/>
      <c r="P135" s="307">
        <f>P134*N135</f>
        <v>233363.07896196266</v>
      </c>
      <c r="Q135" s="156"/>
      <c r="R135" s="241" t="s">
        <v>89</v>
      </c>
      <c r="S135" s="33"/>
      <c r="T135" s="346">
        <f>'[21]Salary Bench Chart'!C33</f>
        <v>0.12</v>
      </c>
      <c r="U135" s="38"/>
      <c r="V135" s="307">
        <f>V134*T135</f>
        <v>239178.36909594401</v>
      </c>
      <c r="W135" s="156"/>
      <c r="X135" s="241" t="s">
        <v>89</v>
      </c>
      <c r="Y135" s="33"/>
      <c r="Z135" s="346">
        <f>'[21]Salary Bench Chart'!C33</f>
        <v>0.12</v>
      </c>
      <c r="AA135" s="38"/>
      <c r="AB135" s="307">
        <f>AB134*Z135</f>
        <v>282537.44682360679</v>
      </c>
      <c r="AC135" s="156"/>
      <c r="AD135" s="334"/>
      <c r="AE135" s="334"/>
      <c r="AF135" s="33"/>
      <c r="AG135" s="33"/>
      <c r="AH135" s="33"/>
    </row>
    <row r="136" spans="6:37" s="239" customFormat="1" x14ac:dyDescent="0.2">
      <c r="F136" s="241" t="s">
        <v>46</v>
      </c>
      <c r="G136" s="33"/>
      <c r="H136" s="346">
        <f>AE28</f>
        <v>2.7100379121522307E-2</v>
      </c>
      <c r="I136" s="38"/>
      <c r="J136" s="307">
        <f>H136*(J134+J135)</f>
        <v>55085.392771075967</v>
      </c>
      <c r="K136" s="434"/>
      <c r="L136" s="241" t="s">
        <v>46</v>
      </c>
      <c r="M136" s="33"/>
      <c r="N136" s="346">
        <f>H136</f>
        <v>2.7100379121522307E-2</v>
      </c>
      <c r="O136" s="38"/>
      <c r="P136" s="307">
        <f>N136*(P134+P135)</f>
        <v>59026.127186459395</v>
      </c>
      <c r="Q136" s="156"/>
      <c r="R136" s="241" t="s">
        <v>46</v>
      </c>
      <c r="S136" s="33"/>
      <c r="T136" s="346">
        <f>N136</f>
        <v>2.7100379121522307E-2</v>
      </c>
      <c r="U136" s="38"/>
      <c r="V136" s="307">
        <f>T136*(V134+RT35)</f>
        <v>54015.20400139565</v>
      </c>
      <c r="W136" s="156"/>
      <c r="X136" s="241" t="s">
        <v>46</v>
      </c>
      <c r="Y136" s="33"/>
      <c r="Z136" s="346">
        <f>T136</f>
        <v>2.7100379121522307E-2</v>
      </c>
      <c r="AA136" s="38"/>
      <c r="AB136" s="307">
        <f>Z136*(AB134+AB135)</f>
        <v>71464.137966169132</v>
      </c>
      <c r="AC136" s="156"/>
      <c r="AD136" s="334"/>
      <c r="AE136" s="334"/>
      <c r="AF136" s="33"/>
      <c r="AG136" s="33"/>
      <c r="AH136" s="33"/>
      <c r="AJ136" s="242"/>
      <c r="AK136" s="242"/>
    </row>
    <row r="137" spans="6:37" s="239" customFormat="1" ht="13.5" thickBot="1" x14ac:dyDescent="0.25">
      <c r="F137" s="348" t="s">
        <v>91</v>
      </c>
      <c r="G137" s="349"/>
      <c r="H137" s="350"/>
      <c r="I137" s="351"/>
      <c r="J137" s="352">
        <f>ROUND(SUM(J134:J136),2)</f>
        <v>2087728.28</v>
      </c>
      <c r="K137" s="434"/>
      <c r="L137" s="348" t="s">
        <v>91</v>
      </c>
      <c r="M137" s="349"/>
      <c r="N137" s="350"/>
      <c r="O137" s="351"/>
      <c r="P137" s="352">
        <f>ROUND(SUM(P134:P136),2)</f>
        <v>2237081.5299999998</v>
      </c>
      <c r="Q137" s="156"/>
      <c r="R137" s="348" t="s">
        <v>91</v>
      </c>
      <c r="S137" s="349"/>
      <c r="T137" s="350"/>
      <c r="U137" s="351"/>
      <c r="V137" s="352">
        <f>ROUND(SUM(V134:V136),2)</f>
        <v>2286346.65</v>
      </c>
      <c r="W137" s="156"/>
      <c r="X137" s="348" t="s">
        <v>91</v>
      </c>
      <c r="Y137" s="349"/>
      <c r="Z137" s="350"/>
      <c r="AA137" s="351"/>
      <c r="AB137" s="352">
        <f>ROUND(SUM(AB134:AB136),2)</f>
        <v>2708480.31</v>
      </c>
      <c r="AD137" s="33"/>
      <c r="AE137" s="33"/>
      <c r="AF137" s="33"/>
      <c r="AG137" s="33"/>
      <c r="AH137" s="33"/>
    </row>
    <row r="138" spans="6:37" s="309" customFormat="1" ht="14.25" thickTop="1" thickBot="1" x14ac:dyDescent="0.25">
      <c r="F138" s="355" t="s">
        <v>93</v>
      </c>
      <c r="G138" s="324"/>
      <c r="H138" s="324"/>
      <c r="I138" s="324"/>
      <c r="J138" s="602">
        <f>J137/J116</f>
        <v>476.65029223744295</v>
      </c>
      <c r="K138" s="434"/>
      <c r="L138" s="355" t="s">
        <v>93</v>
      </c>
      <c r="M138" s="324"/>
      <c r="N138" s="324"/>
      <c r="O138" s="324"/>
      <c r="P138" s="602">
        <f>P137/P116</f>
        <v>395.41874149359256</v>
      </c>
      <c r="Q138" s="156"/>
      <c r="R138" s="355" t="s">
        <v>93</v>
      </c>
      <c r="S138" s="324"/>
      <c r="T138" s="324"/>
      <c r="U138" s="324"/>
      <c r="V138" s="602">
        <f>V137/V116</f>
        <v>313.19817123287669</v>
      </c>
      <c r="W138" s="156"/>
      <c r="X138" s="355" t="s">
        <v>93</v>
      </c>
      <c r="Y138" s="324"/>
      <c r="Z138" s="324"/>
      <c r="AA138" s="324"/>
      <c r="AB138" s="602">
        <f>AB137/AB116</f>
        <v>296.81976000000003</v>
      </c>
      <c r="AC138" s="156"/>
      <c r="AD138" s="242"/>
      <c r="AE138" s="33"/>
      <c r="AF138" s="33"/>
      <c r="AG138" s="33"/>
      <c r="AH138" s="33"/>
      <c r="AJ138" s="239"/>
      <c r="AK138" s="239"/>
    </row>
    <row r="139" spans="6:37" s="309" customFormat="1" ht="13.5" thickBot="1" x14ac:dyDescent="0.25">
      <c r="F139" s="359" t="s">
        <v>95</v>
      </c>
      <c r="G139" s="295"/>
      <c r="H139" s="360">
        <v>0.9</v>
      </c>
      <c r="I139" s="361"/>
      <c r="J139" s="362">
        <f>J$137*(H136+1)/(J$116*H139)</f>
        <v>543.96410651717997</v>
      </c>
      <c r="K139" s="434"/>
      <c r="L139" s="359" t="s">
        <v>95</v>
      </c>
      <c r="M139" s="295"/>
      <c r="N139" s="360">
        <v>0.9</v>
      </c>
      <c r="O139" s="361"/>
      <c r="P139" s="362">
        <f>P$137*(N136+1)/(P$116*N139)</f>
        <v>451.26082144424907</v>
      </c>
      <c r="Q139" s="156"/>
      <c r="R139" s="359" t="s">
        <v>95</v>
      </c>
      <c r="S139" s="295"/>
      <c r="T139" s="360">
        <v>0.9</v>
      </c>
      <c r="U139" s="361"/>
      <c r="V139" s="362">
        <f>V$137*(T136+1)/(V$116*T139)</f>
        <v>357.42884490383898</v>
      </c>
      <c r="W139" s="156"/>
      <c r="X139" s="359" t="s">
        <v>95</v>
      </c>
      <c r="Y139" s="295"/>
      <c r="Z139" s="360">
        <v>0.9</v>
      </c>
      <c r="AA139" s="361"/>
      <c r="AB139" s="362">
        <f>AB$137*(Z136+1)/(AB$116*Z139)</f>
        <v>338.73743114084363</v>
      </c>
      <c r="AC139" s="156"/>
      <c r="AD139" s="33"/>
      <c r="AE139" s="242"/>
      <c r="AF139" s="242"/>
      <c r="AG139" s="242"/>
      <c r="AH139" s="242"/>
    </row>
    <row r="140" spans="6:37" s="239" customFormat="1" ht="13.5" thickBot="1" x14ac:dyDescent="0.25">
      <c r="F140" s="355"/>
      <c r="G140" s="33"/>
      <c r="H140" s="364">
        <v>0.85</v>
      </c>
      <c r="J140" s="362">
        <f>J$137*(H136+1)/(J$116*H140)</f>
        <v>575.9619951358377</v>
      </c>
      <c r="K140" s="434"/>
      <c r="L140" s="355"/>
      <c r="M140" s="33"/>
      <c r="N140" s="364">
        <v>0.85</v>
      </c>
      <c r="P140" s="362">
        <f>P$137*(N136+1)/(P$116*N140)</f>
        <v>477.80557564685193</v>
      </c>
      <c r="Q140" s="156"/>
      <c r="R140" s="355"/>
      <c r="S140" s="33"/>
      <c r="T140" s="364">
        <v>0.85</v>
      </c>
      <c r="V140" s="362">
        <f>V$137*(T136+1)/(V$116*T140)</f>
        <v>378.45407107465303</v>
      </c>
      <c r="W140" s="156"/>
      <c r="X140" s="355"/>
      <c r="Y140" s="33"/>
      <c r="Z140" s="364">
        <v>0.85</v>
      </c>
      <c r="AB140" s="362">
        <f>AB$137*(Z136+1)/(AB$116*Z140)</f>
        <v>358.66316238442266</v>
      </c>
      <c r="AC140" s="156"/>
      <c r="AG140" s="248"/>
      <c r="AJ140" s="309"/>
      <c r="AK140" s="309"/>
    </row>
    <row r="141" spans="6:37" s="242" customFormat="1" ht="13.5" thickBot="1" x14ac:dyDescent="0.25">
      <c r="F141" s="355"/>
      <c r="G141" s="33"/>
      <c r="H141" s="364">
        <v>0.8</v>
      </c>
      <c r="I141" s="239"/>
      <c r="J141" s="362">
        <f>J$137*(H136+1)/(J$116*H141)</f>
        <v>611.95961983182758</v>
      </c>
      <c r="K141" s="434"/>
      <c r="L141" s="355"/>
      <c r="M141" s="33"/>
      <c r="N141" s="364">
        <v>0.8</v>
      </c>
      <c r="O141" s="239"/>
      <c r="P141" s="362">
        <f>P$137*(N136+1)/(P$116*N141)</f>
        <v>507.66842412478019</v>
      </c>
      <c r="Q141" s="156"/>
      <c r="R141" s="355"/>
      <c r="S141" s="33"/>
      <c r="T141" s="364">
        <v>0.8</v>
      </c>
      <c r="U141" s="239"/>
      <c r="V141" s="362">
        <f>V$137*(T136+1)/(V$116*T141)</f>
        <v>402.10745051681886</v>
      </c>
      <c r="W141" s="156"/>
      <c r="X141" s="355"/>
      <c r="Y141" s="33"/>
      <c r="Z141" s="364">
        <v>0.8</v>
      </c>
      <c r="AA141" s="239"/>
      <c r="AB141" s="362">
        <f>AB$137*(Z136+1)/(AB$116*Z141)</f>
        <v>381.07961003344906</v>
      </c>
      <c r="AC141" s="156"/>
      <c r="AD141" s="239"/>
      <c r="AE141" s="239"/>
      <c r="AF141" s="239"/>
      <c r="AG141" s="248"/>
      <c r="AH141" s="239"/>
      <c r="AJ141" s="239"/>
      <c r="AK141" s="239"/>
    </row>
    <row r="142" spans="6:37" s="242" customFormat="1" ht="13.5" thickBot="1" x14ac:dyDescent="0.25">
      <c r="F142" s="355"/>
      <c r="G142" s="33"/>
      <c r="H142" s="364">
        <v>0.75</v>
      </c>
      <c r="I142" s="239"/>
      <c r="J142" s="362">
        <f>J$137*(H136+1)/(J$116*H142)</f>
        <v>652.75692782061606</v>
      </c>
      <c r="K142" s="434"/>
      <c r="L142" s="355"/>
      <c r="M142" s="33"/>
      <c r="N142" s="364">
        <v>0.75</v>
      </c>
      <c r="O142" s="239"/>
      <c r="P142" s="362">
        <f>P$137*(N136+1)/(P$116*N142)</f>
        <v>541.51298573309884</v>
      </c>
      <c r="Q142" s="156"/>
      <c r="R142" s="355"/>
      <c r="S142" s="33"/>
      <c r="T142" s="364">
        <v>0.75</v>
      </c>
      <c r="U142" s="239"/>
      <c r="V142" s="362">
        <f>V$137*(T136+1)/(V$116*T142)</f>
        <v>428.91461388460681</v>
      </c>
      <c r="W142" s="156"/>
      <c r="X142" s="355"/>
      <c r="Y142" s="33"/>
      <c r="Z142" s="364">
        <v>0.75</v>
      </c>
      <c r="AA142" s="239"/>
      <c r="AB142" s="362">
        <f>AB$137*(Z136+1)/(AB$116*Z142)</f>
        <v>406.48491736901235</v>
      </c>
      <c r="AC142" s="156"/>
      <c r="AD142" s="239"/>
      <c r="AE142" s="239"/>
      <c r="AF142" s="239"/>
      <c r="AG142" s="248"/>
      <c r="AH142" s="239"/>
    </row>
    <row r="143" spans="6:37" ht="13.5" thickBot="1" x14ac:dyDescent="0.25">
      <c r="F143" s="355"/>
      <c r="H143" s="364">
        <v>0.7</v>
      </c>
      <c r="I143" s="239"/>
      <c r="J143" s="362">
        <f>J$137*(H136+1)/(J$116*H143)</f>
        <v>699.38242266494569</v>
      </c>
      <c r="K143" s="434"/>
      <c r="L143" s="355"/>
      <c r="N143" s="364">
        <v>0.7</v>
      </c>
      <c r="O143" s="239"/>
      <c r="P143" s="362">
        <f>P$137*(N136+1)/(P$116*N143)</f>
        <v>580.19248471403455</v>
      </c>
      <c r="Q143" s="156"/>
      <c r="R143" s="355"/>
      <c r="S143" s="33"/>
      <c r="T143" s="364">
        <v>0.7</v>
      </c>
      <c r="V143" s="362">
        <f>V$137*(T136+1)/(V$116*T143)</f>
        <v>459.55137201922156</v>
      </c>
      <c r="W143" s="156"/>
      <c r="X143" s="355"/>
      <c r="Y143" s="33"/>
      <c r="Z143" s="364">
        <v>0.7</v>
      </c>
      <c r="AB143" s="362">
        <f>AB$137*(Z136+1)/(AB$116*Z143)</f>
        <v>435.5195543239418</v>
      </c>
      <c r="AC143" s="156"/>
      <c r="AJ143" s="242"/>
      <c r="AK143" s="242"/>
    </row>
    <row r="144" spans="6:37" ht="13.5" thickBot="1" x14ac:dyDescent="0.25">
      <c r="F144" s="355"/>
      <c r="H144" s="364">
        <v>0.65</v>
      </c>
      <c r="I144" s="239"/>
      <c r="J144" s="362">
        <f>J$137*(H136+1)/(J$116*H144)</f>
        <v>753.18107056224926</v>
      </c>
      <c r="K144" s="434"/>
      <c r="L144" s="355"/>
      <c r="N144" s="364">
        <v>0.65</v>
      </c>
      <c r="O144" s="239"/>
      <c r="P144" s="362">
        <f>P$137*(N136+1)/(P$116*N144)</f>
        <v>624.82267584588328</v>
      </c>
      <c r="Q144" s="156"/>
      <c r="R144" s="355"/>
      <c r="S144" s="33"/>
      <c r="T144" s="364">
        <v>0.65</v>
      </c>
      <c r="V144" s="362">
        <f>V$137*(T136+1)/(V$116*T144)</f>
        <v>494.90147755916166</v>
      </c>
      <c r="W144" s="156"/>
      <c r="X144" s="355"/>
      <c r="Y144" s="33"/>
      <c r="Z144" s="364">
        <v>0.65</v>
      </c>
      <c r="AB144" s="362">
        <f>AB$137*(Z136+1)/(AB$116*Z144)</f>
        <v>469.02105850270658</v>
      </c>
      <c r="AC144" s="156"/>
    </row>
    <row r="145" spans="6:37" ht="13.5" thickBot="1" x14ac:dyDescent="0.25">
      <c r="F145" s="355"/>
      <c r="H145" s="364">
        <v>0.6</v>
      </c>
      <c r="I145" s="239"/>
      <c r="J145" s="362">
        <f>J$137*(H136+1)/(J$116*H145)</f>
        <v>815.94615977577007</v>
      </c>
      <c r="K145" s="434"/>
      <c r="L145" s="355"/>
      <c r="N145" s="364">
        <v>0.6</v>
      </c>
      <c r="O145" s="239"/>
      <c r="P145" s="362">
        <f>P$137*(N136+1)/(P$116*N145)</f>
        <v>676.89123216637358</v>
      </c>
      <c r="Q145" s="156"/>
      <c r="R145" s="355"/>
      <c r="S145" s="33"/>
      <c r="T145" s="364">
        <v>0.6</v>
      </c>
      <c r="V145" s="362">
        <f>V$137*(T136+1)/(V$116*T145)</f>
        <v>536.14326735575844</v>
      </c>
      <c r="W145" s="156"/>
      <c r="X145" s="355"/>
      <c r="Y145" s="33"/>
      <c r="Z145" s="364">
        <v>0.6</v>
      </c>
      <c r="AB145" s="362">
        <f>AB$137*(Z136+1)/(AB$116*Z145)</f>
        <v>508.10614671126547</v>
      </c>
      <c r="AC145" s="156"/>
    </row>
    <row r="146" spans="6:37" ht="13.5" thickBot="1" x14ac:dyDescent="0.25">
      <c r="F146" s="355"/>
      <c r="H146" s="364">
        <v>0.55000000000000004</v>
      </c>
      <c r="I146" s="239"/>
      <c r="J146" s="362">
        <f>J$137*(H136+1)/(J$116*H146)</f>
        <v>890.12308339174911</v>
      </c>
      <c r="K146" s="434"/>
      <c r="L146" s="355"/>
      <c r="N146" s="364">
        <v>0.55000000000000004</v>
      </c>
      <c r="O146" s="239"/>
      <c r="P146" s="362">
        <f>P$137*(N136+1)/(P$116*N146)</f>
        <v>738.42679872695294</v>
      </c>
      <c r="Q146" s="156"/>
      <c r="R146" s="355"/>
      <c r="S146" s="33"/>
      <c r="T146" s="364">
        <v>0.55000000000000004</v>
      </c>
      <c r="V146" s="362">
        <f>V$137*(T136+1)/(V$116*T146)</f>
        <v>584.88356438810013</v>
      </c>
      <c r="W146" s="156"/>
      <c r="X146" s="355"/>
      <c r="Y146" s="33"/>
      <c r="Z146" s="364">
        <v>0.55000000000000004</v>
      </c>
      <c r="AB146" s="362">
        <f>AB$137*(Z136+1)/(AB$116*Z146)</f>
        <v>554.2976145941077</v>
      </c>
      <c r="AC146" s="156"/>
    </row>
    <row r="147" spans="6:37" ht="13.5" thickBot="1" x14ac:dyDescent="0.25">
      <c r="F147" s="373"/>
      <c r="G147" s="36"/>
      <c r="H147" s="374">
        <v>0.5</v>
      </c>
      <c r="I147" s="375"/>
      <c r="J147" s="376">
        <f>J$137*(H136+1)/(J$116*H147)</f>
        <v>979.13539173092408</v>
      </c>
      <c r="K147" s="434"/>
      <c r="L147" s="373"/>
      <c r="M147" s="36"/>
      <c r="N147" s="374">
        <v>0.5</v>
      </c>
      <c r="O147" s="375"/>
      <c r="P147" s="376">
        <f>P$137*(N136+1)/(P$116*N147)</f>
        <v>812.26947859964832</v>
      </c>
      <c r="Q147" s="156"/>
      <c r="R147" s="373"/>
      <c r="S147" s="36"/>
      <c r="T147" s="374">
        <v>0.5</v>
      </c>
      <c r="U147" s="375"/>
      <c r="V147" s="362">
        <f>V$137*(T136+1)/(V$116*T147)</f>
        <v>643.37192082691024</v>
      </c>
      <c r="W147" s="156"/>
      <c r="X147" s="373"/>
      <c r="Y147" s="36"/>
      <c r="Z147" s="374">
        <v>0.5</v>
      </c>
      <c r="AA147" s="375"/>
      <c r="AB147" s="376">
        <f>AB$137*(Z136+1)/(AB$116*Z147)</f>
        <v>609.72737605351858</v>
      </c>
      <c r="AC147" s="334"/>
    </row>
    <row r="148" spans="6:37" x14ac:dyDescent="0.2">
      <c r="I148" s="187"/>
      <c r="O148" s="187"/>
      <c r="U148" s="187"/>
      <c r="AA148" s="187"/>
      <c r="AC148" s="334"/>
    </row>
    <row r="149" spans="6:37" x14ac:dyDescent="0.2">
      <c r="I149" s="187"/>
      <c r="O149" s="187"/>
      <c r="U149" s="187"/>
      <c r="AA149" s="187"/>
      <c r="AC149" s="334"/>
    </row>
    <row r="150" spans="6:37" s="363" customFormat="1" x14ac:dyDescent="0.2">
      <c r="F150" s="33"/>
      <c r="G150" s="33"/>
      <c r="H150" s="33"/>
      <c r="I150" s="33"/>
      <c r="J150" s="33"/>
      <c r="K150" s="33"/>
      <c r="L150" s="33"/>
      <c r="M150" s="33"/>
      <c r="N150" s="239"/>
      <c r="O150" s="248"/>
      <c r="P150" s="239"/>
      <c r="Q150" s="239"/>
      <c r="R150" s="33"/>
      <c r="S150" s="239"/>
      <c r="T150" s="156"/>
      <c r="U150" s="239"/>
      <c r="V150" s="239"/>
      <c r="W150" s="33"/>
      <c r="X150" s="33"/>
      <c r="Y150" s="239"/>
      <c r="Z150" s="248"/>
      <c r="AA150" s="239"/>
      <c r="AB150" s="239"/>
      <c r="AC150" s="239"/>
      <c r="AD150" s="239"/>
      <c r="AE150" s="239"/>
      <c r="AF150" s="239"/>
      <c r="AG150" s="248"/>
      <c r="AH150" s="239"/>
      <c r="AJ150" s="33"/>
      <c r="AK150" s="33"/>
    </row>
    <row r="151" spans="6:37" x14ac:dyDescent="0.2">
      <c r="AC151" s="440"/>
      <c r="AJ151" s="363"/>
      <c r="AK151" s="363"/>
    </row>
    <row r="153" spans="6:37" x14ac:dyDescent="0.2">
      <c r="AC153" s="353"/>
    </row>
    <row r="159" spans="6:37" s="239" customFormat="1" x14ac:dyDescent="0.2">
      <c r="F159" s="33"/>
      <c r="G159" s="33"/>
      <c r="H159" s="33"/>
      <c r="I159" s="33"/>
      <c r="J159" s="33"/>
      <c r="K159" s="33"/>
      <c r="L159" s="33"/>
      <c r="M159" s="33"/>
      <c r="O159" s="248"/>
      <c r="R159" s="33"/>
      <c r="T159" s="248"/>
      <c r="W159" s="33"/>
      <c r="X159" s="33"/>
      <c r="Z159" s="248"/>
      <c r="AG159" s="248"/>
      <c r="AI159" s="33"/>
      <c r="AJ159" s="33"/>
      <c r="AK159" s="33"/>
    </row>
  </sheetData>
  <mergeCells count="34">
    <mergeCell ref="F134:G134"/>
    <mergeCell ref="L134:M134"/>
    <mergeCell ref="R134:S134"/>
    <mergeCell ref="X134:Y134"/>
    <mergeCell ref="AJ4:AL4"/>
    <mergeCell ref="AD4:AH4"/>
    <mergeCell ref="L115:P115"/>
    <mergeCell ref="L4:P4"/>
    <mergeCell ref="F22:G22"/>
    <mergeCell ref="L22:M22"/>
    <mergeCell ref="R22:S22"/>
    <mergeCell ref="X22:Y22"/>
    <mergeCell ref="F59:G59"/>
    <mergeCell ref="L59:M59"/>
    <mergeCell ref="R59:S59"/>
    <mergeCell ref="X59:Y59"/>
    <mergeCell ref="AD10:AH10"/>
    <mergeCell ref="AD17:AH17"/>
    <mergeCell ref="R4:V4"/>
    <mergeCell ref="X4:AB4"/>
    <mergeCell ref="F98:G98"/>
    <mergeCell ref="L98:M98"/>
    <mergeCell ref="R98:S98"/>
    <mergeCell ref="X98:Y98"/>
    <mergeCell ref="F77:G77"/>
    <mergeCell ref="F96:G96"/>
    <mergeCell ref="L96:M96"/>
    <mergeCell ref="R96:S96"/>
    <mergeCell ref="X96:Y96"/>
    <mergeCell ref="F132:G132"/>
    <mergeCell ref="L132:M132"/>
    <mergeCell ref="R132:S132"/>
    <mergeCell ref="X132:Y132"/>
    <mergeCell ref="F114:G114"/>
  </mergeCells>
  <pageMargins left="0" right="0" top="0.5" bottom="0.64" header="0.2" footer="0.34"/>
  <pageSetup paperSize="5" scale="43" fitToHeight="2" orientation="landscape" r:id="rId1"/>
  <headerFooter alignWithMargins="0">
    <oddHeader>&amp;C&amp;20YOUTH INTERMEDIATE TERM RESIDENTIAL RATES</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6218-524E-4294-BF29-5927A78ECED3}">
  <sheetPr>
    <pageSetUpPr fitToPage="1"/>
  </sheetPr>
  <dimension ref="E1:AM122"/>
  <sheetViews>
    <sheetView zoomScale="90" zoomScaleNormal="90" workbookViewId="0">
      <selection activeCell="K30" sqref="K30"/>
    </sheetView>
  </sheetViews>
  <sheetFormatPr defaultColWidth="8.25" defaultRowHeight="15" x14ac:dyDescent="0.25"/>
  <cols>
    <col min="1" max="4" width="8.25" style="42"/>
    <col min="5" max="5" width="10.5" style="42" customWidth="1"/>
    <col min="6" max="6" width="18.375" style="42" customWidth="1"/>
    <col min="7" max="7" width="8.625" style="42" customWidth="1"/>
    <col min="8" max="8" width="8.25" style="42" customWidth="1"/>
    <col min="9" max="9" width="7.25" style="42" bestFit="1" customWidth="1"/>
    <col min="10" max="10" width="8.625" style="42" bestFit="1" customWidth="1"/>
    <col min="11" max="11" width="7.75" style="42" customWidth="1"/>
    <col min="12" max="12" width="17.25" style="42" customWidth="1"/>
    <col min="13" max="13" width="9.25" style="42" bestFit="1" customWidth="1"/>
    <col min="14" max="14" width="9" style="42" customWidth="1"/>
    <col min="15" max="15" width="6.625" style="42" customWidth="1"/>
    <col min="16" max="16" width="10.125" style="42" customWidth="1"/>
    <col min="17" max="17" width="8.125" style="42" customWidth="1"/>
    <col min="18" max="18" width="17.375" style="42" customWidth="1"/>
    <col min="19" max="19" width="9.25" style="42" bestFit="1" customWidth="1"/>
    <col min="20" max="20" width="9" style="42" customWidth="1"/>
    <col min="21" max="21" width="6.625" style="42" customWidth="1"/>
    <col min="22" max="22" width="9.5" style="42" customWidth="1"/>
    <col min="23" max="23" width="7.75" style="42" customWidth="1"/>
    <col min="24" max="24" width="18.25" style="42" customWidth="1"/>
    <col min="25" max="25" width="10.5" style="42" customWidth="1"/>
    <col min="26" max="26" width="7.125" style="42" customWidth="1"/>
    <col min="27" max="27" width="7.25" style="42" bestFit="1" customWidth="1"/>
    <col min="28" max="28" width="8.625" style="42" bestFit="1" customWidth="1"/>
    <col min="29" max="29" width="8.5" style="42" customWidth="1"/>
    <col min="30" max="30" width="21.625" style="42" customWidth="1"/>
    <col min="31" max="31" width="9" style="42" customWidth="1"/>
    <col min="32" max="32" width="9.25" style="313" customWidth="1"/>
    <col min="33" max="33" width="6.625" style="42" customWidth="1"/>
    <col min="34" max="34" width="16.25" style="42" customWidth="1"/>
    <col min="35" max="35" width="7.375" style="42" customWidth="1"/>
    <col min="36" max="36" width="4.875" style="42" customWidth="1"/>
    <col min="37" max="37" width="16.875" style="42" bestFit="1" customWidth="1"/>
    <col min="38" max="252" width="8.25" style="42"/>
    <col min="253" max="253" width="27.75" style="42" customWidth="1"/>
    <col min="254" max="254" width="9.25" style="42" bestFit="1" customWidth="1"/>
    <col min="255" max="255" width="9" style="42" customWidth="1"/>
    <col min="256" max="256" width="8.25" style="42" customWidth="1"/>
    <col min="257" max="257" width="10.25" style="42" bestFit="1" customWidth="1"/>
    <col min="258" max="258" width="1.75" style="42" customWidth="1"/>
    <col min="259" max="259" width="27.75" style="42" customWidth="1"/>
    <col min="260" max="260" width="9.25" style="42" bestFit="1" customWidth="1"/>
    <col min="261" max="261" width="9" style="42" customWidth="1"/>
    <col min="262" max="262" width="8.25" style="42" customWidth="1"/>
    <col min="263" max="263" width="9.25" style="42" bestFit="1" customWidth="1"/>
    <col min="264" max="264" width="2.75" style="42" customWidth="1"/>
    <col min="265" max="265" width="26.625" style="42" customWidth="1"/>
    <col min="266" max="266" width="9.25" style="42" bestFit="1" customWidth="1"/>
    <col min="267" max="267" width="9" style="42" customWidth="1"/>
    <col min="268" max="268" width="8.25" style="42" customWidth="1"/>
    <col min="269" max="269" width="9.25" style="42" bestFit="1" customWidth="1"/>
    <col min="270" max="270" width="2.75" style="42" customWidth="1"/>
    <col min="271" max="271" width="26.625" style="42" customWidth="1"/>
    <col min="272" max="272" width="9.25" style="42" bestFit="1" customWidth="1"/>
    <col min="273" max="273" width="9" style="42" customWidth="1"/>
    <col min="274" max="274" width="8.25" style="42" customWidth="1"/>
    <col min="275" max="275" width="9.25" style="42" bestFit="1" customWidth="1"/>
    <col min="276" max="276" width="2.75" style="42" customWidth="1"/>
    <col min="277" max="281" width="0" style="42" hidden="1" customWidth="1"/>
    <col min="282" max="282" width="2.5" style="42" customWidth="1"/>
    <col min="283" max="283" width="6" style="42" bestFit="1" customWidth="1"/>
    <col min="284" max="284" width="21.125" style="42" customWidth="1"/>
    <col min="285" max="285" width="11" style="42" customWidth="1"/>
    <col min="286" max="286" width="15" style="42" customWidth="1"/>
    <col min="287" max="287" width="6.625" style="42" customWidth="1"/>
    <col min="288" max="289" width="7.375" style="42" customWidth="1"/>
    <col min="290" max="290" width="7.25" style="42" customWidth="1"/>
    <col min="291" max="508" width="8.25" style="42"/>
    <col min="509" max="509" width="27.75" style="42" customWidth="1"/>
    <col min="510" max="510" width="9.25" style="42" bestFit="1" customWidth="1"/>
    <col min="511" max="511" width="9" style="42" customWidth="1"/>
    <col min="512" max="512" width="8.25" style="42" customWidth="1"/>
    <col min="513" max="513" width="10.25" style="42" bestFit="1" customWidth="1"/>
    <col min="514" max="514" width="1.75" style="42" customWidth="1"/>
    <col min="515" max="515" width="27.75" style="42" customWidth="1"/>
    <col min="516" max="516" width="9.25" style="42" bestFit="1" customWidth="1"/>
    <col min="517" max="517" width="9" style="42" customWidth="1"/>
    <col min="518" max="518" width="8.25" style="42" customWidth="1"/>
    <col min="519" max="519" width="9.25" style="42" bestFit="1" customWidth="1"/>
    <col min="520" max="520" width="2.75" style="42" customWidth="1"/>
    <col min="521" max="521" width="26.625" style="42" customWidth="1"/>
    <col min="522" max="522" width="9.25" style="42" bestFit="1" customWidth="1"/>
    <col min="523" max="523" width="9" style="42" customWidth="1"/>
    <col min="524" max="524" width="8.25" style="42" customWidth="1"/>
    <col min="525" max="525" width="9.25" style="42" bestFit="1" customWidth="1"/>
    <col min="526" max="526" width="2.75" style="42" customWidth="1"/>
    <col min="527" max="527" width="26.625" style="42" customWidth="1"/>
    <col min="528" max="528" width="9.25" style="42" bestFit="1" customWidth="1"/>
    <col min="529" max="529" width="9" style="42" customWidth="1"/>
    <col min="530" max="530" width="8.25" style="42" customWidth="1"/>
    <col min="531" max="531" width="9.25" style="42" bestFit="1" customWidth="1"/>
    <col min="532" max="532" width="2.75" style="42" customWidth="1"/>
    <col min="533" max="537" width="0" style="42" hidden="1" customWidth="1"/>
    <col min="538" max="538" width="2.5" style="42" customWidth="1"/>
    <col min="539" max="539" width="6" style="42" bestFit="1" customWidth="1"/>
    <col min="540" max="540" width="21.125" style="42" customWidth="1"/>
    <col min="541" max="541" width="11" style="42" customWidth="1"/>
    <col min="542" max="542" width="15" style="42" customWidth="1"/>
    <col min="543" max="543" width="6.625" style="42" customWidth="1"/>
    <col min="544" max="545" width="7.375" style="42" customWidth="1"/>
    <col min="546" max="546" width="7.25" style="42" customWidth="1"/>
    <col min="547" max="764" width="8.25" style="42"/>
    <col min="765" max="765" width="27.75" style="42" customWidth="1"/>
    <col min="766" max="766" width="9.25" style="42" bestFit="1" customWidth="1"/>
    <col min="767" max="767" width="9" style="42" customWidth="1"/>
    <col min="768" max="768" width="8.25" style="42" customWidth="1"/>
    <col min="769" max="769" width="10.25" style="42" bestFit="1" customWidth="1"/>
    <col min="770" max="770" width="1.75" style="42" customWidth="1"/>
    <col min="771" max="771" width="27.75" style="42" customWidth="1"/>
    <col min="772" max="772" width="9.25" style="42" bestFit="1" customWidth="1"/>
    <col min="773" max="773" width="9" style="42" customWidth="1"/>
    <col min="774" max="774" width="8.25" style="42" customWidth="1"/>
    <col min="775" max="775" width="9.25" style="42" bestFit="1" customWidth="1"/>
    <col min="776" max="776" width="2.75" style="42" customWidth="1"/>
    <col min="777" max="777" width="26.625" style="42" customWidth="1"/>
    <col min="778" max="778" width="9.25" style="42" bestFit="1" customWidth="1"/>
    <col min="779" max="779" width="9" style="42" customWidth="1"/>
    <col min="780" max="780" width="8.25" style="42" customWidth="1"/>
    <col min="781" max="781" width="9.25" style="42" bestFit="1" customWidth="1"/>
    <col min="782" max="782" width="2.75" style="42" customWidth="1"/>
    <col min="783" max="783" width="26.625" style="42" customWidth="1"/>
    <col min="784" max="784" width="9.25" style="42" bestFit="1" customWidth="1"/>
    <col min="785" max="785" width="9" style="42" customWidth="1"/>
    <col min="786" max="786" width="8.25" style="42" customWidth="1"/>
    <col min="787" max="787" width="9.25" style="42" bestFit="1" customWidth="1"/>
    <col min="788" max="788" width="2.75" style="42" customWidth="1"/>
    <col min="789" max="793" width="0" style="42" hidden="1" customWidth="1"/>
    <col min="794" max="794" width="2.5" style="42" customWidth="1"/>
    <col min="795" max="795" width="6" style="42" bestFit="1" customWidth="1"/>
    <col min="796" max="796" width="21.125" style="42" customWidth="1"/>
    <col min="797" max="797" width="11" style="42" customWidth="1"/>
    <col min="798" max="798" width="15" style="42" customWidth="1"/>
    <col min="799" max="799" width="6.625" style="42" customWidth="1"/>
    <col min="800" max="801" width="7.375" style="42" customWidth="1"/>
    <col min="802" max="802" width="7.25" style="42" customWidth="1"/>
    <col min="803" max="1020" width="8.25" style="42"/>
    <col min="1021" max="1021" width="27.75" style="42" customWidth="1"/>
    <col min="1022" max="1022" width="9.25" style="42" bestFit="1" customWidth="1"/>
    <col min="1023" max="1023" width="9" style="42" customWidth="1"/>
    <col min="1024" max="1024" width="8.25" style="42" customWidth="1"/>
    <col min="1025" max="1025" width="10.25" style="42" bestFit="1" customWidth="1"/>
    <col min="1026" max="1026" width="1.75" style="42" customWidth="1"/>
    <col min="1027" max="1027" width="27.75" style="42" customWidth="1"/>
    <col min="1028" max="1028" width="9.25" style="42" bestFit="1" customWidth="1"/>
    <col min="1029" max="1029" width="9" style="42" customWidth="1"/>
    <col min="1030" max="1030" width="8.25" style="42" customWidth="1"/>
    <col min="1031" max="1031" width="9.25" style="42" bestFit="1" customWidth="1"/>
    <col min="1032" max="1032" width="2.75" style="42" customWidth="1"/>
    <col min="1033" max="1033" width="26.625" style="42" customWidth="1"/>
    <col min="1034" max="1034" width="9.25" style="42" bestFit="1" customWidth="1"/>
    <col min="1035" max="1035" width="9" style="42" customWidth="1"/>
    <col min="1036" max="1036" width="8.25" style="42" customWidth="1"/>
    <col min="1037" max="1037" width="9.25" style="42" bestFit="1" customWidth="1"/>
    <col min="1038" max="1038" width="2.75" style="42" customWidth="1"/>
    <col min="1039" max="1039" width="26.625" style="42" customWidth="1"/>
    <col min="1040" max="1040" width="9.25" style="42" bestFit="1" customWidth="1"/>
    <col min="1041" max="1041" width="9" style="42" customWidth="1"/>
    <col min="1042" max="1042" width="8.25" style="42" customWidth="1"/>
    <col min="1043" max="1043" width="9.25" style="42" bestFit="1" customWidth="1"/>
    <col min="1044" max="1044" width="2.75" style="42" customWidth="1"/>
    <col min="1045" max="1049" width="0" style="42" hidden="1" customWidth="1"/>
    <col min="1050" max="1050" width="2.5" style="42" customWidth="1"/>
    <col min="1051" max="1051" width="6" style="42" bestFit="1" customWidth="1"/>
    <col min="1052" max="1052" width="21.125" style="42" customWidth="1"/>
    <col min="1053" max="1053" width="11" style="42" customWidth="1"/>
    <col min="1054" max="1054" width="15" style="42" customWidth="1"/>
    <col min="1055" max="1055" width="6.625" style="42" customWidth="1"/>
    <col min="1056" max="1057" width="7.375" style="42" customWidth="1"/>
    <col min="1058" max="1058" width="7.25" style="42" customWidth="1"/>
    <col min="1059" max="1276" width="8.25" style="42"/>
    <col min="1277" max="1277" width="27.75" style="42" customWidth="1"/>
    <col min="1278" max="1278" width="9.25" style="42" bestFit="1" customWidth="1"/>
    <col min="1279" max="1279" width="9" style="42" customWidth="1"/>
    <col min="1280" max="1280" width="8.25" style="42" customWidth="1"/>
    <col min="1281" max="1281" width="10.25" style="42" bestFit="1" customWidth="1"/>
    <col min="1282" max="1282" width="1.75" style="42" customWidth="1"/>
    <col min="1283" max="1283" width="27.75" style="42" customWidth="1"/>
    <col min="1284" max="1284" width="9.25" style="42" bestFit="1" customWidth="1"/>
    <col min="1285" max="1285" width="9" style="42" customWidth="1"/>
    <col min="1286" max="1286" width="8.25" style="42" customWidth="1"/>
    <col min="1287" max="1287" width="9.25" style="42" bestFit="1" customWidth="1"/>
    <col min="1288" max="1288" width="2.75" style="42" customWidth="1"/>
    <col min="1289" max="1289" width="26.625" style="42" customWidth="1"/>
    <col min="1290" max="1290" width="9.25" style="42" bestFit="1" customWidth="1"/>
    <col min="1291" max="1291" width="9" style="42" customWidth="1"/>
    <col min="1292" max="1292" width="8.25" style="42" customWidth="1"/>
    <col min="1293" max="1293" width="9.25" style="42" bestFit="1" customWidth="1"/>
    <col min="1294" max="1294" width="2.75" style="42" customWidth="1"/>
    <col min="1295" max="1295" width="26.625" style="42" customWidth="1"/>
    <col min="1296" max="1296" width="9.25" style="42" bestFit="1" customWidth="1"/>
    <col min="1297" max="1297" width="9" style="42" customWidth="1"/>
    <col min="1298" max="1298" width="8.25" style="42" customWidth="1"/>
    <col min="1299" max="1299" width="9.25" style="42" bestFit="1" customWidth="1"/>
    <col min="1300" max="1300" width="2.75" style="42" customWidth="1"/>
    <col min="1301" max="1305" width="0" style="42" hidden="1" customWidth="1"/>
    <col min="1306" max="1306" width="2.5" style="42" customWidth="1"/>
    <col min="1307" max="1307" width="6" style="42" bestFit="1" customWidth="1"/>
    <col min="1308" max="1308" width="21.125" style="42" customWidth="1"/>
    <col min="1309" max="1309" width="11" style="42" customWidth="1"/>
    <col min="1310" max="1310" width="15" style="42" customWidth="1"/>
    <col min="1311" max="1311" width="6.625" style="42" customWidth="1"/>
    <col min="1312" max="1313" width="7.375" style="42" customWidth="1"/>
    <col min="1314" max="1314" width="7.25" style="42" customWidth="1"/>
    <col min="1315" max="1532" width="8.25" style="42"/>
    <col min="1533" max="1533" width="27.75" style="42" customWidth="1"/>
    <col min="1534" max="1534" width="9.25" style="42" bestFit="1" customWidth="1"/>
    <col min="1535" max="1535" width="9" style="42" customWidth="1"/>
    <col min="1536" max="1536" width="8.25" style="42" customWidth="1"/>
    <col min="1537" max="1537" width="10.25" style="42" bestFit="1" customWidth="1"/>
    <col min="1538" max="1538" width="1.75" style="42" customWidth="1"/>
    <col min="1539" max="1539" width="27.75" style="42" customWidth="1"/>
    <col min="1540" max="1540" width="9.25" style="42" bestFit="1" customWidth="1"/>
    <col min="1541" max="1541" width="9" style="42" customWidth="1"/>
    <col min="1542" max="1542" width="8.25" style="42" customWidth="1"/>
    <col min="1543" max="1543" width="9.25" style="42" bestFit="1" customWidth="1"/>
    <col min="1544" max="1544" width="2.75" style="42" customWidth="1"/>
    <col min="1545" max="1545" width="26.625" style="42" customWidth="1"/>
    <col min="1546" max="1546" width="9.25" style="42" bestFit="1" customWidth="1"/>
    <col min="1547" max="1547" width="9" style="42" customWidth="1"/>
    <col min="1548" max="1548" width="8.25" style="42" customWidth="1"/>
    <col min="1549" max="1549" width="9.25" style="42" bestFit="1" customWidth="1"/>
    <col min="1550" max="1550" width="2.75" style="42" customWidth="1"/>
    <col min="1551" max="1551" width="26.625" style="42" customWidth="1"/>
    <col min="1552" max="1552" width="9.25" style="42" bestFit="1" customWidth="1"/>
    <col min="1553" max="1553" width="9" style="42" customWidth="1"/>
    <col min="1554" max="1554" width="8.25" style="42" customWidth="1"/>
    <col min="1555" max="1555" width="9.25" style="42" bestFit="1" customWidth="1"/>
    <col min="1556" max="1556" width="2.75" style="42" customWidth="1"/>
    <col min="1557" max="1561" width="0" style="42" hidden="1" customWidth="1"/>
    <col min="1562" max="1562" width="2.5" style="42" customWidth="1"/>
    <col min="1563" max="1563" width="6" style="42" bestFit="1" customWidth="1"/>
    <col min="1564" max="1564" width="21.125" style="42" customWidth="1"/>
    <col min="1565" max="1565" width="11" style="42" customWidth="1"/>
    <col min="1566" max="1566" width="15" style="42" customWidth="1"/>
    <col min="1567" max="1567" width="6.625" style="42" customWidth="1"/>
    <col min="1568" max="1569" width="7.375" style="42" customWidth="1"/>
    <col min="1570" max="1570" width="7.25" style="42" customWidth="1"/>
    <col min="1571" max="1788" width="8.25" style="42"/>
    <col min="1789" max="1789" width="27.75" style="42" customWidth="1"/>
    <col min="1790" max="1790" width="9.25" style="42" bestFit="1" customWidth="1"/>
    <col min="1791" max="1791" width="9" style="42" customWidth="1"/>
    <col min="1792" max="1792" width="8.25" style="42" customWidth="1"/>
    <col min="1793" max="1793" width="10.25" style="42" bestFit="1" customWidth="1"/>
    <col min="1794" max="1794" width="1.75" style="42" customWidth="1"/>
    <col min="1795" max="1795" width="27.75" style="42" customWidth="1"/>
    <col min="1796" max="1796" width="9.25" style="42" bestFit="1" customWidth="1"/>
    <col min="1797" max="1797" width="9" style="42" customWidth="1"/>
    <col min="1798" max="1798" width="8.25" style="42" customWidth="1"/>
    <col min="1799" max="1799" width="9.25" style="42" bestFit="1" customWidth="1"/>
    <col min="1800" max="1800" width="2.75" style="42" customWidth="1"/>
    <col min="1801" max="1801" width="26.625" style="42" customWidth="1"/>
    <col min="1802" max="1802" width="9.25" style="42" bestFit="1" customWidth="1"/>
    <col min="1803" max="1803" width="9" style="42" customWidth="1"/>
    <col min="1804" max="1804" width="8.25" style="42" customWidth="1"/>
    <col min="1805" max="1805" width="9.25" style="42" bestFit="1" customWidth="1"/>
    <col min="1806" max="1806" width="2.75" style="42" customWidth="1"/>
    <col min="1807" max="1807" width="26.625" style="42" customWidth="1"/>
    <col min="1808" max="1808" width="9.25" style="42" bestFit="1" customWidth="1"/>
    <col min="1809" max="1809" width="9" style="42" customWidth="1"/>
    <col min="1810" max="1810" width="8.25" style="42" customWidth="1"/>
    <col min="1811" max="1811" width="9.25" style="42" bestFit="1" customWidth="1"/>
    <col min="1812" max="1812" width="2.75" style="42" customWidth="1"/>
    <col min="1813" max="1817" width="0" style="42" hidden="1" customWidth="1"/>
    <col min="1818" max="1818" width="2.5" style="42" customWidth="1"/>
    <col min="1819" max="1819" width="6" style="42" bestFit="1" customWidth="1"/>
    <col min="1820" max="1820" width="21.125" style="42" customWidth="1"/>
    <col min="1821" max="1821" width="11" style="42" customWidth="1"/>
    <col min="1822" max="1822" width="15" style="42" customWidth="1"/>
    <col min="1823" max="1823" width="6.625" style="42" customWidth="1"/>
    <col min="1824" max="1825" width="7.375" style="42" customWidth="1"/>
    <col min="1826" max="1826" width="7.25" style="42" customWidth="1"/>
    <col min="1827" max="2044" width="8.25" style="42"/>
    <col min="2045" max="2045" width="27.75" style="42" customWidth="1"/>
    <col min="2046" max="2046" width="9.25" style="42" bestFit="1" customWidth="1"/>
    <col min="2047" max="2047" width="9" style="42" customWidth="1"/>
    <col min="2048" max="2048" width="8.25" style="42" customWidth="1"/>
    <col min="2049" max="2049" width="10.25" style="42" bestFit="1" customWidth="1"/>
    <col min="2050" max="2050" width="1.75" style="42" customWidth="1"/>
    <col min="2051" max="2051" width="27.75" style="42" customWidth="1"/>
    <col min="2052" max="2052" width="9.25" style="42" bestFit="1" customWidth="1"/>
    <col min="2053" max="2053" width="9" style="42" customWidth="1"/>
    <col min="2054" max="2054" width="8.25" style="42" customWidth="1"/>
    <col min="2055" max="2055" width="9.25" style="42" bestFit="1" customWidth="1"/>
    <col min="2056" max="2056" width="2.75" style="42" customWidth="1"/>
    <col min="2057" max="2057" width="26.625" style="42" customWidth="1"/>
    <col min="2058" max="2058" width="9.25" style="42" bestFit="1" customWidth="1"/>
    <col min="2059" max="2059" width="9" style="42" customWidth="1"/>
    <col min="2060" max="2060" width="8.25" style="42" customWidth="1"/>
    <col min="2061" max="2061" width="9.25" style="42" bestFit="1" customWidth="1"/>
    <col min="2062" max="2062" width="2.75" style="42" customWidth="1"/>
    <col min="2063" max="2063" width="26.625" style="42" customWidth="1"/>
    <col min="2064" max="2064" width="9.25" style="42" bestFit="1" customWidth="1"/>
    <col min="2065" max="2065" width="9" style="42" customWidth="1"/>
    <col min="2066" max="2066" width="8.25" style="42" customWidth="1"/>
    <col min="2067" max="2067" width="9.25" style="42" bestFit="1" customWidth="1"/>
    <col min="2068" max="2068" width="2.75" style="42" customWidth="1"/>
    <col min="2069" max="2073" width="0" style="42" hidden="1" customWidth="1"/>
    <col min="2074" max="2074" width="2.5" style="42" customWidth="1"/>
    <col min="2075" max="2075" width="6" style="42" bestFit="1" customWidth="1"/>
    <col min="2076" max="2076" width="21.125" style="42" customWidth="1"/>
    <col min="2077" max="2077" width="11" style="42" customWidth="1"/>
    <col min="2078" max="2078" width="15" style="42" customWidth="1"/>
    <col min="2079" max="2079" width="6.625" style="42" customWidth="1"/>
    <col min="2080" max="2081" width="7.375" style="42" customWidth="1"/>
    <col min="2082" max="2082" width="7.25" style="42" customWidth="1"/>
    <col min="2083" max="2300" width="8.25" style="42"/>
    <col min="2301" max="2301" width="27.75" style="42" customWidth="1"/>
    <col min="2302" max="2302" width="9.25" style="42" bestFit="1" customWidth="1"/>
    <col min="2303" max="2303" width="9" style="42" customWidth="1"/>
    <col min="2304" max="2304" width="8.25" style="42" customWidth="1"/>
    <col min="2305" max="2305" width="10.25" style="42" bestFit="1" customWidth="1"/>
    <col min="2306" max="2306" width="1.75" style="42" customWidth="1"/>
    <col min="2307" max="2307" width="27.75" style="42" customWidth="1"/>
    <col min="2308" max="2308" width="9.25" style="42" bestFit="1" customWidth="1"/>
    <col min="2309" max="2309" width="9" style="42" customWidth="1"/>
    <col min="2310" max="2310" width="8.25" style="42" customWidth="1"/>
    <col min="2311" max="2311" width="9.25" style="42" bestFit="1" customWidth="1"/>
    <col min="2312" max="2312" width="2.75" style="42" customWidth="1"/>
    <col min="2313" max="2313" width="26.625" style="42" customWidth="1"/>
    <col min="2314" max="2314" width="9.25" style="42" bestFit="1" customWidth="1"/>
    <col min="2315" max="2315" width="9" style="42" customWidth="1"/>
    <col min="2316" max="2316" width="8.25" style="42" customWidth="1"/>
    <col min="2317" max="2317" width="9.25" style="42" bestFit="1" customWidth="1"/>
    <col min="2318" max="2318" width="2.75" style="42" customWidth="1"/>
    <col min="2319" max="2319" width="26.625" style="42" customWidth="1"/>
    <col min="2320" max="2320" width="9.25" style="42" bestFit="1" customWidth="1"/>
    <col min="2321" max="2321" width="9" style="42" customWidth="1"/>
    <col min="2322" max="2322" width="8.25" style="42" customWidth="1"/>
    <col min="2323" max="2323" width="9.25" style="42" bestFit="1" customWidth="1"/>
    <col min="2324" max="2324" width="2.75" style="42" customWidth="1"/>
    <col min="2325" max="2329" width="0" style="42" hidden="1" customWidth="1"/>
    <col min="2330" max="2330" width="2.5" style="42" customWidth="1"/>
    <col min="2331" max="2331" width="6" style="42" bestFit="1" customWidth="1"/>
    <col min="2332" max="2332" width="21.125" style="42" customWidth="1"/>
    <col min="2333" max="2333" width="11" style="42" customWidth="1"/>
    <col min="2334" max="2334" width="15" style="42" customWidth="1"/>
    <col min="2335" max="2335" width="6.625" style="42" customWidth="1"/>
    <col min="2336" max="2337" width="7.375" style="42" customWidth="1"/>
    <col min="2338" max="2338" width="7.25" style="42" customWidth="1"/>
    <col min="2339" max="2556" width="8.25" style="42"/>
    <col min="2557" max="2557" width="27.75" style="42" customWidth="1"/>
    <col min="2558" max="2558" width="9.25" style="42" bestFit="1" customWidth="1"/>
    <col min="2559" max="2559" width="9" style="42" customWidth="1"/>
    <col min="2560" max="2560" width="8.25" style="42" customWidth="1"/>
    <col min="2561" max="2561" width="10.25" style="42" bestFit="1" customWidth="1"/>
    <col min="2562" max="2562" width="1.75" style="42" customWidth="1"/>
    <col min="2563" max="2563" width="27.75" style="42" customWidth="1"/>
    <col min="2564" max="2564" width="9.25" style="42" bestFit="1" customWidth="1"/>
    <col min="2565" max="2565" width="9" style="42" customWidth="1"/>
    <col min="2566" max="2566" width="8.25" style="42" customWidth="1"/>
    <col min="2567" max="2567" width="9.25" style="42" bestFit="1" customWidth="1"/>
    <col min="2568" max="2568" width="2.75" style="42" customWidth="1"/>
    <col min="2569" max="2569" width="26.625" style="42" customWidth="1"/>
    <col min="2570" max="2570" width="9.25" style="42" bestFit="1" customWidth="1"/>
    <col min="2571" max="2571" width="9" style="42" customWidth="1"/>
    <col min="2572" max="2572" width="8.25" style="42" customWidth="1"/>
    <col min="2573" max="2573" width="9.25" style="42" bestFit="1" customWidth="1"/>
    <col min="2574" max="2574" width="2.75" style="42" customWidth="1"/>
    <col min="2575" max="2575" width="26.625" style="42" customWidth="1"/>
    <col min="2576" max="2576" width="9.25" style="42" bestFit="1" customWidth="1"/>
    <col min="2577" max="2577" width="9" style="42" customWidth="1"/>
    <col min="2578" max="2578" width="8.25" style="42" customWidth="1"/>
    <col min="2579" max="2579" width="9.25" style="42" bestFit="1" customWidth="1"/>
    <col min="2580" max="2580" width="2.75" style="42" customWidth="1"/>
    <col min="2581" max="2585" width="0" style="42" hidden="1" customWidth="1"/>
    <col min="2586" max="2586" width="2.5" style="42" customWidth="1"/>
    <col min="2587" max="2587" width="6" style="42" bestFit="1" customWidth="1"/>
    <col min="2588" max="2588" width="21.125" style="42" customWidth="1"/>
    <col min="2589" max="2589" width="11" style="42" customWidth="1"/>
    <col min="2590" max="2590" width="15" style="42" customWidth="1"/>
    <col min="2591" max="2591" width="6.625" style="42" customWidth="1"/>
    <col min="2592" max="2593" width="7.375" style="42" customWidth="1"/>
    <col min="2594" max="2594" width="7.25" style="42" customWidth="1"/>
    <col min="2595" max="2812" width="8.25" style="42"/>
    <col min="2813" max="2813" width="27.75" style="42" customWidth="1"/>
    <col min="2814" max="2814" width="9.25" style="42" bestFit="1" customWidth="1"/>
    <col min="2815" max="2815" width="9" style="42" customWidth="1"/>
    <col min="2816" max="2816" width="8.25" style="42" customWidth="1"/>
    <col min="2817" max="2817" width="10.25" style="42" bestFit="1" customWidth="1"/>
    <col min="2818" max="2818" width="1.75" style="42" customWidth="1"/>
    <col min="2819" max="2819" width="27.75" style="42" customWidth="1"/>
    <col min="2820" max="2820" width="9.25" style="42" bestFit="1" customWidth="1"/>
    <col min="2821" max="2821" width="9" style="42" customWidth="1"/>
    <col min="2822" max="2822" width="8.25" style="42" customWidth="1"/>
    <col min="2823" max="2823" width="9.25" style="42" bestFit="1" customWidth="1"/>
    <col min="2824" max="2824" width="2.75" style="42" customWidth="1"/>
    <col min="2825" max="2825" width="26.625" style="42" customWidth="1"/>
    <col min="2826" max="2826" width="9.25" style="42" bestFit="1" customWidth="1"/>
    <col min="2827" max="2827" width="9" style="42" customWidth="1"/>
    <col min="2828" max="2828" width="8.25" style="42" customWidth="1"/>
    <col min="2829" max="2829" width="9.25" style="42" bestFit="1" customWidth="1"/>
    <col min="2830" max="2830" width="2.75" style="42" customWidth="1"/>
    <col min="2831" max="2831" width="26.625" style="42" customWidth="1"/>
    <col min="2832" max="2832" width="9.25" style="42" bestFit="1" customWidth="1"/>
    <col min="2833" max="2833" width="9" style="42" customWidth="1"/>
    <col min="2834" max="2834" width="8.25" style="42" customWidth="1"/>
    <col min="2835" max="2835" width="9.25" style="42" bestFit="1" customWidth="1"/>
    <col min="2836" max="2836" width="2.75" style="42" customWidth="1"/>
    <col min="2837" max="2841" width="0" style="42" hidden="1" customWidth="1"/>
    <col min="2842" max="2842" width="2.5" style="42" customWidth="1"/>
    <col min="2843" max="2843" width="6" style="42" bestFit="1" customWidth="1"/>
    <col min="2844" max="2844" width="21.125" style="42" customWidth="1"/>
    <col min="2845" max="2845" width="11" style="42" customWidth="1"/>
    <col min="2846" max="2846" width="15" style="42" customWidth="1"/>
    <col min="2847" max="2847" width="6.625" style="42" customWidth="1"/>
    <col min="2848" max="2849" width="7.375" style="42" customWidth="1"/>
    <col min="2850" max="2850" width="7.25" style="42" customWidth="1"/>
    <col min="2851" max="3068" width="8.25" style="42"/>
    <col min="3069" max="3069" width="27.75" style="42" customWidth="1"/>
    <col min="3070" max="3070" width="9.25" style="42" bestFit="1" customWidth="1"/>
    <col min="3071" max="3071" width="9" style="42" customWidth="1"/>
    <col min="3072" max="3072" width="8.25" style="42" customWidth="1"/>
    <col min="3073" max="3073" width="10.25" style="42" bestFit="1" customWidth="1"/>
    <col min="3074" max="3074" width="1.75" style="42" customWidth="1"/>
    <col min="3075" max="3075" width="27.75" style="42" customWidth="1"/>
    <col min="3076" max="3076" width="9.25" style="42" bestFit="1" customWidth="1"/>
    <col min="3077" max="3077" width="9" style="42" customWidth="1"/>
    <col min="3078" max="3078" width="8.25" style="42" customWidth="1"/>
    <col min="3079" max="3079" width="9.25" style="42" bestFit="1" customWidth="1"/>
    <col min="3080" max="3080" width="2.75" style="42" customWidth="1"/>
    <col min="3081" max="3081" width="26.625" style="42" customWidth="1"/>
    <col min="3082" max="3082" width="9.25" style="42" bestFit="1" customWidth="1"/>
    <col min="3083" max="3083" width="9" style="42" customWidth="1"/>
    <col min="3084" max="3084" width="8.25" style="42" customWidth="1"/>
    <col min="3085" max="3085" width="9.25" style="42" bestFit="1" customWidth="1"/>
    <col min="3086" max="3086" width="2.75" style="42" customWidth="1"/>
    <col min="3087" max="3087" width="26.625" style="42" customWidth="1"/>
    <col min="3088" max="3088" width="9.25" style="42" bestFit="1" customWidth="1"/>
    <col min="3089" max="3089" width="9" style="42" customWidth="1"/>
    <col min="3090" max="3090" width="8.25" style="42" customWidth="1"/>
    <col min="3091" max="3091" width="9.25" style="42" bestFit="1" customWidth="1"/>
    <col min="3092" max="3092" width="2.75" style="42" customWidth="1"/>
    <col min="3093" max="3097" width="0" style="42" hidden="1" customWidth="1"/>
    <col min="3098" max="3098" width="2.5" style="42" customWidth="1"/>
    <col min="3099" max="3099" width="6" style="42" bestFit="1" customWidth="1"/>
    <col min="3100" max="3100" width="21.125" style="42" customWidth="1"/>
    <col min="3101" max="3101" width="11" style="42" customWidth="1"/>
    <col min="3102" max="3102" width="15" style="42" customWidth="1"/>
    <col min="3103" max="3103" width="6.625" style="42" customWidth="1"/>
    <col min="3104" max="3105" width="7.375" style="42" customWidth="1"/>
    <col min="3106" max="3106" width="7.25" style="42" customWidth="1"/>
    <col min="3107" max="3324" width="8.25" style="42"/>
    <col min="3325" max="3325" width="27.75" style="42" customWidth="1"/>
    <col min="3326" max="3326" width="9.25" style="42" bestFit="1" customWidth="1"/>
    <col min="3327" max="3327" width="9" style="42" customWidth="1"/>
    <col min="3328" max="3328" width="8.25" style="42" customWidth="1"/>
    <col min="3329" max="3329" width="10.25" style="42" bestFit="1" customWidth="1"/>
    <col min="3330" max="3330" width="1.75" style="42" customWidth="1"/>
    <col min="3331" max="3331" width="27.75" style="42" customWidth="1"/>
    <col min="3332" max="3332" width="9.25" style="42" bestFit="1" customWidth="1"/>
    <col min="3333" max="3333" width="9" style="42" customWidth="1"/>
    <col min="3334" max="3334" width="8.25" style="42" customWidth="1"/>
    <col min="3335" max="3335" width="9.25" style="42" bestFit="1" customWidth="1"/>
    <col min="3336" max="3336" width="2.75" style="42" customWidth="1"/>
    <col min="3337" max="3337" width="26.625" style="42" customWidth="1"/>
    <col min="3338" max="3338" width="9.25" style="42" bestFit="1" customWidth="1"/>
    <col min="3339" max="3339" width="9" style="42" customWidth="1"/>
    <col min="3340" max="3340" width="8.25" style="42" customWidth="1"/>
    <col min="3341" max="3341" width="9.25" style="42" bestFit="1" customWidth="1"/>
    <col min="3342" max="3342" width="2.75" style="42" customWidth="1"/>
    <col min="3343" max="3343" width="26.625" style="42" customWidth="1"/>
    <col min="3344" max="3344" width="9.25" style="42" bestFit="1" customWidth="1"/>
    <col min="3345" max="3345" width="9" style="42" customWidth="1"/>
    <col min="3346" max="3346" width="8.25" style="42" customWidth="1"/>
    <col min="3347" max="3347" width="9.25" style="42" bestFit="1" customWidth="1"/>
    <col min="3348" max="3348" width="2.75" style="42" customWidth="1"/>
    <col min="3349" max="3353" width="0" style="42" hidden="1" customWidth="1"/>
    <col min="3354" max="3354" width="2.5" style="42" customWidth="1"/>
    <col min="3355" max="3355" width="6" style="42" bestFit="1" customWidth="1"/>
    <col min="3356" max="3356" width="21.125" style="42" customWidth="1"/>
    <col min="3357" max="3357" width="11" style="42" customWidth="1"/>
    <col min="3358" max="3358" width="15" style="42" customWidth="1"/>
    <col min="3359" max="3359" width="6.625" style="42" customWidth="1"/>
    <col min="3360" max="3361" width="7.375" style="42" customWidth="1"/>
    <col min="3362" max="3362" width="7.25" style="42" customWidth="1"/>
    <col min="3363" max="3580" width="8.25" style="42"/>
    <col min="3581" max="3581" width="27.75" style="42" customWidth="1"/>
    <col min="3582" max="3582" width="9.25" style="42" bestFit="1" customWidth="1"/>
    <col min="3583" max="3583" width="9" style="42" customWidth="1"/>
    <col min="3584" max="3584" width="8.25" style="42" customWidth="1"/>
    <col min="3585" max="3585" width="10.25" style="42" bestFit="1" customWidth="1"/>
    <col min="3586" max="3586" width="1.75" style="42" customWidth="1"/>
    <col min="3587" max="3587" width="27.75" style="42" customWidth="1"/>
    <col min="3588" max="3588" width="9.25" style="42" bestFit="1" customWidth="1"/>
    <col min="3589" max="3589" width="9" style="42" customWidth="1"/>
    <col min="3590" max="3590" width="8.25" style="42" customWidth="1"/>
    <col min="3591" max="3591" width="9.25" style="42" bestFit="1" customWidth="1"/>
    <col min="3592" max="3592" width="2.75" style="42" customWidth="1"/>
    <col min="3593" max="3593" width="26.625" style="42" customWidth="1"/>
    <col min="3594" max="3594" width="9.25" style="42" bestFit="1" customWidth="1"/>
    <col min="3595" max="3595" width="9" style="42" customWidth="1"/>
    <col min="3596" max="3596" width="8.25" style="42" customWidth="1"/>
    <col min="3597" max="3597" width="9.25" style="42" bestFit="1" customWidth="1"/>
    <col min="3598" max="3598" width="2.75" style="42" customWidth="1"/>
    <col min="3599" max="3599" width="26.625" style="42" customWidth="1"/>
    <col min="3600" max="3600" width="9.25" style="42" bestFit="1" customWidth="1"/>
    <col min="3601" max="3601" width="9" style="42" customWidth="1"/>
    <col min="3602" max="3602" width="8.25" style="42" customWidth="1"/>
    <col min="3603" max="3603" width="9.25" style="42" bestFit="1" customWidth="1"/>
    <col min="3604" max="3604" width="2.75" style="42" customWidth="1"/>
    <col min="3605" max="3609" width="0" style="42" hidden="1" customWidth="1"/>
    <col min="3610" max="3610" width="2.5" style="42" customWidth="1"/>
    <col min="3611" max="3611" width="6" style="42" bestFit="1" customWidth="1"/>
    <col min="3612" max="3612" width="21.125" style="42" customWidth="1"/>
    <col min="3613" max="3613" width="11" style="42" customWidth="1"/>
    <col min="3614" max="3614" width="15" style="42" customWidth="1"/>
    <col min="3615" max="3615" width="6.625" style="42" customWidth="1"/>
    <col min="3616" max="3617" width="7.375" style="42" customWidth="1"/>
    <col min="3618" max="3618" width="7.25" style="42" customWidth="1"/>
    <col min="3619" max="3836" width="8.25" style="42"/>
    <col min="3837" max="3837" width="27.75" style="42" customWidth="1"/>
    <col min="3838" max="3838" width="9.25" style="42" bestFit="1" customWidth="1"/>
    <col min="3839" max="3839" width="9" style="42" customWidth="1"/>
    <col min="3840" max="3840" width="8.25" style="42" customWidth="1"/>
    <col min="3841" max="3841" width="10.25" style="42" bestFit="1" customWidth="1"/>
    <col min="3842" max="3842" width="1.75" style="42" customWidth="1"/>
    <col min="3843" max="3843" width="27.75" style="42" customWidth="1"/>
    <col min="3844" max="3844" width="9.25" style="42" bestFit="1" customWidth="1"/>
    <col min="3845" max="3845" width="9" style="42" customWidth="1"/>
    <col min="3846" max="3846" width="8.25" style="42" customWidth="1"/>
    <col min="3847" max="3847" width="9.25" style="42" bestFit="1" customWidth="1"/>
    <col min="3848" max="3848" width="2.75" style="42" customWidth="1"/>
    <col min="3849" max="3849" width="26.625" style="42" customWidth="1"/>
    <col min="3850" max="3850" width="9.25" style="42" bestFit="1" customWidth="1"/>
    <col min="3851" max="3851" width="9" style="42" customWidth="1"/>
    <col min="3852" max="3852" width="8.25" style="42" customWidth="1"/>
    <col min="3853" max="3853" width="9.25" style="42" bestFit="1" customWidth="1"/>
    <col min="3854" max="3854" width="2.75" style="42" customWidth="1"/>
    <col min="3855" max="3855" width="26.625" style="42" customWidth="1"/>
    <col min="3856" max="3856" width="9.25" style="42" bestFit="1" customWidth="1"/>
    <col min="3857" max="3857" width="9" style="42" customWidth="1"/>
    <col min="3858" max="3858" width="8.25" style="42" customWidth="1"/>
    <col min="3859" max="3859" width="9.25" style="42" bestFit="1" customWidth="1"/>
    <col min="3860" max="3860" width="2.75" style="42" customWidth="1"/>
    <col min="3861" max="3865" width="0" style="42" hidden="1" customWidth="1"/>
    <col min="3866" max="3866" width="2.5" style="42" customWidth="1"/>
    <col min="3867" max="3867" width="6" style="42" bestFit="1" customWidth="1"/>
    <col min="3868" max="3868" width="21.125" style="42" customWidth="1"/>
    <col min="3869" max="3869" width="11" style="42" customWidth="1"/>
    <col min="3870" max="3870" width="15" style="42" customWidth="1"/>
    <col min="3871" max="3871" width="6.625" style="42" customWidth="1"/>
    <col min="3872" max="3873" width="7.375" style="42" customWidth="1"/>
    <col min="3874" max="3874" width="7.25" style="42" customWidth="1"/>
    <col min="3875" max="4092" width="8.25" style="42"/>
    <col min="4093" max="4093" width="27.75" style="42" customWidth="1"/>
    <col min="4094" max="4094" width="9.25" style="42" bestFit="1" customWidth="1"/>
    <col min="4095" max="4095" width="9" style="42" customWidth="1"/>
    <col min="4096" max="4096" width="8.25" style="42" customWidth="1"/>
    <col min="4097" max="4097" width="10.25" style="42" bestFit="1" customWidth="1"/>
    <col min="4098" max="4098" width="1.75" style="42" customWidth="1"/>
    <col min="4099" max="4099" width="27.75" style="42" customWidth="1"/>
    <col min="4100" max="4100" width="9.25" style="42" bestFit="1" customWidth="1"/>
    <col min="4101" max="4101" width="9" style="42" customWidth="1"/>
    <col min="4102" max="4102" width="8.25" style="42" customWidth="1"/>
    <col min="4103" max="4103" width="9.25" style="42" bestFit="1" customWidth="1"/>
    <col min="4104" max="4104" width="2.75" style="42" customWidth="1"/>
    <col min="4105" max="4105" width="26.625" style="42" customWidth="1"/>
    <col min="4106" max="4106" width="9.25" style="42" bestFit="1" customWidth="1"/>
    <col min="4107" max="4107" width="9" style="42" customWidth="1"/>
    <col min="4108" max="4108" width="8.25" style="42" customWidth="1"/>
    <col min="4109" max="4109" width="9.25" style="42" bestFit="1" customWidth="1"/>
    <col min="4110" max="4110" width="2.75" style="42" customWidth="1"/>
    <col min="4111" max="4111" width="26.625" style="42" customWidth="1"/>
    <col min="4112" max="4112" width="9.25" style="42" bestFit="1" customWidth="1"/>
    <col min="4113" max="4113" width="9" style="42" customWidth="1"/>
    <col min="4114" max="4114" width="8.25" style="42" customWidth="1"/>
    <col min="4115" max="4115" width="9.25" style="42" bestFit="1" customWidth="1"/>
    <col min="4116" max="4116" width="2.75" style="42" customWidth="1"/>
    <col min="4117" max="4121" width="0" style="42" hidden="1" customWidth="1"/>
    <col min="4122" max="4122" width="2.5" style="42" customWidth="1"/>
    <col min="4123" max="4123" width="6" style="42" bestFit="1" customWidth="1"/>
    <col min="4124" max="4124" width="21.125" style="42" customWidth="1"/>
    <col min="4125" max="4125" width="11" style="42" customWidth="1"/>
    <col min="4126" max="4126" width="15" style="42" customWidth="1"/>
    <col min="4127" max="4127" width="6.625" style="42" customWidth="1"/>
    <col min="4128" max="4129" width="7.375" style="42" customWidth="1"/>
    <col min="4130" max="4130" width="7.25" style="42" customWidth="1"/>
    <col min="4131" max="4348" width="8.25" style="42"/>
    <col min="4349" max="4349" width="27.75" style="42" customWidth="1"/>
    <col min="4350" max="4350" width="9.25" style="42" bestFit="1" customWidth="1"/>
    <col min="4351" max="4351" width="9" style="42" customWidth="1"/>
    <col min="4352" max="4352" width="8.25" style="42" customWidth="1"/>
    <col min="4353" max="4353" width="10.25" style="42" bestFit="1" customWidth="1"/>
    <col min="4354" max="4354" width="1.75" style="42" customWidth="1"/>
    <col min="4355" max="4355" width="27.75" style="42" customWidth="1"/>
    <col min="4356" max="4356" width="9.25" style="42" bestFit="1" customWidth="1"/>
    <col min="4357" max="4357" width="9" style="42" customWidth="1"/>
    <col min="4358" max="4358" width="8.25" style="42" customWidth="1"/>
    <col min="4359" max="4359" width="9.25" style="42" bestFit="1" customWidth="1"/>
    <col min="4360" max="4360" width="2.75" style="42" customWidth="1"/>
    <col min="4361" max="4361" width="26.625" style="42" customWidth="1"/>
    <col min="4362" max="4362" width="9.25" style="42" bestFit="1" customWidth="1"/>
    <col min="4363" max="4363" width="9" style="42" customWidth="1"/>
    <col min="4364" max="4364" width="8.25" style="42" customWidth="1"/>
    <col min="4365" max="4365" width="9.25" style="42" bestFit="1" customWidth="1"/>
    <col min="4366" max="4366" width="2.75" style="42" customWidth="1"/>
    <col min="4367" max="4367" width="26.625" style="42" customWidth="1"/>
    <col min="4368" max="4368" width="9.25" style="42" bestFit="1" customWidth="1"/>
    <col min="4369" max="4369" width="9" style="42" customWidth="1"/>
    <col min="4370" max="4370" width="8.25" style="42" customWidth="1"/>
    <col min="4371" max="4371" width="9.25" style="42" bestFit="1" customWidth="1"/>
    <col min="4372" max="4372" width="2.75" style="42" customWidth="1"/>
    <col min="4373" max="4377" width="0" style="42" hidden="1" customWidth="1"/>
    <col min="4378" max="4378" width="2.5" style="42" customWidth="1"/>
    <col min="4379" max="4379" width="6" style="42" bestFit="1" customWidth="1"/>
    <col min="4380" max="4380" width="21.125" style="42" customWidth="1"/>
    <col min="4381" max="4381" width="11" style="42" customWidth="1"/>
    <col min="4382" max="4382" width="15" style="42" customWidth="1"/>
    <col min="4383" max="4383" width="6.625" style="42" customWidth="1"/>
    <col min="4384" max="4385" width="7.375" style="42" customWidth="1"/>
    <col min="4386" max="4386" width="7.25" style="42" customWidth="1"/>
    <col min="4387" max="4604" width="8.25" style="42"/>
    <col min="4605" max="4605" width="27.75" style="42" customWidth="1"/>
    <col min="4606" max="4606" width="9.25" style="42" bestFit="1" customWidth="1"/>
    <col min="4607" max="4607" width="9" style="42" customWidth="1"/>
    <col min="4608" max="4608" width="8.25" style="42" customWidth="1"/>
    <col min="4609" max="4609" width="10.25" style="42" bestFit="1" customWidth="1"/>
    <col min="4610" max="4610" width="1.75" style="42" customWidth="1"/>
    <col min="4611" max="4611" width="27.75" style="42" customWidth="1"/>
    <col min="4612" max="4612" width="9.25" style="42" bestFit="1" customWidth="1"/>
    <col min="4613" max="4613" width="9" style="42" customWidth="1"/>
    <col min="4614" max="4614" width="8.25" style="42" customWidth="1"/>
    <col min="4615" max="4615" width="9.25" style="42" bestFit="1" customWidth="1"/>
    <col min="4616" max="4616" width="2.75" style="42" customWidth="1"/>
    <col min="4617" max="4617" width="26.625" style="42" customWidth="1"/>
    <col min="4618" max="4618" width="9.25" style="42" bestFit="1" customWidth="1"/>
    <col min="4619" max="4619" width="9" style="42" customWidth="1"/>
    <col min="4620" max="4620" width="8.25" style="42" customWidth="1"/>
    <col min="4621" max="4621" width="9.25" style="42" bestFit="1" customWidth="1"/>
    <col min="4622" max="4622" width="2.75" style="42" customWidth="1"/>
    <col min="4623" max="4623" width="26.625" style="42" customWidth="1"/>
    <col min="4624" max="4624" width="9.25" style="42" bestFit="1" customWidth="1"/>
    <col min="4625" max="4625" width="9" style="42" customWidth="1"/>
    <col min="4626" max="4626" width="8.25" style="42" customWidth="1"/>
    <col min="4627" max="4627" width="9.25" style="42" bestFit="1" customWidth="1"/>
    <col min="4628" max="4628" width="2.75" style="42" customWidth="1"/>
    <col min="4629" max="4633" width="0" style="42" hidden="1" customWidth="1"/>
    <col min="4634" max="4634" width="2.5" style="42" customWidth="1"/>
    <col min="4635" max="4635" width="6" style="42" bestFit="1" customWidth="1"/>
    <col min="4636" max="4636" width="21.125" style="42" customWidth="1"/>
    <col min="4637" max="4637" width="11" style="42" customWidth="1"/>
    <col min="4638" max="4638" width="15" style="42" customWidth="1"/>
    <col min="4639" max="4639" width="6.625" style="42" customWidth="1"/>
    <col min="4640" max="4641" width="7.375" style="42" customWidth="1"/>
    <col min="4642" max="4642" width="7.25" style="42" customWidth="1"/>
    <col min="4643" max="4860" width="8.25" style="42"/>
    <col min="4861" max="4861" width="27.75" style="42" customWidth="1"/>
    <col min="4862" max="4862" width="9.25" style="42" bestFit="1" customWidth="1"/>
    <col min="4863" max="4863" width="9" style="42" customWidth="1"/>
    <col min="4864" max="4864" width="8.25" style="42" customWidth="1"/>
    <col min="4865" max="4865" width="10.25" style="42" bestFit="1" customWidth="1"/>
    <col min="4866" max="4866" width="1.75" style="42" customWidth="1"/>
    <col min="4867" max="4867" width="27.75" style="42" customWidth="1"/>
    <col min="4868" max="4868" width="9.25" style="42" bestFit="1" customWidth="1"/>
    <col min="4869" max="4869" width="9" style="42" customWidth="1"/>
    <col min="4870" max="4870" width="8.25" style="42" customWidth="1"/>
    <col min="4871" max="4871" width="9.25" style="42" bestFit="1" customWidth="1"/>
    <col min="4872" max="4872" width="2.75" style="42" customWidth="1"/>
    <col min="4873" max="4873" width="26.625" style="42" customWidth="1"/>
    <col min="4874" max="4874" width="9.25" style="42" bestFit="1" customWidth="1"/>
    <col min="4875" max="4875" width="9" style="42" customWidth="1"/>
    <col min="4876" max="4876" width="8.25" style="42" customWidth="1"/>
    <col min="4877" max="4877" width="9.25" style="42" bestFit="1" customWidth="1"/>
    <col min="4878" max="4878" width="2.75" style="42" customWidth="1"/>
    <col min="4879" max="4879" width="26.625" style="42" customWidth="1"/>
    <col min="4880" max="4880" width="9.25" style="42" bestFit="1" customWidth="1"/>
    <col min="4881" max="4881" width="9" style="42" customWidth="1"/>
    <col min="4882" max="4882" width="8.25" style="42" customWidth="1"/>
    <col min="4883" max="4883" width="9.25" style="42" bestFit="1" customWidth="1"/>
    <col min="4884" max="4884" width="2.75" style="42" customWidth="1"/>
    <col min="4885" max="4889" width="0" style="42" hidden="1" customWidth="1"/>
    <col min="4890" max="4890" width="2.5" style="42" customWidth="1"/>
    <col min="4891" max="4891" width="6" style="42" bestFit="1" customWidth="1"/>
    <col min="4892" max="4892" width="21.125" style="42" customWidth="1"/>
    <col min="4893" max="4893" width="11" style="42" customWidth="1"/>
    <col min="4894" max="4894" width="15" style="42" customWidth="1"/>
    <col min="4895" max="4895" width="6.625" style="42" customWidth="1"/>
    <col min="4896" max="4897" width="7.375" style="42" customWidth="1"/>
    <col min="4898" max="4898" width="7.25" style="42" customWidth="1"/>
    <col min="4899" max="5116" width="8.25" style="42"/>
    <col min="5117" max="5117" width="27.75" style="42" customWidth="1"/>
    <col min="5118" max="5118" width="9.25" style="42" bestFit="1" customWidth="1"/>
    <col min="5119" max="5119" width="9" style="42" customWidth="1"/>
    <col min="5120" max="5120" width="8.25" style="42" customWidth="1"/>
    <col min="5121" max="5121" width="10.25" style="42" bestFit="1" customWidth="1"/>
    <col min="5122" max="5122" width="1.75" style="42" customWidth="1"/>
    <col min="5123" max="5123" width="27.75" style="42" customWidth="1"/>
    <col min="5124" max="5124" width="9.25" style="42" bestFit="1" customWidth="1"/>
    <col min="5125" max="5125" width="9" style="42" customWidth="1"/>
    <col min="5126" max="5126" width="8.25" style="42" customWidth="1"/>
    <col min="5127" max="5127" width="9.25" style="42" bestFit="1" customWidth="1"/>
    <col min="5128" max="5128" width="2.75" style="42" customWidth="1"/>
    <col min="5129" max="5129" width="26.625" style="42" customWidth="1"/>
    <col min="5130" max="5130" width="9.25" style="42" bestFit="1" customWidth="1"/>
    <col min="5131" max="5131" width="9" style="42" customWidth="1"/>
    <col min="5132" max="5132" width="8.25" style="42" customWidth="1"/>
    <col min="5133" max="5133" width="9.25" style="42" bestFit="1" customWidth="1"/>
    <col min="5134" max="5134" width="2.75" style="42" customWidth="1"/>
    <col min="5135" max="5135" width="26.625" style="42" customWidth="1"/>
    <col min="5136" max="5136" width="9.25" style="42" bestFit="1" customWidth="1"/>
    <col min="5137" max="5137" width="9" style="42" customWidth="1"/>
    <col min="5138" max="5138" width="8.25" style="42" customWidth="1"/>
    <col min="5139" max="5139" width="9.25" style="42" bestFit="1" customWidth="1"/>
    <col min="5140" max="5140" width="2.75" style="42" customWidth="1"/>
    <col min="5141" max="5145" width="0" style="42" hidden="1" customWidth="1"/>
    <col min="5146" max="5146" width="2.5" style="42" customWidth="1"/>
    <col min="5147" max="5147" width="6" style="42" bestFit="1" customWidth="1"/>
    <col min="5148" max="5148" width="21.125" style="42" customWidth="1"/>
    <col min="5149" max="5149" width="11" style="42" customWidth="1"/>
    <col min="5150" max="5150" width="15" style="42" customWidth="1"/>
    <col min="5151" max="5151" width="6.625" style="42" customWidth="1"/>
    <col min="5152" max="5153" width="7.375" style="42" customWidth="1"/>
    <col min="5154" max="5154" width="7.25" style="42" customWidth="1"/>
    <col min="5155" max="5372" width="8.25" style="42"/>
    <col min="5373" max="5373" width="27.75" style="42" customWidth="1"/>
    <col min="5374" max="5374" width="9.25" style="42" bestFit="1" customWidth="1"/>
    <col min="5375" max="5375" width="9" style="42" customWidth="1"/>
    <col min="5376" max="5376" width="8.25" style="42" customWidth="1"/>
    <col min="5377" max="5377" width="10.25" style="42" bestFit="1" customWidth="1"/>
    <col min="5378" max="5378" width="1.75" style="42" customWidth="1"/>
    <col min="5379" max="5379" width="27.75" style="42" customWidth="1"/>
    <col min="5380" max="5380" width="9.25" style="42" bestFit="1" customWidth="1"/>
    <col min="5381" max="5381" width="9" style="42" customWidth="1"/>
    <col min="5382" max="5382" width="8.25" style="42" customWidth="1"/>
    <col min="5383" max="5383" width="9.25" style="42" bestFit="1" customWidth="1"/>
    <col min="5384" max="5384" width="2.75" style="42" customWidth="1"/>
    <col min="5385" max="5385" width="26.625" style="42" customWidth="1"/>
    <col min="5386" max="5386" width="9.25" style="42" bestFit="1" customWidth="1"/>
    <col min="5387" max="5387" width="9" style="42" customWidth="1"/>
    <col min="5388" max="5388" width="8.25" style="42" customWidth="1"/>
    <col min="5389" max="5389" width="9.25" style="42" bestFit="1" customWidth="1"/>
    <col min="5390" max="5390" width="2.75" style="42" customWidth="1"/>
    <col min="5391" max="5391" width="26.625" style="42" customWidth="1"/>
    <col min="5392" max="5392" width="9.25" style="42" bestFit="1" customWidth="1"/>
    <col min="5393" max="5393" width="9" style="42" customWidth="1"/>
    <col min="5394" max="5394" width="8.25" style="42" customWidth="1"/>
    <col min="5395" max="5395" width="9.25" style="42" bestFit="1" customWidth="1"/>
    <col min="5396" max="5396" width="2.75" style="42" customWidth="1"/>
    <col min="5397" max="5401" width="0" style="42" hidden="1" customWidth="1"/>
    <col min="5402" max="5402" width="2.5" style="42" customWidth="1"/>
    <col min="5403" max="5403" width="6" style="42" bestFit="1" customWidth="1"/>
    <col min="5404" max="5404" width="21.125" style="42" customWidth="1"/>
    <col min="5405" max="5405" width="11" style="42" customWidth="1"/>
    <col min="5406" max="5406" width="15" style="42" customWidth="1"/>
    <col min="5407" max="5407" width="6.625" style="42" customWidth="1"/>
    <col min="5408" max="5409" width="7.375" style="42" customWidth="1"/>
    <col min="5410" max="5410" width="7.25" style="42" customWidth="1"/>
    <col min="5411" max="5628" width="8.25" style="42"/>
    <col min="5629" max="5629" width="27.75" style="42" customWidth="1"/>
    <col min="5630" max="5630" width="9.25" style="42" bestFit="1" customWidth="1"/>
    <col min="5631" max="5631" width="9" style="42" customWidth="1"/>
    <col min="5632" max="5632" width="8.25" style="42" customWidth="1"/>
    <col min="5633" max="5633" width="10.25" style="42" bestFit="1" customWidth="1"/>
    <col min="5634" max="5634" width="1.75" style="42" customWidth="1"/>
    <col min="5635" max="5635" width="27.75" style="42" customWidth="1"/>
    <col min="5636" max="5636" width="9.25" style="42" bestFit="1" customWidth="1"/>
    <col min="5637" max="5637" width="9" style="42" customWidth="1"/>
    <col min="5638" max="5638" width="8.25" style="42" customWidth="1"/>
    <col min="5639" max="5639" width="9.25" style="42" bestFit="1" customWidth="1"/>
    <col min="5640" max="5640" width="2.75" style="42" customWidth="1"/>
    <col min="5641" max="5641" width="26.625" style="42" customWidth="1"/>
    <col min="5642" max="5642" width="9.25" style="42" bestFit="1" customWidth="1"/>
    <col min="5643" max="5643" width="9" style="42" customWidth="1"/>
    <col min="5644" max="5644" width="8.25" style="42" customWidth="1"/>
    <col min="5645" max="5645" width="9.25" style="42" bestFit="1" customWidth="1"/>
    <col min="5646" max="5646" width="2.75" style="42" customWidth="1"/>
    <col min="5647" max="5647" width="26.625" style="42" customWidth="1"/>
    <col min="5648" max="5648" width="9.25" style="42" bestFit="1" customWidth="1"/>
    <col min="5649" max="5649" width="9" style="42" customWidth="1"/>
    <col min="5650" max="5650" width="8.25" style="42" customWidth="1"/>
    <col min="5651" max="5651" width="9.25" style="42" bestFit="1" customWidth="1"/>
    <col min="5652" max="5652" width="2.75" style="42" customWidth="1"/>
    <col min="5653" max="5657" width="0" style="42" hidden="1" customWidth="1"/>
    <col min="5658" max="5658" width="2.5" style="42" customWidth="1"/>
    <col min="5659" max="5659" width="6" style="42" bestFit="1" customWidth="1"/>
    <col min="5660" max="5660" width="21.125" style="42" customWidth="1"/>
    <col min="5661" max="5661" width="11" style="42" customWidth="1"/>
    <col min="5662" max="5662" width="15" style="42" customWidth="1"/>
    <col min="5663" max="5663" width="6.625" style="42" customWidth="1"/>
    <col min="5664" max="5665" width="7.375" style="42" customWidth="1"/>
    <col min="5666" max="5666" width="7.25" style="42" customWidth="1"/>
    <col min="5667" max="5884" width="8.25" style="42"/>
    <col min="5885" max="5885" width="27.75" style="42" customWidth="1"/>
    <col min="5886" max="5886" width="9.25" style="42" bestFit="1" customWidth="1"/>
    <col min="5887" max="5887" width="9" style="42" customWidth="1"/>
    <col min="5888" max="5888" width="8.25" style="42" customWidth="1"/>
    <col min="5889" max="5889" width="10.25" style="42" bestFit="1" customWidth="1"/>
    <col min="5890" max="5890" width="1.75" style="42" customWidth="1"/>
    <col min="5891" max="5891" width="27.75" style="42" customWidth="1"/>
    <col min="5892" max="5892" width="9.25" style="42" bestFit="1" customWidth="1"/>
    <col min="5893" max="5893" width="9" style="42" customWidth="1"/>
    <col min="5894" max="5894" width="8.25" style="42" customWidth="1"/>
    <col min="5895" max="5895" width="9.25" style="42" bestFit="1" customWidth="1"/>
    <col min="5896" max="5896" width="2.75" style="42" customWidth="1"/>
    <col min="5897" max="5897" width="26.625" style="42" customWidth="1"/>
    <col min="5898" max="5898" width="9.25" style="42" bestFit="1" customWidth="1"/>
    <col min="5899" max="5899" width="9" style="42" customWidth="1"/>
    <col min="5900" max="5900" width="8.25" style="42" customWidth="1"/>
    <col min="5901" max="5901" width="9.25" style="42" bestFit="1" customWidth="1"/>
    <col min="5902" max="5902" width="2.75" style="42" customWidth="1"/>
    <col min="5903" max="5903" width="26.625" style="42" customWidth="1"/>
    <col min="5904" max="5904" width="9.25" style="42" bestFit="1" customWidth="1"/>
    <col min="5905" max="5905" width="9" style="42" customWidth="1"/>
    <col min="5906" max="5906" width="8.25" style="42" customWidth="1"/>
    <col min="5907" max="5907" width="9.25" style="42" bestFit="1" customWidth="1"/>
    <col min="5908" max="5908" width="2.75" style="42" customWidth="1"/>
    <col min="5909" max="5913" width="0" style="42" hidden="1" customWidth="1"/>
    <col min="5914" max="5914" width="2.5" style="42" customWidth="1"/>
    <col min="5915" max="5915" width="6" style="42" bestFit="1" customWidth="1"/>
    <col min="5916" max="5916" width="21.125" style="42" customWidth="1"/>
    <col min="5917" max="5917" width="11" style="42" customWidth="1"/>
    <col min="5918" max="5918" width="15" style="42" customWidth="1"/>
    <col min="5919" max="5919" width="6.625" style="42" customWidth="1"/>
    <col min="5920" max="5921" width="7.375" style="42" customWidth="1"/>
    <col min="5922" max="5922" width="7.25" style="42" customWidth="1"/>
    <col min="5923" max="6140" width="8.25" style="42"/>
    <col min="6141" max="6141" width="27.75" style="42" customWidth="1"/>
    <col min="6142" max="6142" width="9.25" style="42" bestFit="1" customWidth="1"/>
    <col min="6143" max="6143" width="9" style="42" customWidth="1"/>
    <col min="6144" max="6144" width="8.25" style="42" customWidth="1"/>
    <col min="6145" max="6145" width="10.25" style="42" bestFit="1" customWidth="1"/>
    <col min="6146" max="6146" width="1.75" style="42" customWidth="1"/>
    <col min="6147" max="6147" width="27.75" style="42" customWidth="1"/>
    <col min="6148" max="6148" width="9.25" style="42" bestFit="1" customWidth="1"/>
    <col min="6149" max="6149" width="9" style="42" customWidth="1"/>
    <col min="6150" max="6150" width="8.25" style="42" customWidth="1"/>
    <col min="6151" max="6151" width="9.25" style="42" bestFit="1" customWidth="1"/>
    <col min="6152" max="6152" width="2.75" style="42" customWidth="1"/>
    <col min="6153" max="6153" width="26.625" style="42" customWidth="1"/>
    <col min="6154" max="6154" width="9.25" style="42" bestFit="1" customWidth="1"/>
    <col min="6155" max="6155" width="9" style="42" customWidth="1"/>
    <col min="6156" max="6156" width="8.25" style="42" customWidth="1"/>
    <col min="6157" max="6157" width="9.25" style="42" bestFit="1" customWidth="1"/>
    <col min="6158" max="6158" width="2.75" style="42" customWidth="1"/>
    <col min="6159" max="6159" width="26.625" style="42" customWidth="1"/>
    <col min="6160" max="6160" width="9.25" style="42" bestFit="1" customWidth="1"/>
    <col min="6161" max="6161" width="9" style="42" customWidth="1"/>
    <col min="6162" max="6162" width="8.25" style="42" customWidth="1"/>
    <col min="6163" max="6163" width="9.25" style="42" bestFit="1" customWidth="1"/>
    <col min="6164" max="6164" width="2.75" style="42" customWidth="1"/>
    <col min="6165" max="6169" width="0" style="42" hidden="1" customWidth="1"/>
    <col min="6170" max="6170" width="2.5" style="42" customWidth="1"/>
    <col min="6171" max="6171" width="6" style="42" bestFit="1" customWidth="1"/>
    <col min="6172" max="6172" width="21.125" style="42" customWidth="1"/>
    <col min="6173" max="6173" width="11" style="42" customWidth="1"/>
    <col min="6174" max="6174" width="15" style="42" customWidth="1"/>
    <col min="6175" max="6175" width="6.625" style="42" customWidth="1"/>
    <col min="6176" max="6177" width="7.375" style="42" customWidth="1"/>
    <col min="6178" max="6178" width="7.25" style="42" customWidth="1"/>
    <col min="6179" max="6396" width="8.25" style="42"/>
    <col min="6397" max="6397" width="27.75" style="42" customWidth="1"/>
    <col min="6398" max="6398" width="9.25" style="42" bestFit="1" customWidth="1"/>
    <col min="6399" max="6399" width="9" style="42" customWidth="1"/>
    <col min="6400" max="6400" width="8.25" style="42" customWidth="1"/>
    <col min="6401" max="6401" width="10.25" style="42" bestFit="1" customWidth="1"/>
    <col min="6402" max="6402" width="1.75" style="42" customWidth="1"/>
    <col min="6403" max="6403" width="27.75" style="42" customWidth="1"/>
    <col min="6404" max="6404" width="9.25" style="42" bestFit="1" customWidth="1"/>
    <col min="6405" max="6405" width="9" style="42" customWidth="1"/>
    <col min="6406" max="6406" width="8.25" style="42" customWidth="1"/>
    <col min="6407" max="6407" width="9.25" style="42" bestFit="1" customWidth="1"/>
    <col min="6408" max="6408" width="2.75" style="42" customWidth="1"/>
    <col min="6409" max="6409" width="26.625" style="42" customWidth="1"/>
    <col min="6410" max="6410" width="9.25" style="42" bestFit="1" customWidth="1"/>
    <col min="6411" max="6411" width="9" style="42" customWidth="1"/>
    <col min="6412" max="6412" width="8.25" style="42" customWidth="1"/>
    <col min="6413" max="6413" width="9.25" style="42" bestFit="1" customWidth="1"/>
    <col min="6414" max="6414" width="2.75" style="42" customWidth="1"/>
    <col min="6415" max="6415" width="26.625" style="42" customWidth="1"/>
    <col min="6416" max="6416" width="9.25" style="42" bestFit="1" customWidth="1"/>
    <col min="6417" max="6417" width="9" style="42" customWidth="1"/>
    <col min="6418" max="6418" width="8.25" style="42" customWidth="1"/>
    <col min="6419" max="6419" width="9.25" style="42" bestFit="1" customWidth="1"/>
    <col min="6420" max="6420" width="2.75" style="42" customWidth="1"/>
    <col min="6421" max="6425" width="0" style="42" hidden="1" customWidth="1"/>
    <col min="6426" max="6426" width="2.5" style="42" customWidth="1"/>
    <col min="6427" max="6427" width="6" style="42" bestFit="1" customWidth="1"/>
    <col min="6428" max="6428" width="21.125" style="42" customWidth="1"/>
    <col min="6429" max="6429" width="11" style="42" customWidth="1"/>
    <col min="6430" max="6430" width="15" style="42" customWidth="1"/>
    <col min="6431" max="6431" width="6.625" style="42" customWidth="1"/>
    <col min="6432" max="6433" width="7.375" style="42" customWidth="1"/>
    <col min="6434" max="6434" width="7.25" style="42" customWidth="1"/>
    <col min="6435" max="6652" width="8.25" style="42"/>
    <col min="6653" max="6653" width="27.75" style="42" customWidth="1"/>
    <col min="6654" max="6654" width="9.25" style="42" bestFit="1" customWidth="1"/>
    <col min="6655" max="6655" width="9" style="42" customWidth="1"/>
    <col min="6656" max="6656" width="8.25" style="42" customWidth="1"/>
    <col min="6657" max="6657" width="10.25" style="42" bestFit="1" customWidth="1"/>
    <col min="6658" max="6658" width="1.75" style="42" customWidth="1"/>
    <col min="6659" max="6659" width="27.75" style="42" customWidth="1"/>
    <col min="6660" max="6660" width="9.25" style="42" bestFit="1" customWidth="1"/>
    <col min="6661" max="6661" width="9" style="42" customWidth="1"/>
    <col min="6662" max="6662" width="8.25" style="42" customWidth="1"/>
    <col min="6663" max="6663" width="9.25" style="42" bestFit="1" customWidth="1"/>
    <col min="6664" max="6664" width="2.75" style="42" customWidth="1"/>
    <col min="6665" max="6665" width="26.625" style="42" customWidth="1"/>
    <col min="6666" max="6666" width="9.25" style="42" bestFit="1" customWidth="1"/>
    <col min="6667" max="6667" width="9" style="42" customWidth="1"/>
    <col min="6668" max="6668" width="8.25" style="42" customWidth="1"/>
    <col min="6669" max="6669" width="9.25" style="42" bestFit="1" customWidth="1"/>
    <col min="6670" max="6670" width="2.75" style="42" customWidth="1"/>
    <col min="6671" max="6671" width="26.625" style="42" customWidth="1"/>
    <col min="6672" max="6672" width="9.25" style="42" bestFit="1" customWidth="1"/>
    <col min="6673" max="6673" width="9" style="42" customWidth="1"/>
    <col min="6674" max="6674" width="8.25" style="42" customWidth="1"/>
    <col min="6675" max="6675" width="9.25" style="42" bestFit="1" customWidth="1"/>
    <col min="6676" max="6676" width="2.75" style="42" customWidth="1"/>
    <col min="6677" max="6681" width="0" style="42" hidden="1" customWidth="1"/>
    <col min="6682" max="6682" width="2.5" style="42" customWidth="1"/>
    <col min="6683" max="6683" width="6" style="42" bestFit="1" customWidth="1"/>
    <col min="6684" max="6684" width="21.125" style="42" customWidth="1"/>
    <col min="6685" max="6685" width="11" style="42" customWidth="1"/>
    <col min="6686" max="6686" width="15" style="42" customWidth="1"/>
    <col min="6687" max="6687" width="6.625" style="42" customWidth="1"/>
    <col min="6688" max="6689" width="7.375" style="42" customWidth="1"/>
    <col min="6690" max="6690" width="7.25" style="42" customWidth="1"/>
    <col min="6691" max="6908" width="8.25" style="42"/>
    <col min="6909" max="6909" width="27.75" style="42" customWidth="1"/>
    <col min="6910" max="6910" width="9.25" style="42" bestFit="1" customWidth="1"/>
    <col min="6911" max="6911" width="9" style="42" customWidth="1"/>
    <col min="6912" max="6912" width="8.25" style="42" customWidth="1"/>
    <col min="6913" max="6913" width="10.25" style="42" bestFit="1" customWidth="1"/>
    <col min="6914" max="6914" width="1.75" style="42" customWidth="1"/>
    <col min="6915" max="6915" width="27.75" style="42" customWidth="1"/>
    <col min="6916" max="6916" width="9.25" style="42" bestFit="1" customWidth="1"/>
    <col min="6917" max="6917" width="9" style="42" customWidth="1"/>
    <col min="6918" max="6918" width="8.25" style="42" customWidth="1"/>
    <col min="6919" max="6919" width="9.25" style="42" bestFit="1" customWidth="1"/>
    <col min="6920" max="6920" width="2.75" style="42" customWidth="1"/>
    <col min="6921" max="6921" width="26.625" style="42" customWidth="1"/>
    <col min="6922" max="6922" width="9.25" style="42" bestFit="1" customWidth="1"/>
    <col min="6923" max="6923" width="9" style="42" customWidth="1"/>
    <col min="6924" max="6924" width="8.25" style="42" customWidth="1"/>
    <col min="6925" max="6925" width="9.25" style="42" bestFit="1" customWidth="1"/>
    <col min="6926" max="6926" width="2.75" style="42" customWidth="1"/>
    <col min="6927" max="6927" width="26.625" style="42" customWidth="1"/>
    <col min="6928" max="6928" width="9.25" style="42" bestFit="1" customWidth="1"/>
    <col min="6929" max="6929" width="9" style="42" customWidth="1"/>
    <col min="6930" max="6930" width="8.25" style="42" customWidth="1"/>
    <col min="6931" max="6931" width="9.25" style="42" bestFit="1" customWidth="1"/>
    <col min="6932" max="6932" width="2.75" style="42" customWidth="1"/>
    <col min="6933" max="6937" width="0" style="42" hidden="1" customWidth="1"/>
    <col min="6938" max="6938" width="2.5" style="42" customWidth="1"/>
    <col min="6939" max="6939" width="6" style="42" bestFit="1" customWidth="1"/>
    <col min="6940" max="6940" width="21.125" style="42" customWidth="1"/>
    <col min="6941" max="6941" width="11" style="42" customWidth="1"/>
    <col min="6942" max="6942" width="15" style="42" customWidth="1"/>
    <col min="6943" max="6943" width="6.625" style="42" customWidth="1"/>
    <col min="6944" max="6945" width="7.375" style="42" customWidth="1"/>
    <col min="6946" max="6946" width="7.25" style="42" customWidth="1"/>
    <col min="6947" max="7164" width="8.25" style="42"/>
    <col min="7165" max="7165" width="27.75" style="42" customWidth="1"/>
    <col min="7166" max="7166" width="9.25" style="42" bestFit="1" customWidth="1"/>
    <col min="7167" max="7167" width="9" style="42" customWidth="1"/>
    <col min="7168" max="7168" width="8.25" style="42" customWidth="1"/>
    <col min="7169" max="7169" width="10.25" style="42" bestFit="1" customWidth="1"/>
    <col min="7170" max="7170" width="1.75" style="42" customWidth="1"/>
    <col min="7171" max="7171" width="27.75" style="42" customWidth="1"/>
    <col min="7172" max="7172" width="9.25" style="42" bestFit="1" customWidth="1"/>
    <col min="7173" max="7173" width="9" style="42" customWidth="1"/>
    <col min="7174" max="7174" width="8.25" style="42" customWidth="1"/>
    <col min="7175" max="7175" width="9.25" style="42" bestFit="1" customWidth="1"/>
    <col min="7176" max="7176" width="2.75" style="42" customWidth="1"/>
    <col min="7177" max="7177" width="26.625" style="42" customWidth="1"/>
    <col min="7178" max="7178" width="9.25" style="42" bestFit="1" customWidth="1"/>
    <col min="7179" max="7179" width="9" style="42" customWidth="1"/>
    <col min="7180" max="7180" width="8.25" style="42" customWidth="1"/>
    <col min="7181" max="7181" width="9.25" style="42" bestFit="1" customWidth="1"/>
    <col min="7182" max="7182" width="2.75" style="42" customWidth="1"/>
    <col min="7183" max="7183" width="26.625" style="42" customWidth="1"/>
    <col min="7184" max="7184" width="9.25" style="42" bestFit="1" customWidth="1"/>
    <col min="7185" max="7185" width="9" style="42" customWidth="1"/>
    <col min="7186" max="7186" width="8.25" style="42" customWidth="1"/>
    <col min="7187" max="7187" width="9.25" style="42" bestFit="1" customWidth="1"/>
    <col min="7188" max="7188" width="2.75" style="42" customWidth="1"/>
    <col min="7189" max="7193" width="0" style="42" hidden="1" customWidth="1"/>
    <col min="7194" max="7194" width="2.5" style="42" customWidth="1"/>
    <col min="7195" max="7195" width="6" style="42" bestFit="1" customWidth="1"/>
    <col min="7196" max="7196" width="21.125" style="42" customWidth="1"/>
    <col min="7197" max="7197" width="11" style="42" customWidth="1"/>
    <col min="7198" max="7198" width="15" style="42" customWidth="1"/>
    <col min="7199" max="7199" width="6.625" style="42" customWidth="1"/>
    <col min="7200" max="7201" width="7.375" style="42" customWidth="1"/>
    <col min="7202" max="7202" width="7.25" style="42" customWidth="1"/>
    <col min="7203" max="7420" width="8.25" style="42"/>
    <col min="7421" max="7421" width="27.75" style="42" customWidth="1"/>
    <col min="7422" max="7422" width="9.25" style="42" bestFit="1" customWidth="1"/>
    <col min="7423" max="7423" width="9" style="42" customWidth="1"/>
    <col min="7424" max="7424" width="8.25" style="42" customWidth="1"/>
    <col min="7425" max="7425" width="10.25" style="42" bestFit="1" customWidth="1"/>
    <col min="7426" max="7426" width="1.75" style="42" customWidth="1"/>
    <col min="7427" max="7427" width="27.75" style="42" customWidth="1"/>
    <col min="7428" max="7428" width="9.25" style="42" bestFit="1" customWidth="1"/>
    <col min="7429" max="7429" width="9" style="42" customWidth="1"/>
    <col min="7430" max="7430" width="8.25" style="42" customWidth="1"/>
    <col min="7431" max="7431" width="9.25" style="42" bestFit="1" customWidth="1"/>
    <col min="7432" max="7432" width="2.75" style="42" customWidth="1"/>
    <col min="7433" max="7433" width="26.625" style="42" customWidth="1"/>
    <col min="7434" max="7434" width="9.25" style="42" bestFit="1" customWidth="1"/>
    <col min="7435" max="7435" width="9" style="42" customWidth="1"/>
    <col min="7436" max="7436" width="8.25" style="42" customWidth="1"/>
    <col min="7437" max="7437" width="9.25" style="42" bestFit="1" customWidth="1"/>
    <col min="7438" max="7438" width="2.75" style="42" customWidth="1"/>
    <col min="7439" max="7439" width="26.625" style="42" customWidth="1"/>
    <col min="7440" max="7440" width="9.25" style="42" bestFit="1" customWidth="1"/>
    <col min="7441" max="7441" width="9" style="42" customWidth="1"/>
    <col min="7442" max="7442" width="8.25" style="42" customWidth="1"/>
    <col min="7443" max="7443" width="9.25" style="42" bestFit="1" customWidth="1"/>
    <col min="7444" max="7444" width="2.75" style="42" customWidth="1"/>
    <col min="7445" max="7449" width="0" style="42" hidden="1" customWidth="1"/>
    <col min="7450" max="7450" width="2.5" style="42" customWidth="1"/>
    <col min="7451" max="7451" width="6" style="42" bestFit="1" customWidth="1"/>
    <col min="7452" max="7452" width="21.125" style="42" customWidth="1"/>
    <col min="7453" max="7453" width="11" style="42" customWidth="1"/>
    <col min="7454" max="7454" width="15" style="42" customWidth="1"/>
    <col min="7455" max="7455" width="6.625" style="42" customWidth="1"/>
    <col min="7456" max="7457" width="7.375" style="42" customWidth="1"/>
    <col min="7458" max="7458" width="7.25" style="42" customWidth="1"/>
    <col min="7459" max="7676" width="8.25" style="42"/>
    <col min="7677" max="7677" width="27.75" style="42" customWidth="1"/>
    <col min="7678" max="7678" width="9.25" style="42" bestFit="1" customWidth="1"/>
    <col min="7679" max="7679" width="9" style="42" customWidth="1"/>
    <col min="7680" max="7680" width="8.25" style="42" customWidth="1"/>
    <col min="7681" max="7681" width="10.25" style="42" bestFit="1" customWidth="1"/>
    <col min="7682" max="7682" width="1.75" style="42" customWidth="1"/>
    <col min="7683" max="7683" width="27.75" style="42" customWidth="1"/>
    <col min="7684" max="7684" width="9.25" style="42" bestFit="1" customWidth="1"/>
    <col min="7685" max="7685" width="9" style="42" customWidth="1"/>
    <col min="7686" max="7686" width="8.25" style="42" customWidth="1"/>
    <col min="7687" max="7687" width="9.25" style="42" bestFit="1" customWidth="1"/>
    <col min="7688" max="7688" width="2.75" style="42" customWidth="1"/>
    <col min="7689" max="7689" width="26.625" style="42" customWidth="1"/>
    <col min="7690" max="7690" width="9.25" style="42" bestFit="1" customWidth="1"/>
    <col min="7691" max="7691" width="9" style="42" customWidth="1"/>
    <col min="7692" max="7692" width="8.25" style="42" customWidth="1"/>
    <col min="7693" max="7693" width="9.25" style="42" bestFit="1" customWidth="1"/>
    <col min="7694" max="7694" width="2.75" style="42" customWidth="1"/>
    <col min="7695" max="7695" width="26.625" style="42" customWidth="1"/>
    <col min="7696" max="7696" width="9.25" style="42" bestFit="1" customWidth="1"/>
    <col min="7697" max="7697" width="9" style="42" customWidth="1"/>
    <col min="7698" max="7698" width="8.25" style="42" customWidth="1"/>
    <col min="7699" max="7699" width="9.25" style="42" bestFit="1" customWidth="1"/>
    <col min="7700" max="7700" width="2.75" style="42" customWidth="1"/>
    <col min="7701" max="7705" width="0" style="42" hidden="1" customWidth="1"/>
    <col min="7706" max="7706" width="2.5" style="42" customWidth="1"/>
    <col min="7707" max="7707" width="6" style="42" bestFit="1" customWidth="1"/>
    <col min="7708" max="7708" width="21.125" style="42" customWidth="1"/>
    <col min="7709" max="7709" width="11" style="42" customWidth="1"/>
    <col min="7710" max="7710" width="15" style="42" customWidth="1"/>
    <col min="7711" max="7711" width="6.625" style="42" customWidth="1"/>
    <col min="7712" max="7713" width="7.375" style="42" customWidth="1"/>
    <col min="7714" max="7714" width="7.25" style="42" customWidth="1"/>
    <col min="7715" max="7932" width="8.25" style="42"/>
    <col min="7933" max="7933" width="27.75" style="42" customWidth="1"/>
    <col min="7934" max="7934" width="9.25" style="42" bestFit="1" customWidth="1"/>
    <col min="7935" max="7935" width="9" style="42" customWidth="1"/>
    <col min="7936" max="7936" width="8.25" style="42" customWidth="1"/>
    <col min="7937" max="7937" width="10.25" style="42" bestFit="1" customWidth="1"/>
    <col min="7938" max="7938" width="1.75" style="42" customWidth="1"/>
    <col min="7939" max="7939" width="27.75" style="42" customWidth="1"/>
    <col min="7940" max="7940" width="9.25" style="42" bestFit="1" customWidth="1"/>
    <col min="7941" max="7941" width="9" style="42" customWidth="1"/>
    <col min="7942" max="7942" width="8.25" style="42" customWidth="1"/>
    <col min="7943" max="7943" width="9.25" style="42" bestFit="1" customWidth="1"/>
    <col min="7944" max="7944" width="2.75" style="42" customWidth="1"/>
    <col min="7945" max="7945" width="26.625" style="42" customWidth="1"/>
    <col min="7946" max="7946" width="9.25" style="42" bestFit="1" customWidth="1"/>
    <col min="7947" max="7947" width="9" style="42" customWidth="1"/>
    <col min="7948" max="7948" width="8.25" style="42" customWidth="1"/>
    <col min="7949" max="7949" width="9.25" style="42" bestFit="1" customWidth="1"/>
    <col min="7950" max="7950" width="2.75" style="42" customWidth="1"/>
    <col min="7951" max="7951" width="26.625" style="42" customWidth="1"/>
    <col min="7952" max="7952" width="9.25" style="42" bestFit="1" customWidth="1"/>
    <col min="7953" max="7953" width="9" style="42" customWidth="1"/>
    <col min="7954" max="7954" width="8.25" style="42" customWidth="1"/>
    <col min="7955" max="7955" width="9.25" style="42" bestFit="1" customWidth="1"/>
    <col min="7956" max="7956" width="2.75" style="42" customWidth="1"/>
    <col min="7957" max="7961" width="0" style="42" hidden="1" customWidth="1"/>
    <col min="7962" max="7962" width="2.5" style="42" customWidth="1"/>
    <col min="7963" max="7963" width="6" style="42" bestFit="1" customWidth="1"/>
    <col min="7964" max="7964" width="21.125" style="42" customWidth="1"/>
    <col min="7965" max="7965" width="11" style="42" customWidth="1"/>
    <col min="7966" max="7966" width="15" style="42" customWidth="1"/>
    <col min="7967" max="7967" width="6.625" style="42" customWidth="1"/>
    <col min="7968" max="7969" width="7.375" style="42" customWidth="1"/>
    <col min="7970" max="7970" width="7.25" style="42" customWidth="1"/>
    <col min="7971" max="8188" width="8.25" style="42"/>
    <col min="8189" max="8189" width="27.75" style="42" customWidth="1"/>
    <col min="8190" max="8190" width="9.25" style="42" bestFit="1" customWidth="1"/>
    <col min="8191" max="8191" width="9" style="42" customWidth="1"/>
    <col min="8192" max="8192" width="8.25" style="42" customWidth="1"/>
    <col min="8193" max="8193" width="10.25" style="42" bestFit="1" customWidth="1"/>
    <col min="8194" max="8194" width="1.75" style="42" customWidth="1"/>
    <col min="8195" max="8195" width="27.75" style="42" customWidth="1"/>
    <col min="8196" max="8196" width="9.25" style="42" bestFit="1" customWidth="1"/>
    <col min="8197" max="8197" width="9" style="42" customWidth="1"/>
    <col min="8198" max="8198" width="8.25" style="42" customWidth="1"/>
    <col min="8199" max="8199" width="9.25" style="42" bestFit="1" customWidth="1"/>
    <col min="8200" max="8200" width="2.75" style="42" customWidth="1"/>
    <col min="8201" max="8201" width="26.625" style="42" customWidth="1"/>
    <col min="8202" max="8202" width="9.25" style="42" bestFit="1" customWidth="1"/>
    <col min="8203" max="8203" width="9" style="42" customWidth="1"/>
    <col min="8204" max="8204" width="8.25" style="42" customWidth="1"/>
    <col min="8205" max="8205" width="9.25" style="42" bestFit="1" customWidth="1"/>
    <col min="8206" max="8206" width="2.75" style="42" customWidth="1"/>
    <col min="8207" max="8207" width="26.625" style="42" customWidth="1"/>
    <col min="8208" max="8208" width="9.25" style="42" bestFit="1" customWidth="1"/>
    <col min="8209" max="8209" width="9" style="42" customWidth="1"/>
    <col min="8210" max="8210" width="8.25" style="42" customWidth="1"/>
    <col min="8211" max="8211" width="9.25" style="42" bestFit="1" customWidth="1"/>
    <col min="8212" max="8212" width="2.75" style="42" customWidth="1"/>
    <col min="8213" max="8217" width="0" style="42" hidden="1" customWidth="1"/>
    <col min="8218" max="8218" width="2.5" style="42" customWidth="1"/>
    <col min="8219" max="8219" width="6" style="42" bestFit="1" customWidth="1"/>
    <col min="8220" max="8220" width="21.125" style="42" customWidth="1"/>
    <col min="8221" max="8221" width="11" style="42" customWidth="1"/>
    <col min="8222" max="8222" width="15" style="42" customWidth="1"/>
    <col min="8223" max="8223" width="6.625" style="42" customWidth="1"/>
    <col min="8224" max="8225" width="7.375" style="42" customWidth="1"/>
    <col min="8226" max="8226" width="7.25" style="42" customWidth="1"/>
    <col min="8227" max="8444" width="8.25" style="42"/>
    <col min="8445" max="8445" width="27.75" style="42" customWidth="1"/>
    <col min="8446" max="8446" width="9.25" style="42" bestFit="1" customWidth="1"/>
    <col min="8447" max="8447" width="9" style="42" customWidth="1"/>
    <col min="8448" max="8448" width="8.25" style="42" customWidth="1"/>
    <col min="8449" max="8449" width="10.25" style="42" bestFit="1" customWidth="1"/>
    <col min="8450" max="8450" width="1.75" style="42" customWidth="1"/>
    <col min="8451" max="8451" width="27.75" style="42" customWidth="1"/>
    <col min="8452" max="8452" width="9.25" style="42" bestFit="1" customWidth="1"/>
    <col min="8453" max="8453" width="9" style="42" customWidth="1"/>
    <col min="8454" max="8454" width="8.25" style="42" customWidth="1"/>
    <col min="8455" max="8455" width="9.25" style="42" bestFit="1" customWidth="1"/>
    <col min="8456" max="8456" width="2.75" style="42" customWidth="1"/>
    <col min="8457" max="8457" width="26.625" style="42" customWidth="1"/>
    <col min="8458" max="8458" width="9.25" style="42" bestFit="1" customWidth="1"/>
    <col min="8459" max="8459" width="9" style="42" customWidth="1"/>
    <col min="8460" max="8460" width="8.25" style="42" customWidth="1"/>
    <col min="8461" max="8461" width="9.25" style="42" bestFit="1" customWidth="1"/>
    <col min="8462" max="8462" width="2.75" style="42" customWidth="1"/>
    <col min="8463" max="8463" width="26.625" style="42" customWidth="1"/>
    <col min="8464" max="8464" width="9.25" style="42" bestFit="1" customWidth="1"/>
    <col min="8465" max="8465" width="9" style="42" customWidth="1"/>
    <col min="8466" max="8466" width="8.25" style="42" customWidth="1"/>
    <col min="8467" max="8467" width="9.25" style="42" bestFit="1" customWidth="1"/>
    <col min="8468" max="8468" width="2.75" style="42" customWidth="1"/>
    <col min="8469" max="8473" width="0" style="42" hidden="1" customWidth="1"/>
    <col min="8474" max="8474" width="2.5" style="42" customWidth="1"/>
    <col min="8475" max="8475" width="6" style="42" bestFit="1" customWidth="1"/>
    <col min="8476" max="8476" width="21.125" style="42" customWidth="1"/>
    <col min="8477" max="8477" width="11" style="42" customWidth="1"/>
    <col min="8478" max="8478" width="15" style="42" customWidth="1"/>
    <col min="8479" max="8479" width="6.625" style="42" customWidth="1"/>
    <col min="8480" max="8481" width="7.375" style="42" customWidth="1"/>
    <col min="8482" max="8482" width="7.25" style="42" customWidth="1"/>
    <col min="8483" max="8700" width="8.25" style="42"/>
    <col min="8701" max="8701" width="27.75" style="42" customWidth="1"/>
    <col min="8702" max="8702" width="9.25" style="42" bestFit="1" customWidth="1"/>
    <col min="8703" max="8703" width="9" style="42" customWidth="1"/>
    <col min="8704" max="8704" width="8.25" style="42" customWidth="1"/>
    <col min="8705" max="8705" width="10.25" style="42" bestFit="1" customWidth="1"/>
    <col min="8706" max="8706" width="1.75" style="42" customWidth="1"/>
    <col min="8707" max="8707" width="27.75" style="42" customWidth="1"/>
    <col min="8708" max="8708" width="9.25" style="42" bestFit="1" customWidth="1"/>
    <col min="8709" max="8709" width="9" style="42" customWidth="1"/>
    <col min="8710" max="8710" width="8.25" style="42" customWidth="1"/>
    <col min="8711" max="8711" width="9.25" style="42" bestFit="1" customWidth="1"/>
    <col min="8712" max="8712" width="2.75" style="42" customWidth="1"/>
    <col min="8713" max="8713" width="26.625" style="42" customWidth="1"/>
    <col min="8714" max="8714" width="9.25" style="42" bestFit="1" customWidth="1"/>
    <col min="8715" max="8715" width="9" style="42" customWidth="1"/>
    <col min="8716" max="8716" width="8.25" style="42" customWidth="1"/>
    <col min="8717" max="8717" width="9.25" style="42" bestFit="1" customWidth="1"/>
    <col min="8718" max="8718" width="2.75" style="42" customWidth="1"/>
    <col min="8719" max="8719" width="26.625" style="42" customWidth="1"/>
    <col min="8720" max="8720" width="9.25" style="42" bestFit="1" customWidth="1"/>
    <col min="8721" max="8721" width="9" style="42" customWidth="1"/>
    <col min="8722" max="8722" width="8.25" style="42" customWidth="1"/>
    <col min="8723" max="8723" width="9.25" style="42" bestFit="1" customWidth="1"/>
    <col min="8724" max="8724" width="2.75" style="42" customWidth="1"/>
    <col min="8725" max="8729" width="0" style="42" hidden="1" customWidth="1"/>
    <col min="8730" max="8730" width="2.5" style="42" customWidth="1"/>
    <col min="8731" max="8731" width="6" style="42" bestFit="1" customWidth="1"/>
    <col min="8732" max="8732" width="21.125" style="42" customWidth="1"/>
    <col min="8733" max="8733" width="11" style="42" customWidth="1"/>
    <col min="8734" max="8734" width="15" style="42" customWidth="1"/>
    <col min="8735" max="8735" width="6.625" style="42" customWidth="1"/>
    <col min="8736" max="8737" width="7.375" style="42" customWidth="1"/>
    <col min="8738" max="8738" width="7.25" style="42" customWidth="1"/>
    <col min="8739" max="8956" width="8.25" style="42"/>
    <col min="8957" max="8957" width="27.75" style="42" customWidth="1"/>
    <col min="8958" max="8958" width="9.25" style="42" bestFit="1" customWidth="1"/>
    <col min="8959" max="8959" width="9" style="42" customWidth="1"/>
    <col min="8960" max="8960" width="8.25" style="42" customWidth="1"/>
    <col min="8961" max="8961" width="10.25" style="42" bestFit="1" customWidth="1"/>
    <col min="8962" max="8962" width="1.75" style="42" customWidth="1"/>
    <col min="8963" max="8963" width="27.75" style="42" customWidth="1"/>
    <col min="8964" max="8964" width="9.25" style="42" bestFit="1" customWidth="1"/>
    <col min="8965" max="8965" width="9" style="42" customWidth="1"/>
    <col min="8966" max="8966" width="8.25" style="42" customWidth="1"/>
    <col min="8967" max="8967" width="9.25" style="42" bestFit="1" customWidth="1"/>
    <col min="8968" max="8968" width="2.75" style="42" customWidth="1"/>
    <col min="8969" max="8969" width="26.625" style="42" customWidth="1"/>
    <col min="8970" max="8970" width="9.25" style="42" bestFit="1" customWidth="1"/>
    <col min="8971" max="8971" width="9" style="42" customWidth="1"/>
    <col min="8972" max="8972" width="8.25" style="42" customWidth="1"/>
    <col min="8973" max="8973" width="9.25" style="42" bestFit="1" customWidth="1"/>
    <col min="8974" max="8974" width="2.75" style="42" customWidth="1"/>
    <col min="8975" max="8975" width="26.625" style="42" customWidth="1"/>
    <col min="8976" max="8976" width="9.25" style="42" bestFit="1" customWidth="1"/>
    <col min="8977" max="8977" width="9" style="42" customWidth="1"/>
    <col min="8978" max="8978" width="8.25" style="42" customWidth="1"/>
    <col min="8979" max="8979" width="9.25" style="42" bestFit="1" customWidth="1"/>
    <col min="8980" max="8980" width="2.75" style="42" customWidth="1"/>
    <col min="8981" max="8985" width="0" style="42" hidden="1" customWidth="1"/>
    <col min="8986" max="8986" width="2.5" style="42" customWidth="1"/>
    <col min="8987" max="8987" width="6" style="42" bestFit="1" customWidth="1"/>
    <col min="8988" max="8988" width="21.125" style="42" customWidth="1"/>
    <col min="8989" max="8989" width="11" style="42" customWidth="1"/>
    <col min="8990" max="8990" width="15" style="42" customWidth="1"/>
    <col min="8991" max="8991" width="6.625" style="42" customWidth="1"/>
    <col min="8992" max="8993" width="7.375" style="42" customWidth="1"/>
    <col min="8994" max="8994" width="7.25" style="42" customWidth="1"/>
    <col min="8995" max="9212" width="8.25" style="42"/>
    <col min="9213" max="9213" width="27.75" style="42" customWidth="1"/>
    <col min="9214" max="9214" width="9.25" style="42" bestFit="1" customWidth="1"/>
    <col min="9215" max="9215" width="9" style="42" customWidth="1"/>
    <col min="9216" max="9216" width="8.25" style="42" customWidth="1"/>
    <col min="9217" max="9217" width="10.25" style="42" bestFit="1" customWidth="1"/>
    <col min="9218" max="9218" width="1.75" style="42" customWidth="1"/>
    <col min="9219" max="9219" width="27.75" style="42" customWidth="1"/>
    <col min="9220" max="9220" width="9.25" style="42" bestFit="1" customWidth="1"/>
    <col min="9221" max="9221" width="9" style="42" customWidth="1"/>
    <col min="9222" max="9222" width="8.25" style="42" customWidth="1"/>
    <col min="9223" max="9223" width="9.25" style="42" bestFit="1" customWidth="1"/>
    <col min="9224" max="9224" width="2.75" style="42" customWidth="1"/>
    <col min="9225" max="9225" width="26.625" style="42" customWidth="1"/>
    <col min="9226" max="9226" width="9.25" style="42" bestFit="1" customWidth="1"/>
    <col min="9227" max="9227" width="9" style="42" customWidth="1"/>
    <col min="9228" max="9228" width="8.25" style="42" customWidth="1"/>
    <col min="9229" max="9229" width="9.25" style="42" bestFit="1" customWidth="1"/>
    <col min="9230" max="9230" width="2.75" style="42" customWidth="1"/>
    <col min="9231" max="9231" width="26.625" style="42" customWidth="1"/>
    <col min="9232" max="9232" width="9.25" style="42" bestFit="1" customWidth="1"/>
    <col min="9233" max="9233" width="9" style="42" customWidth="1"/>
    <col min="9234" max="9234" width="8.25" style="42" customWidth="1"/>
    <col min="9235" max="9235" width="9.25" style="42" bestFit="1" customWidth="1"/>
    <col min="9236" max="9236" width="2.75" style="42" customWidth="1"/>
    <col min="9237" max="9241" width="0" style="42" hidden="1" customWidth="1"/>
    <col min="9242" max="9242" width="2.5" style="42" customWidth="1"/>
    <col min="9243" max="9243" width="6" style="42" bestFit="1" customWidth="1"/>
    <col min="9244" max="9244" width="21.125" style="42" customWidth="1"/>
    <col min="9245" max="9245" width="11" style="42" customWidth="1"/>
    <col min="9246" max="9246" width="15" style="42" customWidth="1"/>
    <col min="9247" max="9247" width="6.625" style="42" customWidth="1"/>
    <col min="9248" max="9249" width="7.375" style="42" customWidth="1"/>
    <col min="9250" max="9250" width="7.25" style="42" customWidth="1"/>
    <col min="9251" max="9468" width="8.25" style="42"/>
    <col min="9469" max="9469" width="27.75" style="42" customWidth="1"/>
    <col min="9470" max="9470" width="9.25" style="42" bestFit="1" customWidth="1"/>
    <col min="9471" max="9471" width="9" style="42" customWidth="1"/>
    <col min="9472" max="9472" width="8.25" style="42" customWidth="1"/>
    <col min="9473" max="9473" width="10.25" style="42" bestFit="1" customWidth="1"/>
    <col min="9474" max="9474" width="1.75" style="42" customWidth="1"/>
    <col min="9475" max="9475" width="27.75" style="42" customWidth="1"/>
    <col min="9476" max="9476" width="9.25" style="42" bestFit="1" customWidth="1"/>
    <col min="9477" max="9477" width="9" style="42" customWidth="1"/>
    <col min="9478" max="9478" width="8.25" style="42" customWidth="1"/>
    <col min="9479" max="9479" width="9.25" style="42" bestFit="1" customWidth="1"/>
    <col min="9480" max="9480" width="2.75" style="42" customWidth="1"/>
    <col min="9481" max="9481" width="26.625" style="42" customWidth="1"/>
    <col min="9482" max="9482" width="9.25" style="42" bestFit="1" customWidth="1"/>
    <col min="9483" max="9483" width="9" style="42" customWidth="1"/>
    <col min="9484" max="9484" width="8.25" style="42" customWidth="1"/>
    <col min="9485" max="9485" width="9.25" style="42" bestFit="1" customWidth="1"/>
    <col min="9486" max="9486" width="2.75" style="42" customWidth="1"/>
    <col min="9487" max="9487" width="26.625" style="42" customWidth="1"/>
    <col min="9488" max="9488" width="9.25" style="42" bestFit="1" customWidth="1"/>
    <col min="9489" max="9489" width="9" style="42" customWidth="1"/>
    <col min="9490" max="9490" width="8.25" style="42" customWidth="1"/>
    <col min="9491" max="9491" width="9.25" style="42" bestFit="1" customWidth="1"/>
    <col min="9492" max="9492" width="2.75" style="42" customWidth="1"/>
    <col min="9493" max="9497" width="0" style="42" hidden="1" customWidth="1"/>
    <col min="9498" max="9498" width="2.5" style="42" customWidth="1"/>
    <col min="9499" max="9499" width="6" style="42" bestFit="1" customWidth="1"/>
    <col min="9500" max="9500" width="21.125" style="42" customWidth="1"/>
    <col min="9501" max="9501" width="11" style="42" customWidth="1"/>
    <col min="9502" max="9502" width="15" style="42" customWidth="1"/>
    <col min="9503" max="9503" width="6.625" style="42" customWidth="1"/>
    <col min="9504" max="9505" width="7.375" style="42" customWidth="1"/>
    <col min="9506" max="9506" width="7.25" style="42" customWidth="1"/>
    <col min="9507" max="9724" width="8.25" style="42"/>
    <col min="9725" max="9725" width="27.75" style="42" customWidth="1"/>
    <col min="9726" max="9726" width="9.25" style="42" bestFit="1" customWidth="1"/>
    <col min="9727" max="9727" width="9" style="42" customWidth="1"/>
    <col min="9728" max="9728" width="8.25" style="42" customWidth="1"/>
    <col min="9729" max="9729" width="10.25" style="42" bestFit="1" customWidth="1"/>
    <col min="9730" max="9730" width="1.75" style="42" customWidth="1"/>
    <col min="9731" max="9731" width="27.75" style="42" customWidth="1"/>
    <col min="9732" max="9732" width="9.25" style="42" bestFit="1" customWidth="1"/>
    <col min="9733" max="9733" width="9" style="42" customWidth="1"/>
    <col min="9734" max="9734" width="8.25" style="42" customWidth="1"/>
    <col min="9735" max="9735" width="9.25" style="42" bestFit="1" customWidth="1"/>
    <col min="9736" max="9736" width="2.75" style="42" customWidth="1"/>
    <col min="9737" max="9737" width="26.625" style="42" customWidth="1"/>
    <col min="9738" max="9738" width="9.25" style="42" bestFit="1" customWidth="1"/>
    <col min="9739" max="9739" width="9" style="42" customWidth="1"/>
    <col min="9740" max="9740" width="8.25" style="42" customWidth="1"/>
    <col min="9741" max="9741" width="9.25" style="42" bestFit="1" customWidth="1"/>
    <col min="9742" max="9742" width="2.75" style="42" customWidth="1"/>
    <col min="9743" max="9743" width="26.625" style="42" customWidth="1"/>
    <col min="9744" max="9744" width="9.25" style="42" bestFit="1" customWidth="1"/>
    <col min="9745" max="9745" width="9" style="42" customWidth="1"/>
    <col min="9746" max="9746" width="8.25" style="42" customWidth="1"/>
    <col min="9747" max="9747" width="9.25" style="42" bestFit="1" customWidth="1"/>
    <col min="9748" max="9748" width="2.75" style="42" customWidth="1"/>
    <col min="9749" max="9753" width="0" style="42" hidden="1" customWidth="1"/>
    <col min="9754" max="9754" width="2.5" style="42" customWidth="1"/>
    <col min="9755" max="9755" width="6" style="42" bestFit="1" customWidth="1"/>
    <col min="9756" max="9756" width="21.125" style="42" customWidth="1"/>
    <col min="9757" max="9757" width="11" style="42" customWidth="1"/>
    <col min="9758" max="9758" width="15" style="42" customWidth="1"/>
    <col min="9759" max="9759" width="6.625" style="42" customWidth="1"/>
    <col min="9760" max="9761" width="7.375" style="42" customWidth="1"/>
    <col min="9762" max="9762" width="7.25" style="42" customWidth="1"/>
    <col min="9763" max="9980" width="8.25" style="42"/>
    <col min="9981" max="9981" width="27.75" style="42" customWidth="1"/>
    <col min="9982" max="9982" width="9.25" style="42" bestFit="1" customWidth="1"/>
    <col min="9983" max="9983" width="9" style="42" customWidth="1"/>
    <col min="9984" max="9984" width="8.25" style="42" customWidth="1"/>
    <col min="9985" max="9985" width="10.25" style="42" bestFit="1" customWidth="1"/>
    <col min="9986" max="9986" width="1.75" style="42" customWidth="1"/>
    <col min="9987" max="9987" width="27.75" style="42" customWidth="1"/>
    <col min="9988" max="9988" width="9.25" style="42" bestFit="1" customWidth="1"/>
    <col min="9989" max="9989" width="9" style="42" customWidth="1"/>
    <col min="9990" max="9990" width="8.25" style="42" customWidth="1"/>
    <col min="9991" max="9991" width="9.25" style="42" bestFit="1" customWidth="1"/>
    <col min="9992" max="9992" width="2.75" style="42" customWidth="1"/>
    <col min="9993" max="9993" width="26.625" style="42" customWidth="1"/>
    <col min="9994" max="9994" width="9.25" style="42" bestFit="1" customWidth="1"/>
    <col min="9995" max="9995" width="9" style="42" customWidth="1"/>
    <col min="9996" max="9996" width="8.25" style="42" customWidth="1"/>
    <col min="9997" max="9997" width="9.25" style="42" bestFit="1" customWidth="1"/>
    <col min="9998" max="9998" width="2.75" style="42" customWidth="1"/>
    <col min="9999" max="9999" width="26.625" style="42" customWidth="1"/>
    <col min="10000" max="10000" width="9.25" style="42" bestFit="1" customWidth="1"/>
    <col min="10001" max="10001" width="9" style="42" customWidth="1"/>
    <col min="10002" max="10002" width="8.25" style="42" customWidth="1"/>
    <col min="10003" max="10003" width="9.25" style="42" bestFit="1" customWidth="1"/>
    <col min="10004" max="10004" width="2.75" style="42" customWidth="1"/>
    <col min="10005" max="10009" width="0" style="42" hidden="1" customWidth="1"/>
    <col min="10010" max="10010" width="2.5" style="42" customWidth="1"/>
    <col min="10011" max="10011" width="6" style="42" bestFit="1" customWidth="1"/>
    <col min="10012" max="10012" width="21.125" style="42" customWidth="1"/>
    <col min="10013" max="10013" width="11" style="42" customWidth="1"/>
    <col min="10014" max="10014" width="15" style="42" customWidth="1"/>
    <col min="10015" max="10015" width="6.625" style="42" customWidth="1"/>
    <col min="10016" max="10017" width="7.375" style="42" customWidth="1"/>
    <col min="10018" max="10018" width="7.25" style="42" customWidth="1"/>
    <col min="10019" max="10236" width="8.25" style="42"/>
    <col min="10237" max="10237" width="27.75" style="42" customWidth="1"/>
    <col min="10238" max="10238" width="9.25" style="42" bestFit="1" customWidth="1"/>
    <col min="10239" max="10239" width="9" style="42" customWidth="1"/>
    <col min="10240" max="10240" width="8.25" style="42" customWidth="1"/>
    <col min="10241" max="10241" width="10.25" style="42" bestFit="1" customWidth="1"/>
    <col min="10242" max="10242" width="1.75" style="42" customWidth="1"/>
    <col min="10243" max="10243" width="27.75" style="42" customWidth="1"/>
    <col min="10244" max="10244" width="9.25" style="42" bestFit="1" customWidth="1"/>
    <col min="10245" max="10245" width="9" style="42" customWidth="1"/>
    <col min="10246" max="10246" width="8.25" style="42" customWidth="1"/>
    <col min="10247" max="10247" width="9.25" style="42" bestFit="1" customWidth="1"/>
    <col min="10248" max="10248" width="2.75" style="42" customWidth="1"/>
    <col min="10249" max="10249" width="26.625" style="42" customWidth="1"/>
    <col min="10250" max="10250" width="9.25" style="42" bestFit="1" customWidth="1"/>
    <col min="10251" max="10251" width="9" style="42" customWidth="1"/>
    <col min="10252" max="10252" width="8.25" style="42" customWidth="1"/>
    <col min="10253" max="10253" width="9.25" style="42" bestFit="1" customWidth="1"/>
    <col min="10254" max="10254" width="2.75" style="42" customWidth="1"/>
    <col min="10255" max="10255" width="26.625" style="42" customWidth="1"/>
    <col min="10256" max="10256" width="9.25" style="42" bestFit="1" customWidth="1"/>
    <col min="10257" max="10257" width="9" style="42" customWidth="1"/>
    <col min="10258" max="10258" width="8.25" style="42" customWidth="1"/>
    <col min="10259" max="10259" width="9.25" style="42" bestFit="1" customWidth="1"/>
    <col min="10260" max="10260" width="2.75" style="42" customWidth="1"/>
    <col min="10261" max="10265" width="0" style="42" hidden="1" customWidth="1"/>
    <col min="10266" max="10266" width="2.5" style="42" customWidth="1"/>
    <col min="10267" max="10267" width="6" style="42" bestFit="1" customWidth="1"/>
    <col min="10268" max="10268" width="21.125" style="42" customWidth="1"/>
    <col min="10269" max="10269" width="11" style="42" customWidth="1"/>
    <col min="10270" max="10270" width="15" style="42" customWidth="1"/>
    <col min="10271" max="10271" width="6.625" style="42" customWidth="1"/>
    <col min="10272" max="10273" width="7.375" style="42" customWidth="1"/>
    <col min="10274" max="10274" width="7.25" style="42" customWidth="1"/>
    <col min="10275" max="10492" width="8.25" style="42"/>
    <col min="10493" max="10493" width="27.75" style="42" customWidth="1"/>
    <col min="10494" max="10494" width="9.25" style="42" bestFit="1" customWidth="1"/>
    <col min="10495" max="10495" width="9" style="42" customWidth="1"/>
    <col min="10496" max="10496" width="8.25" style="42" customWidth="1"/>
    <col min="10497" max="10497" width="10.25" style="42" bestFit="1" customWidth="1"/>
    <col min="10498" max="10498" width="1.75" style="42" customWidth="1"/>
    <col min="10499" max="10499" width="27.75" style="42" customWidth="1"/>
    <col min="10500" max="10500" width="9.25" style="42" bestFit="1" customWidth="1"/>
    <col min="10501" max="10501" width="9" style="42" customWidth="1"/>
    <col min="10502" max="10502" width="8.25" style="42" customWidth="1"/>
    <col min="10503" max="10503" width="9.25" style="42" bestFit="1" customWidth="1"/>
    <col min="10504" max="10504" width="2.75" style="42" customWidth="1"/>
    <col min="10505" max="10505" width="26.625" style="42" customWidth="1"/>
    <col min="10506" max="10506" width="9.25" style="42" bestFit="1" customWidth="1"/>
    <col min="10507" max="10507" width="9" style="42" customWidth="1"/>
    <col min="10508" max="10508" width="8.25" style="42" customWidth="1"/>
    <col min="10509" max="10509" width="9.25" style="42" bestFit="1" customWidth="1"/>
    <col min="10510" max="10510" width="2.75" style="42" customWidth="1"/>
    <col min="10511" max="10511" width="26.625" style="42" customWidth="1"/>
    <col min="10512" max="10512" width="9.25" style="42" bestFit="1" customWidth="1"/>
    <col min="10513" max="10513" width="9" style="42" customWidth="1"/>
    <col min="10514" max="10514" width="8.25" style="42" customWidth="1"/>
    <col min="10515" max="10515" width="9.25" style="42" bestFit="1" customWidth="1"/>
    <col min="10516" max="10516" width="2.75" style="42" customWidth="1"/>
    <col min="10517" max="10521" width="0" style="42" hidden="1" customWidth="1"/>
    <col min="10522" max="10522" width="2.5" style="42" customWidth="1"/>
    <col min="10523" max="10523" width="6" style="42" bestFit="1" customWidth="1"/>
    <col min="10524" max="10524" width="21.125" style="42" customWidth="1"/>
    <col min="10525" max="10525" width="11" style="42" customWidth="1"/>
    <col min="10526" max="10526" width="15" style="42" customWidth="1"/>
    <col min="10527" max="10527" width="6.625" style="42" customWidth="1"/>
    <col min="10528" max="10529" width="7.375" style="42" customWidth="1"/>
    <col min="10530" max="10530" width="7.25" style="42" customWidth="1"/>
    <col min="10531" max="10748" width="8.25" style="42"/>
    <col min="10749" max="10749" width="27.75" style="42" customWidth="1"/>
    <col min="10750" max="10750" width="9.25" style="42" bestFit="1" customWidth="1"/>
    <col min="10751" max="10751" width="9" style="42" customWidth="1"/>
    <col min="10752" max="10752" width="8.25" style="42" customWidth="1"/>
    <col min="10753" max="10753" width="10.25" style="42" bestFit="1" customWidth="1"/>
    <col min="10754" max="10754" width="1.75" style="42" customWidth="1"/>
    <col min="10755" max="10755" width="27.75" style="42" customWidth="1"/>
    <col min="10756" max="10756" width="9.25" style="42" bestFit="1" customWidth="1"/>
    <col min="10757" max="10757" width="9" style="42" customWidth="1"/>
    <col min="10758" max="10758" width="8.25" style="42" customWidth="1"/>
    <col min="10759" max="10759" width="9.25" style="42" bestFit="1" customWidth="1"/>
    <col min="10760" max="10760" width="2.75" style="42" customWidth="1"/>
    <col min="10761" max="10761" width="26.625" style="42" customWidth="1"/>
    <col min="10762" max="10762" width="9.25" style="42" bestFit="1" customWidth="1"/>
    <col min="10763" max="10763" width="9" style="42" customWidth="1"/>
    <col min="10764" max="10764" width="8.25" style="42" customWidth="1"/>
    <col min="10765" max="10765" width="9.25" style="42" bestFit="1" customWidth="1"/>
    <col min="10766" max="10766" width="2.75" style="42" customWidth="1"/>
    <col min="10767" max="10767" width="26.625" style="42" customWidth="1"/>
    <col min="10768" max="10768" width="9.25" style="42" bestFit="1" customWidth="1"/>
    <col min="10769" max="10769" width="9" style="42" customWidth="1"/>
    <col min="10770" max="10770" width="8.25" style="42" customWidth="1"/>
    <col min="10771" max="10771" width="9.25" style="42" bestFit="1" customWidth="1"/>
    <col min="10772" max="10772" width="2.75" style="42" customWidth="1"/>
    <col min="10773" max="10777" width="0" style="42" hidden="1" customWidth="1"/>
    <col min="10778" max="10778" width="2.5" style="42" customWidth="1"/>
    <col min="10779" max="10779" width="6" style="42" bestFit="1" customWidth="1"/>
    <col min="10780" max="10780" width="21.125" style="42" customWidth="1"/>
    <col min="10781" max="10781" width="11" style="42" customWidth="1"/>
    <col min="10782" max="10782" width="15" style="42" customWidth="1"/>
    <col min="10783" max="10783" width="6.625" style="42" customWidth="1"/>
    <col min="10784" max="10785" width="7.375" style="42" customWidth="1"/>
    <col min="10786" max="10786" width="7.25" style="42" customWidth="1"/>
    <col min="10787" max="11004" width="8.25" style="42"/>
    <col min="11005" max="11005" width="27.75" style="42" customWidth="1"/>
    <col min="11006" max="11006" width="9.25" style="42" bestFit="1" customWidth="1"/>
    <col min="11007" max="11007" width="9" style="42" customWidth="1"/>
    <col min="11008" max="11008" width="8.25" style="42" customWidth="1"/>
    <col min="11009" max="11009" width="10.25" style="42" bestFit="1" customWidth="1"/>
    <col min="11010" max="11010" width="1.75" style="42" customWidth="1"/>
    <col min="11011" max="11011" width="27.75" style="42" customWidth="1"/>
    <col min="11012" max="11012" width="9.25" style="42" bestFit="1" customWidth="1"/>
    <col min="11013" max="11013" width="9" style="42" customWidth="1"/>
    <col min="11014" max="11014" width="8.25" style="42" customWidth="1"/>
    <col min="11015" max="11015" width="9.25" style="42" bestFit="1" customWidth="1"/>
    <col min="11016" max="11016" width="2.75" style="42" customWidth="1"/>
    <col min="11017" max="11017" width="26.625" style="42" customWidth="1"/>
    <col min="11018" max="11018" width="9.25" style="42" bestFit="1" customWidth="1"/>
    <col min="11019" max="11019" width="9" style="42" customWidth="1"/>
    <col min="11020" max="11020" width="8.25" style="42" customWidth="1"/>
    <col min="11021" max="11021" width="9.25" style="42" bestFit="1" customWidth="1"/>
    <col min="11022" max="11022" width="2.75" style="42" customWidth="1"/>
    <col min="11023" max="11023" width="26.625" style="42" customWidth="1"/>
    <col min="11024" max="11024" width="9.25" style="42" bestFit="1" customWidth="1"/>
    <col min="11025" max="11025" width="9" style="42" customWidth="1"/>
    <col min="11026" max="11026" width="8.25" style="42" customWidth="1"/>
    <col min="11027" max="11027" width="9.25" style="42" bestFit="1" customWidth="1"/>
    <col min="11028" max="11028" width="2.75" style="42" customWidth="1"/>
    <col min="11029" max="11033" width="0" style="42" hidden="1" customWidth="1"/>
    <col min="11034" max="11034" width="2.5" style="42" customWidth="1"/>
    <col min="11035" max="11035" width="6" style="42" bestFit="1" customWidth="1"/>
    <col min="11036" max="11036" width="21.125" style="42" customWidth="1"/>
    <col min="11037" max="11037" width="11" style="42" customWidth="1"/>
    <col min="11038" max="11038" width="15" style="42" customWidth="1"/>
    <col min="11039" max="11039" width="6.625" style="42" customWidth="1"/>
    <col min="11040" max="11041" width="7.375" style="42" customWidth="1"/>
    <col min="11042" max="11042" width="7.25" style="42" customWidth="1"/>
    <col min="11043" max="11260" width="8.25" style="42"/>
    <col min="11261" max="11261" width="27.75" style="42" customWidth="1"/>
    <col min="11262" max="11262" width="9.25" style="42" bestFit="1" customWidth="1"/>
    <col min="11263" max="11263" width="9" style="42" customWidth="1"/>
    <col min="11264" max="11264" width="8.25" style="42" customWidth="1"/>
    <col min="11265" max="11265" width="10.25" style="42" bestFit="1" customWidth="1"/>
    <col min="11266" max="11266" width="1.75" style="42" customWidth="1"/>
    <col min="11267" max="11267" width="27.75" style="42" customWidth="1"/>
    <col min="11268" max="11268" width="9.25" style="42" bestFit="1" customWidth="1"/>
    <col min="11269" max="11269" width="9" style="42" customWidth="1"/>
    <col min="11270" max="11270" width="8.25" style="42" customWidth="1"/>
    <col min="11271" max="11271" width="9.25" style="42" bestFit="1" customWidth="1"/>
    <col min="11272" max="11272" width="2.75" style="42" customWidth="1"/>
    <col min="11273" max="11273" width="26.625" style="42" customWidth="1"/>
    <col min="11274" max="11274" width="9.25" style="42" bestFit="1" customWidth="1"/>
    <col min="11275" max="11275" width="9" style="42" customWidth="1"/>
    <col min="11276" max="11276" width="8.25" style="42" customWidth="1"/>
    <col min="11277" max="11277" width="9.25" style="42" bestFit="1" customWidth="1"/>
    <col min="11278" max="11278" width="2.75" style="42" customWidth="1"/>
    <col min="11279" max="11279" width="26.625" style="42" customWidth="1"/>
    <col min="11280" max="11280" width="9.25" style="42" bestFit="1" customWidth="1"/>
    <col min="11281" max="11281" width="9" style="42" customWidth="1"/>
    <col min="11282" max="11282" width="8.25" style="42" customWidth="1"/>
    <col min="11283" max="11283" width="9.25" style="42" bestFit="1" customWidth="1"/>
    <col min="11284" max="11284" width="2.75" style="42" customWidth="1"/>
    <col min="11285" max="11289" width="0" style="42" hidden="1" customWidth="1"/>
    <col min="11290" max="11290" width="2.5" style="42" customWidth="1"/>
    <col min="11291" max="11291" width="6" style="42" bestFit="1" customWidth="1"/>
    <col min="11292" max="11292" width="21.125" style="42" customWidth="1"/>
    <col min="11293" max="11293" width="11" style="42" customWidth="1"/>
    <col min="11294" max="11294" width="15" style="42" customWidth="1"/>
    <col min="11295" max="11295" width="6.625" style="42" customWidth="1"/>
    <col min="11296" max="11297" width="7.375" style="42" customWidth="1"/>
    <col min="11298" max="11298" width="7.25" style="42" customWidth="1"/>
    <col min="11299" max="11516" width="8.25" style="42"/>
    <col min="11517" max="11517" width="27.75" style="42" customWidth="1"/>
    <col min="11518" max="11518" width="9.25" style="42" bestFit="1" customWidth="1"/>
    <col min="11519" max="11519" width="9" style="42" customWidth="1"/>
    <col min="11520" max="11520" width="8.25" style="42" customWidth="1"/>
    <col min="11521" max="11521" width="10.25" style="42" bestFit="1" customWidth="1"/>
    <col min="11522" max="11522" width="1.75" style="42" customWidth="1"/>
    <col min="11523" max="11523" width="27.75" style="42" customWidth="1"/>
    <col min="11524" max="11524" width="9.25" style="42" bestFit="1" customWidth="1"/>
    <col min="11525" max="11525" width="9" style="42" customWidth="1"/>
    <col min="11526" max="11526" width="8.25" style="42" customWidth="1"/>
    <col min="11527" max="11527" width="9.25" style="42" bestFit="1" customWidth="1"/>
    <col min="11528" max="11528" width="2.75" style="42" customWidth="1"/>
    <col min="11529" max="11529" width="26.625" style="42" customWidth="1"/>
    <col min="11530" max="11530" width="9.25" style="42" bestFit="1" customWidth="1"/>
    <col min="11531" max="11531" width="9" style="42" customWidth="1"/>
    <col min="11532" max="11532" width="8.25" style="42" customWidth="1"/>
    <col min="11533" max="11533" width="9.25" style="42" bestFit="1" customWidth="1"/>
    <col min="11534" max="11534" width="2.75" style="42" customWidth="1"/>
    <col min="11535" max="11535" width="26.625" style="42" customWidth="1"/>
    <col min="11536" max="11536" width="9.25" style="42" bestFit="1" customWidth="1"/>
    <col min="11537" max="11537" width="9" style="42" customWidth="1"/>
    <col min="11538" max="11538" width="8.25" style="42" customWidth="1"/>
    <col min="11539" max="11539" width="9.25" style="42" bestFit="1" customWidth="1"/>
    <col min="11540" max="11540" width="2.75" style="42" customWidth="1"/>
    <col min="11541" max="11545" width="0" style="42" hidden="1" customWidth="1"/>
    <col min="11546" max="11546" width="2.5" style="42" customWidth="1"/>
    <col min="11547" max="11547" width="6" style="42" bestFit="1" customWidth="1"/>
    <col min="11548" max="11548" width="21.125" style="42" customWidth="1"/>
    <col min="11549" max="11549" width="11" style="42" customWidth="1"/>
    <col min="11550" max="11550" width="15" style="42" customWidth="1"/>
    <col min="11551" max="11551" width="6.625" style="42" customWidth="1"/>
    <col min="11552" max="11553" width="7.375" style="42" customWidth="1"/>
    <col min="11554" max="11554" width="7.25" style="42" customWidth="1"/>
    <col min="11555" max="11772" width="8.25" style="42"/>
    <col min="11773" max="11773" width="27.75" style="42" customWidth="1"/>
    <col min="11774" max="11774" width="9.25" style="42" bestFit="1" customWidth="1"/>
    <col min="11775" max="11775" width="9" style="42" customWidth="1"/>
    <col min="11776" max="11776" width="8.25" style="42" customWidth="1"/>
    <col min="11777" max="11777" width="10.25" style="42" bestFit="1" customWidth="1"/>
    <col min="11778" max="11778" width="1.75" style="42" customWidth="1"/>
    <col min="11779" max="11779" width="27.75" style="42" customWidth="1"/>
    <col min="11780" max="11780" width="9.25" style="42" bestFit="1" customWidth="1"/>
    <col min="11781" max="11781" width="9" style="42" customWidth="1"/>
    <col min="11782" max="11782" width="8.25" style="42" customWidth="1"/>
    <col min="11783" max="11783" width="9.25" style="42" bestFit="1" customWidth="1"/>
    <col min="11784" max="11784" width="2.75" style="42" customWidth="1"/>
    <col min="11785" max="11785" width="26.625" style="42" customWidth="1"/>
    <col min="11786" max="11786" width="9.25" style="42" bestFit="1" customWidth="1"/>
    <col min="11787" max="11787" width="9" style="42" customWidth="1"/>
    <col min="11788" max="11788" width="8.25" style="42" customWidth="1"/>
    <col min="11789" max="11789" width="9.25" style="42" bestFit="1" customWidth="1"/>
    <col min="11790" max="11790" width="2.75" style="42" customWidth="1"/>
    <col min="11791" max="11791" width="26.625" style="42" customWidth="1"/>
    <col min="11792" max="11792" width="9.25" style="42" bestFit="1" customWidth="1"/>
    <col min="11793" max="11793" width="9" style="42" customWidth="1"/>
    <col min="11794" max="11794" width="8.25" style="42" customWidth="1"/>
    <col min="11795" max="11795" width="9.25" style="42" bestFit="1" customWidth="1"/>
    <col min="11796" max="11796" width="2.75" style="42" customWidth="1"/>
    <col min="11797" max="11801" width="0" style="42" hidden="1" customWidth="1"/>
    <col min="11802" max="11802" width="2.5" style="42" customWidth="1"/>
    <col min="11803" max="11803" width="6" style="42" bestFit="1" customWidth="1"/>
    <col min="11804" max="11804" width="21.125" style="42" customWidth="1"/>
    <col min="11805" max="11805" width="11" style="42" customWidth="1"/>
    <col min="11806" max="11806" width="15" style="42" customWidth="1"/>
    <col min="11807" max="11807" width="6.625" style="42" customWidth="1"/>
    <col min="11808" max="11809" width="7.375" style="42" customWidth="1"/>
    <col min="11810" max="11810" width="7.25" style="42" customWidth="1"/>
    <col min="11811" max="12028" width="8.25" style="42"/>
    <col min="12029" max="12029" width="27.75" style="42" customWidth="1"/>
    <col min="12030" max="12030" width="9.25" style="42" bestFit="1" customWidth="1"/>
    <col min="12031" max="12031" width="9" style="42" customWidth="1"/>
    <col min="12032" max="12032" width="8.25" style="42" customWidth="1"/>
    <col min="12033" max="12033" width="10.25" style="42" bestFit="1" customWidth="1"/>
    <col min="12034" max="12034" width="1.75" style="42" customWidth="1"/>
    <col min="12035" max="12035" width="27.75" style="42" customWidth="1"/>
    <col min="12036" max="12036" width="9.25" style="42" bestFit="1" customWidth="1"/>
    <col min="12037" max="12037" width="9" style="42" customWidth="1"/>
    <col min="12038" max="12038" width="8.25" style="42" customWidth="1"/>
    <col min="12039" max="12039" width="9.25" style="42" bestFit="1" customWidth="1"/>
    <col min="12040" max="12040" width="2.75" style="42" customWidth="1"/>
    <col min="12041" max="12041" width="26.625" style="42" customWidth="1"/>
    <col min="12042" max="12042" width="9.25" style="42" bestFit="1" customWidth="1"/>
    <col min="12043" max="12043" width="9" style="42" customWidth="1"/>
    <col min="12044" max="12044" width="8.25" style="42" customWidth="1"/>
    <col min="12045" max="12045" width="9.25" style="42" bestFit="1" customWidth="1"/>
    <col min="12046" max="12046" width="2.75" style="42" customWidth="1"/>
    <col min="12047" max="12047" width="26.625" style="42" customWidth="1"/>
    <col min="12048" max="12048" width="9.25" style="42" bestFit="1" customWidth="1"/>
    <col min="12049" max="12049" width="9" style="42" customWidth="1"/>
    <col min="12050" max="12050" width="8.25" style="42" customWidth="1"/>
    <col min="12051" max="12051" width="9.25" style="42" bestFit="1" customWidth="1"/>
    <col min="12052" max="12052" width="2.75" style="42" customWidth="1"/>
    <col min="12053" max="12057" width="0" style="42" hidden="1" customWidth="1"/>
    <col min="12058" max="12058" width="2.5" style="42" customWidth="1"/>
    <col min="12059" max="12059" width="6" style="42" bestFit="1" customWidth="1"/>
    <col min="12060" max="12060" width="21.125" style="42" customWidth="1"/>
    <col min="12061" max="12061" width="11" style="42" customWidth="1"/>
    <col min="12062" max="12062" width="15" style="42" customWidth="1"/>
    <col min="12063" max="12063" width="6.625" style="42" customWidth="1"/>
    <col min="12064" max="12065" width="7.375" style="42" customWidth="1"/>
    <col min="12066" max="12066" width="7.25" style="42" customWidth="1"/>
    <col min="12067" max="12284" width="8.25" style="42"/>
    <col min="12285" max="12285" width="27.75" style="42" customWidth="1"/>
    <col min="12286" max="12286" width="9.25" style="42" bestFit="1" customWidth="1"/>
    <col min="12287" max="12287" width="9" style="42" customWidth="1"/>
    <col min="12288" max="12288" width="8.25" style="42" customWidth="1"/>
    <col min="12289" max="12289" width="10.25" style="42" bestFit="1" customWidth="1"/>
    <col min="12290" max="12290" width="1.75" style="42" customWidth="1"/>
    <col min="12291" max="12291" width="27.75" style="42" customWidth="1"/>
    <col min="12292" max="12292" width="9.25" style="42" bestFit="1" customWidth="1"/>
    <col min="12293" max="12293" width="9" style="42" customWidth="1"/>
    <col min="12294" max="12294" width="8.25" style="42" customWidth="1"/>
    <col min="12295" max="12295" width="9.25" style="42" bestFit="1" customWidth="1"/>
    <col min="12296" max="12296" width="2.75" style="42" customWidth="1"/>
    <col min="12297" max="12297" width="26.625" style="42" customWidth="1"/>
    <col min="12298" max="12298" width="9.25" style="42" bestFit="1" customWidth="1"/>
    <col min="12299" max="12299" width="9" style="42" customWidth="1"/>
    <col min="12300" max="12300" width="8.25" style="42" customWidth="1"/>
    <col min="12301" max="12301" width="9.25" style="42" bestFit="1" customWidth="1"/>
    <col min="12302" max="12302" width="2.75" style="42" customWidth="1"/>
    <col min="12303" max="12303" width="26.625" style="42" customWidth="1"/>
    <col min="12304" max="12304" width="9.25" style="42" bestFit="1" customWidth="1"/>
    <col min="12305" max="12305" width="9" style="42" customWidth="1"/>
    <col min="12306" max="12306" width="8.25" style="42" customWidth="1"/>
    <col min="12307" max="12307" width="9.25" style="42" bestFit="1" customWidth="1"/>
    <col min="12308" max="12308" width="2.75" style="42" customWidth="1"/>
    <col min="12309" max="12313" width="0" style="42" hidden="1" customWidth="1"/>
    <col min="12314" max="12314" width="2.5" style="42" customWidth="1"/>
    <col min="12315" max="12315" width="6" style="42" bestFit="1" customWidth="1"/>
    <col min="12316" max="12316" width="21.125" style="42" customWidth="1"/>
    <col min="12317" max="12317" width="11" style="42" customWidth="1"/>
    <col min="12318" max="12318" width="15" style="42" customWidth="1"/>
    <col min="12319" max="12319" width="6.625" style="42" customWidth="1"/>
    <col min="12320" max="12321" width="7.375" style="42" customWidth="1"/>
    <col min="12322" max="12322" width="7.25" style="42" customWidth="1"/>
    <col min="12323" max="12540" width="8.25" style="42"/>
    <col min="12541" max="12541" width="27.75" style="42" customWidth="1"/>
    <col min="12542" max="12542" width="9.25" style="42" bestFit="1" customWidth="1"/>
    <col min="12543" max="12543" width="9" style="42" customWidth="1"/>
    <col min="12544" max="12544" width="8.25" style="42" customWidth="1"/>
    <col min="12545" max="12545" width="10.25" style="42" bestFit="1" customWidth="1"/>
    <col min="12546" max="12546" width="1.75" style="42" customWidth="1"/>
    <col min="12547" max="12547" width="27.75" style="42" customWidth="1"/>
    <col min="12548" max="12548" width="9.25" style="42" bestFit="1" customWidth="1"/>
    <col min="12549" max="12549" width="9" style="42" customWidth="1"/>
    <col min="12550" max="12550" width="8.25" style="42" customWidth="1"/>
    <col min="12551" max="12551" width="9.25" style="42" bestFit="1" customWidth="1"/>
    <col min="12552" max="12552" width="2.75" style="42" customWidth="1"/>
    <col min="12553" max="12553" width="26.625" style="42" customWidth="1"/>
    <col min="12554" max="12554" width="9.25" style="42" bestFit="1" customWidth="1"/>
    <col min="12555" max="12555" width="9" style="42" customWidth="1"/>
    <col min="12556" max="12556" width="8.25" style="42" customWidth="1"/>
    <col min="12557" max="12557" width="9.25" style="42" bestFit="1" customWidth="1"/>
    <col min="12558" max="12558" width="2.75" style="42" customWidth="1"/>
    <col min="12559" max="12559" width="26.625" style="42" customWidth="1"/>
    <col min="12560" max="12560" width="9.25" style="42" bestFit="1" customWidth="1"/>
    <col min="12561" max="12561" width="9" style="42" customWidth="1"/>
    <col min="12562" max="12562" width="8.25" style="42" customWidth="1"/>
    <col min="12563" max="12563" width="9.25" style="42" bestFit="1" customWidth="1"/>
    <col min="12564" max="12564" width="2.75" style="42" customWidth="1"/>
    <col min="12565" max="12569" width="0" style="42" hidden="1" customWidth="1"/>
    <col min="12570" max="12570" width="2.5" style="42" customWidth="1"/>
    <col min="12571" max="12571" width="6" style="42" bestFit="1" customWidth="1"/>
    <col min="12572" max="12572" width="21.125" style="42" customWidth="1"/>
    <col min="12573" max="12573" width="11" style="42" customWidth="1"/>
    <col min="12574" max="12574" width="15" style="42" customWidth="1"/>
    <col min="12575" max="12575" width="6.625" style="42" customWidth="1"/>
    <col min="12576" max="12577" width="7.375" style="42" customWidth="1"/>
    <col min="12578" max="12578" width="7.25" style="42" customWidth="1"/>
    <col min="12579" max="12796" width="8.25" style="42"/>
    <col min="12797" max="12797" width="27.75" style="42" customWidth="1"/>
    <col min="12798" max="12798" width="9.25" style="42" bestFit="1" customWidth="1"/>
    <col min="12799" max="12799" width="9" style="42" customWidth="1"/>
    <col min="12800" max="12800" width="8.25" style="42" customWidth="1"/>
    <col min="12801" max="12801" width="10.25" style="42" bestFit="1" customWidth="1"/>
    <col min="12802" max="12802" width="1.75" style="42" customWidth="1"/>
    <col min="12803" max="12803" width="27.75" style="42" customWidth="1"/>
    <col min="12804" max="12804" width="9.25" style="42" bestFit="1" customWidth="1"/>
    <col min="12805" max="12805" width="9" style="42" customWidth="1"/>
    <col min="12806" max="12806" width="8.25" style="42" customWidth="1"/>
    <col min="12807" max="12807" width="9.25" style="42" bestFit="1" customWidth="1"/>
    <col min="12808" max="12808" width="2.75" style="42" customWidth="1"/>
    <col min="12809" max="12809" width="26.625" style="42" customWidth="1"/>
    <col min="12810" max="12810" width="9.25" style="42" bestFit="1" customWidth="1"/>
    <col min="12811" max="12811" width="9" style="42" customWidth="1"/>
    <col min="12812" max="12812" width="8.25" style="42" customWidth="1"/>
    <col min="12813" max="12813" width="9.25" style="42" bestFit="1" customWidth="1"/>
    <col min="12814" max="12814" width="2.75" style="42" customWidth="1"/>
    <col min="12815" max="12815" width="26.625" style="42" customWidth="1"/>
    <col min="12816" max="12816" width="9.25" style="42" bestFit="1" customWidth="1"/>
    <col min="12817" max="12817" width="9" style="42" customWidth="1"/>
    <col min="12818" max="12818" width="8.25" style="42" customWidth="1"/>
    <col min="12819" max="12819" width="9.25" style="42" bestFit="1" customWidth="1"/>
    <col min="12820" max="12820" width="2.75" style="42" customWidth="1"/>
    <col min="12821" max="12825" width="0" style="42" hidden="1" customWidth="1"/>
    <col min="12826" max="12826" width="2.5" style="42" customWidth="1"/>
    <col min="12827" max="12827" width="6" style="42" bestFit="1" customWidth="1"/>
    <col min="12828" max="12828" width="21.125" style="42" customWidth="1"/>
    <col min="12829" max="12829" width="11" style="42" customWidth="1"/>
    <col min="12830" max="12830" width="15" style="42" customWidth="1"/>
    <col min="12831" max="12831" width="6.625" style="42" customWidth="1"/>
    <col min="12832" max="12833" width="7.375" style="42" customWidth="1"/>
    <col min="12834" max="12834" width="7.25" style="42" customWidth="1"/>
    <col min="12835" max="13052" width="8.25" style="42"/>
    <col min="13053" max="13053" width="27.75" style="42" customWidth="1"/>
    <col min="13054" max="13054" width="9.25" style="42" bestFit="1" customWidth="1"/>
    <col min="13055" max="13055" width="9" style="42" customWidth="1"/>
    <col min="13056" max="13056" width="8.25" style="42" customWidth="1"/>
    <col min="13057" max="13057" width="10.25" style="42" bestFit="1" customWidth="1"/>
    <col min="13058" max="13058" width="1.75" style="42" customWidth="1"/>
    <col min="13059" max="13059" width="27.75" style="42" customWidth="1"/>
    <col min="13060" max="13060" width="9.25" style="42" bestFit="1" customWidth="1"/>
    <col min="13061" max="13061" width="9" style="42" customWidth="1"/>
    <col min="13062" max="13062" width="8.25" style="42" customWidth="1"/>
    <col min="13063" max="13063" width="9.25" style="42" bestFit="1" customWidth="1"/>
    <col min="13064" max="13064" width="2.75" style="42" customWidth="1"/>
    <col min="13065" max="13065" width="26.625" style="42" customWidth="1"/>
    <col min="13066" max="13066" width="9.25" style="42" bestFit="1" customWidth="1"/>
    <col min="13067" max="13067" width="9" style="42" customWidth="1"/>
    <col min="13068" max="13068" width="8.25" style="42" customWidth="1"/>
    <col min="13069" max="13069" width="9.25" style="42" bestFit="1" customWidth="1"/>
    <col min="13070" max="13070" width="2.75" style="42" customWidth="1"/>
    <col min="13071" max="13071" width="26.625" style="42" customWidth="1"/>
    <col min="13072" max="13072" width="9.25" style="42" bestFit="1" customWidth="1"/>
    <col min="13073" max="13073" width="9" style="42" customWidth="1"/>
    <col min="13074" max="13074" width="8.25" style="42" customWidth="1"/>
    <col min="13075" max="13075" width="9.25" style="42" bestFit="1" customWidth="1"/>
    <col min="13076" max="13076" width="2.75" style="42" customWidth="1"/>
    <col min="13077" max="13081" width="0" style="42" hidden="1" customWidth="1"/>
    <col min="13082" max="13082" width="2.5" style="42" customWidth="1"/>
    <col min="13083" max="13083" width="6" style="42" bestFit="1" customWidth="1"/>
    <col min="13084" max="13084" width="21.125" style="42" customWidth="1"/>
    <col min="13085" max="13085" width="11" style="42" customWidth="1"/>
    <col min="13086" max="13086" width="15" style="42" customWidth="1"/>
    <col min="13087" max="13087" width="6.625" style="42" customWidth="1"/>
    <col min="13088" max="13089" width="7.375" style="42" customWidth="1"/>
    <col min="13090" max="13090" width="7.25" style="42" customWidth="1"/>
    <col min="13091" max="13308" width="8.25" style="42"/>
    <col min="13309" max="13309" width="27.75" style="42" customWidth="1"/>
    <col min="13310" max="13310" width="9.25" style="42" bestFit="1" customWidth="1"/>
    <col min="13311" max="13311" width="9" style="42" customWidth="1"/>
    <col min="13312" max="13312" width="8.25" style="42" customWidth="1"/>
    <col min="13313" max="13313" width="10.25" style="42" bestFit="1" customWidth="1"/>
    <col min="13314" max="13314" width="1.75" style="42" customWidth="1"/>
    <col min="13315" max="13315" width="27.75" style="42" customWidth="1"/>
    <col min="13316" max="13316" width="9.25" style="42" bestFit="1" customWidth="1"/>
    <col min="13317" max="13317" width="9" style="42" customWidth="1"/>
    <col min="13318" max="13318" width="8.25" style="42" customWidth="1"/>
    <col min="13319" max="13319" width="9.25" style="42" bestFit="1" customWidth="1"/>
    <col min="13320" max="13320" width="2.75" style="42" customWidth="1"/>
    <col min="13321" max="13321" width="26.625" style="42" customWidth="1"/>
    <col min="13322" max="13322" width="9.25" style="42" bestFit="1" customWidth="1"/>
    <col min="13323" max="13323" width="9" style="42" customWidth="1"/>
    <col min="13324" max="13324" width="8.25" style="42" customWidth="1"/>
    <col min="13325" max="13325" width="9.25" style="42" bestFit="1" customWidth="1"/>
    <col min="13326" max="13326" width="2.75" style="42" customWidth="1"/>
    <col min="13327" max="13327" width="26.625" style="42" customWidth="1"/>
    <col min="13328" max="13328" width="9.25" style="42" bestFit="1" customWidth="1"/>
    <col min="13329" max="13329" width="9" style="42" customWidth="1"/>
    <col min="13330" max="13330" width="8.25" style="42" customWidth="1"/>
    <col min="13331" max="13331" width="9.25" style="42" bestFit="1" customWidth="1"/>
    <col min="13332" max="13332" width="2.75" style="42" customWidth="1"/>
    <col min="13333" max="13337" width="0" style="42" hidden="1" customWidth="1"/>
    <col min="13338" max="13338" width="2.5" style="42" customWidth="1"/>
    <col min="13339" max="13339" width="6" style="42" bestFit="1" customWidth="1"/>
    <col min="13340" max="13340" width="21.125" style="42" customWidth="1"/>
    <col min="13341" max="13341" width="11" style="42" customWidth="1"/>
    <col min="13342" max="13342" width="15" style="42" customWidth="1"/>
    <col min="13343" max="13343" width="6.625" style="42" customWidth="1"/>
    <col min="13344" max="13345" width="7.375" style="42" customWidth="1"/>
    <col min="13346" max="13346" width="7.25" style="42" customWidth="1"/>
    <col min="13347" max="13564" width="8.25" style="42"/>
    <col min="13565" max="13565" width="27.75" style="42" customWidth="1"/>
    <col min="13566" max="13566" width="9.25" style="42" bestFit="1" customWidth="1"/>
    <col min="13567" max="13567" width="9" style="42" customWidth="1"/>
    <col min="13568" max="13568" width="8.25" style="42" customWidth="1"/>
    <col min="13569" max="13569" width="10.25" style="42" bestFit="1" customWidth="1"/>
    <col min="13570" max="13570" width="1.75" style="42" customWidth="1"/>
    <col min="13571" max="13571" width="27.75" style="42" customWidth="1"/>
    <col min="13572" max="13572" width="9.25" style="42" bestFit="1" customWidth="1"/>
    <col min="13573" max="13573" width="9" style="42" customWidth="1"/>
    <col min="13574" max="13574" width="8.25" style="42" customWidth="1"/>
    <col min="13575" max="13575" width="9.25" style="42" bestFit="1" customWidth="1"/>
    <col min="13576" max="13576" width="2.75" style="42" customWidth="1"/>
    <col min="13577" max="13577" width="26.625" style="42" customWidth="1"/>
    <col min="13578" max="13578" width="9.25" style="42" bestFit="1" customWidth="1"/>
    <col min="13579" max="13579" width="9" style="42" customWidth="1"/>
    <col min="13580" max="13580" width="8.25" style="42" customWidth="1"/>
    <col min="13581" max="13581" width="9.25" style="42" bestFit="1" customWidth="1"/>
    <col min="13582" max="13582" width="2.75" style="42" customWidth="1"/>
    <col min="13583" max="13583" width="26.625" style="42" customWidth="1"/>
    <col min="13584" max="13584" width="9.25" style="42" bestFit="1" customWidth="1"/>
    <col min="13585" max="13585" width="9" style="42" customWidth="1"/>
    <col min="13586" max="13586" width="8.25" style="42" customWidth="1"/>
    <col min="13587" max="13587" width="9.25" style="42" bestFit="1" customWidth="1"/>
    <col min="13588" max="13588" width="2.75" style="42" customWidth="1"/>
    <col min="13589" max="13593" width="0" style="42" hidden="1" customWidth="1"/>
    <col min="13594" max="13594" width="2.5" style="42" customWidth="1"/>
    <col min="13595" max="13595" width="6" style="42" bestFit="1" customWidth="1"/>
    <col min="13596" max="13596" width="21.125" style="42" customWidth="1"/>
    <col min="13597" max="13597" width="11" style="42" customWidth="1"/>
    <col min="13598" max="13598" width="15" style="42" customWidth="1"/>
    <col min="13599" max="13599" width="6.625" style="42" customWidth="1"/>
    <col min="13600" max="13601" width="7.375" style="42" customWidth="1"/>
    <col min="13602" max="13602" width="7.25" style="42" customWidth="1"/>
    <col min="13603" max="13820" width="8.25" style="42"/>
    <col min="13821" max="13821" width="27.75" style="42" customWidth="1"/>
    <col min="13822" max="13822" width="9.25" style="42" bestFit="1" customWidth="1"/>
    <col min="13823" max="13823" width="9" style="42" customWidth="1"/>
    <col min="13824" max="13824" width="8.25" style="42" customWidth="1"/>
    <col min="13825" max="13825" width="10.25" style="42" bestFit="1" customWidth="1"/>
    <col min="13826" max="13826" width="1.75" style="42" customWidth="1"/>
    <col min="13827" max="13827" width="27.75" style="42" customWidth="1"/>
    <col min="13828" max="13828" width="9.25" style="42" bestFit="1" customWidth="1"/>
    <col min="13829" max="13829" width="9" style="42" customWidth="1"/>
    <col min="13830" max="13830" width="8.25" style="42" customWidth="1"/>
    <col min="13831" max="13831" width="9.25" style="42" bestFit="1" customWidth="1"/>
    <col min="13832" max="13832" width="2.75" style="42" customWidth="1"/>
    <col min="13833" max="13833" width="26.625" style="42" customWidth="1"/>
    <col min="13834" max="13834" width="9.25" style="42" bestFit="1" customWidth="1"/>
    <col min="13835" max="13835" width="9" style="42" customWidth="1"/>
    <col min="13836" max="13836" width="8.25" style="42" customWidth="1"/>
    <col min="13837" max="13837" width="9.25" style="42" bestFit="1" customWidth="1"/>
    <col min="13838" max="13838" width="2.75" style="42" customWidth="1"/>
    <col min="13839" max="13839" width="26.625" style="42" customWidth="1"/>
    <col min="13840" max="13840" width="9.25" style="42" bestFit="1" customWidth="1"/>
    <col min="13841" max="13841" width="9" style="42" customWidth="1"/>
    <col min="13842" max="13842" width="8.25" style="42" customWidth="1"/>
    <col min="13843" max="13843" width="9.25" style="42" bestFit="1" customWidth="1"/>
    <col min="13844" max="13844" width="2.75" style="42" customWidth="1"/>
    <col min="13845" max="13849" width="0" style="42" hidden="1" customWidth="1"/>
    <col min="13850" max="13850" width="2.5" style="42" customWidth="1"/>
    <col min="13851" max="13851" width="6" style="42" bestFit="1" customWidth="1"/>
    <col min="13852" max="13852" width="21.125" style="42" customWidth="1"/>
    <col min="13853" max="13853" width="11" style="42" customWidth="1"/>
    <col min="13854" max="13854" width="15" style="42" customWidth="1"/>
    <col min="13855" max="13855" width="6.625" style="42" customWidth="1"/>
    <col min="13856" max="13857" width="7.375" style="42" customWidth="1"/>
    <col min="13858" max="13858" width="7.25" style="42" customWidth="1"/>
    <col min="13859" max="14076" width="8.25" style="42"/>
    <col min="14077" max="14077" width="27.75" style="42" customWidth="1"/>
    <col min="14078" max="14078" width="9.25" style="42" bestFit="1" customWidth="1"/>
    <col min="14079" max="14079" width="9" style="42" customWidth="1"/>
    <col min="14080" max="14080" width="8.25" style="42" customWidth="1"/>
    <col min="14081" max="14081" width="10.25" style="42" bestFit="1" customWidth="1"/>
    <col min="14082" max="14082" width="1.75" style="42" customWidth="1"/>
    <col min="14083" max="14083" width="27.75" style="42" customWidth="1"/>
    <col min="14084" max="14084" width="9.25" style="42" bestFit="1" customWidth="1"/>
    <col min="14085" max="14085" width="9" style="42" customWidth="1"/>
    <col min="14086" max="14086" width="8.25" style="42" customWidth="1"/>
    <col min="14087" max="14087" width="9.25" style="42" bestFit="1" customWidth="1"/>
    <col min="14088" max="14088" width="2.75" style="42" customWidth="1"/>
    <col min="14089" max="14089" width="26.625" style="42" customWidth="1"/>
    <col min="14090" max="14090" width="9.25" style="42" bestFit="1" customWidth="1"/>
    <col min="14091" max="14091" width="9" style="42" customWidth="1"/>
    <col min="14092" max="14092" width="8.25" style="42" customWidth="1"/>
    <col min="14093" max="14093" width="9.25" style="42" bestFit="1" customWidth="1"/>
    <col min="14094" max="14094" width="2.75" style="42" customWidth="1"/>
    <col min="14095" max="14095" width="26.625" style="42" customWidth="1"/>
    <col min="14096" max="14096" width="9.25" style="42" bestFit="1" customWidth="1"/>
    <col min="14097" max="14097" width="9" style="42" customWidth="1"/>
    <col min="14098" max="14098" width="8.25" style="42" customWidth="1"/>
    <col min="14099" max="14099" width="9.25" style="42" bestFit="1" customWidth="1"/>
    <col min="14100" max="14100" width="2.75" style="42" customWidth="1"/>
    <col min="14101" max="14105" width="0" style="42" hidden="1" customWidth="1"/>
    <col min="14106" max="14106" width="2.5" style="42" customWidth="1"/>
    <col min="14107" max="14107" width="6" style="42" bestFit="1" customWidth="1"/>
    <col min="14108" max="14108" width="21.125" style="42" customWidth="1"/>
    <col min="14109" max="14109" width="11" style="42" customWidth="1"/>
    <col min="14110" max="14110" width="15" style="42" customWidth="1"/>
    <col min="14111" max="14111" width="6.625" style="42" customWidth="1"/>
    <col min="14112" max="14113" width="7.375" style="42" customWidth="1"/>
    <col min="14114" max="14114" width="7.25" style="42" customWidth="1"/>
    <col min="14115" max="14332" width="8.25" style="42"/>
    <col min="14333" max="14333" width="27.75" style="42" customWidth="1"/>
    <col min="14334" max="14334" width="9.25" style="42" bestFit="1" customWidth="1"/>
    <col min="14335" max="14335" width="9" style="42" customWidth="1"/>
    <col min="14336" max="14336" width="8.25" style="42" customWidth="1"/>
    <col min="14337" max="14337" width="10.25" style="42" bestFit="1" customWidth="1"/>
    <col min="14338" max="14338" width="1.75" style="42" customWidth="1"/>
    <col min="14339" max="14339" width="27.75" style="42" customWidth="1"/>
    <col min="14340" max="14340" width="9.25" style="42" bestFit="1" customWidth="1"/>
    <col min="14341" max="14341" width="9" style="42" customWidth="1"/>
    <col min="14342" max="14342" width="8.25" style="42" customWidth="1"/>
    <col min="14343" max="14343" width="9.25" style="42" bestFit="1" customWidth="1"/>
    <col min="14344" max="14344" width="2.75" style="42" customWidth="1"/>
    <col min="14345" max="14345" width="26.625" style="42" customWidth="1"/>
    <col min="14346" max="14346" width="9.25" style="42" bestFit="1" customWidth="1"/>
    <col min="14347" max="14347" width="9" style="42" customWidth="1"/>
    <col min="14348" max="14348" width="8.25" style="42" customWidth="1"/>
    <col min="14349" max="14349" width="9.25" style="42" bestFit="1" customWidth="1"/>
    <col min="14350" max="14350" width="2.75" style="42" customWidth="1"/>
    <col min="14351" max="14351" width="26.625" style="42" customWidth="1"/>
    <col min="14352" max="14352" width="9.25" style="42" bestFit="1" customWidth="1"/>
    <col min="14353" max="14353" width="9" style="42" customWidth="1"/>
    <col min="14354" max="14354" width="8.25" style="42" customWidth="1"/>
    <col min="14355" max="14355" width="9.25" style="42" bestFit="1" customWidth="1"/>
    <col min="14356" max="14356" width="2.75" style="42" customWidth="1"/>
    <col min="14357" max="14361" width="0" style="42" hidden="1" customWidth="1"/>
    <col min="14362" max="14362" width="2.5" style="42" customWidth="1"/>
    <col min="14363" max="14363" width="6" style="42" bestFit="1" customWidth="1"/>
    <col min="14364" max="14364" width="21.125" style="42" customWidth="1"/>
    <col min="14365" max="14365" width="11" style="42" customWidth="1"/>
    <col min="14366" max="14366" width="15" style="42" customWidth="1"/>
    <col min="14367" max="14367" width="6.625" style="42" customWidth="1"/>
    <col min="14368" max="14369" width="7.375" style="42" customWidth="1"/>
    <col min="14370" max="14370" width="7.25" style="42" customWidth="1"/>
    <col min="14371" max="14588" width="8.25" style="42"/>
    <col min="14589" max="14589" width="27.75" style="42" customWidth="1"/>
    <col min="14590" max="14590" width="9.25" style="42" bestFit="1" customWidth="1"/>
    <col min="14591" max="14591" width="9" style="42" customWidth="1"/>
    <col min="14592" max="14592" width="8.25" style="42" customWidth="1"/>
    <col min="14593" max="14593" width="10.25" style="42" bestFit="1" customWidth="1"/>
    <col min="14594" max="14594" width="1.75" style="42" customWidth="1"/>
    <col min="14595" max="14595" width="27.75" style="42" customWidth="1"/>
    <col min="14596" max="14596" width="9.25" style="42" bestFit="1" customWidth="1"/>
    <col min="14597" max="14597" width="9" style="42" customWidth="1"/>
    <col min="14598" max="14598" width="8.25" style="42" customWidth="1"/>
    <col min="14599" max="14599" width="9.25" style="42" bestFit="1" customWidth="1"/>
    <col min="14600" max="14600" width="2.75" style="42" customWidth="1"/>
    <col min="14601" max="14601" width="26.625" style="42" customWidth="1"/>
    <col min="14602" max="14602" width="9.25" style="42" bestFit="1" customWidth="1"/>
    <col min="14603" max="14603" width="9" style="42" customWidth="1"/>
    <col min="14604" max="14604" width="8.25" style="42" customWidth="1"/>
    <col min="14605" max="14605" width="9.25" style="42" bestFit="1" customWidth="1"/>
    <col min="14606" max="14606" width="2.75" style="42" customWidth="1"/>
    <col min="14607" max="14607" width="26.625" style="42" customWidth="1"/>
    <col min="14608" max="14608" width="9.25" style="42" bestFit="1" customWidth="1"/>
    <col min="14609" max="14609" width="9" style="42" customWidth="1"/>
    <col min="14610" max="14610" width="8.25" style="42" customWidth="1"/>
    <col min="14611" max="14611" width="9.25" style="42" bestFit="1" customWidth="1"/>
    <col min="14612" max="14612" width="2.75" style="42" customWidth="1"/>
    <col min="14613" max="14617" width="0" style="42" hidden="1" customWidth="1"/>
    <col min="14618" max="14618" width="2.5" style="42" customWidth="1"/>
    <col min="14619" max="14619" width="6" style="42" bestFit="1" customWidth="1"/>
    <col min="14620" max="14620" width="21.125" style="42" customWidth="1"/>
    <col min="14621" max="14621" width="11" style="42" customWidth="1"/>
    <col min="14622" max="14622" width="15" style="42" customWidth="1"/>
    <col min="14623" max="14623" width="6.625" style="42" customWidth="1"/>
    <col min="14624" max="14625" width="7.375" style="42" customWidth="1"/>
    <col min="14626" max="14626" width="7.25" style="42" customWidth="1"/>
    <col min="14627" max="14844" width="8.25" style="42"/>
    <col min="14845" max="14845" width="27.75" style="42" customWidth="1"/>
    <col min="14846" max="14846" width="9.25" style="42" bestFit="1" customWidth="1"/>
    <col min="14847" max="14847" width="9" style="42" customWidth="1"/>
    <col min="14848" max="14848" width="8.25" style="42" customWidth="1"/>
    <col min="14849" max="14849" width="10.25" style="42" bestFit="1" customWidth="1"/>
    <col min="14850" max="14850" width="1.75" style="42" customWidth="1"/>
    <col min="14851" max="14851" width="27.75" style="42" customWidth="1"/>
    <col min="14852" max="14852" width="9.25" style="42" bestFit="1" customWidth="1"/>
    <col min="14853" max="14853" width="9" style="42" customWidth="1"/>
    <col min="14854" max="14854" width="8.25" style="42" customWidth="1"/>
    <col min="14855" max="14855" width="9.25" style="42" bestFit="1" customWidth="1"/>
    <col min="14856" max="14856" width="2.75" style="42" customWidth="1"/>
    <col min="14857" max="14857" width="26.625" style="42" customWidth="1"/>
    <col min="14858" max="14858" width="9.25" style="42" bestFit="1" customWidth="1"/>
    <col min="14859" max="14859" width="9" style="42" customWidth="1"/>
    <col min="14860" max="14860" width="8.25" style="42" customWidth="1"/>
    <col min="14861" max="14861" width="9.25" style="42" bestFit="1" customWidth="1"/>
    <col min="14862" max="14862" width="2.75" style="42" customWidth="1"/>
    <col min="14863" max="14863" width="26.625" style="42" customWidth="1"/>
    <col min="14864" max="14864" width="9.25" style="42" bestFit="1" customWidth="1"/>
    <col min="14865" max="14865" width="9" style="42" customWidth="1"/>
    <col min="14866" max="14866" width="8.25" style="42" customWidth="1"/>
    <col min="14867" max="14867" width="9.25" style="42" bestFit="1" customWidth="1"/>
    <col min="14868" max="14868" width="2.75" style="42" customWidth="1"/>
    <col min="14869" max="14873" width="0" style="42" hidden="1" customWidth="1"/>
    <col min="14874" max="14874" width="2.5" style="42" customWidth="1"/>
    <col min="14875" max="14875" width="6" style="42" bestFit="1" customWidth="1"/>
    <col min="14876" max="14876" width="21.125" style="42" customWidth="1"/>
    <col min="14877" max="14877" width="11" style="42" customWidth="1"/>
    <col min="14878" max="14878" width="15" style="42" customWidth="1"/>
    <col min="14879" max="14879" width="6.625" style="42" customWidth="1"/>
    <col min="14880" max="14881" width="7.375" style="42" customWidth="1"/>
    <col min="14882" max="14882" width="7.25" style="42" customWidth="1"/>
    <col min="14883" max="15100" width="8.25" style="42"/>
    <col min="15101" max="15101" width="27.75" style="42" customWidth="1"/>
    <col min="15102" max="15102" width="9.25" style="42" bestFit="1" customWidth="1"/>
    <col min="15103" max="15103" width="9" style="42" customWidth="1"/>
    <col min="15104" max="15104" width="8.25" style="42" customWidth="1"/>
    <col min="15105" max="15105" width="10.25" style="42" bestFit="1" customWidth="1"/>
    <col min="15106" max="15106" width="1.75" style="42" customWidth="1"/>
    <col min="15107" max="15107" width="27.75" style="42" customWidth="1"/>
    <col min="15108" max="15108" width="9.25" style="42" bestFit="1" customWidth="1"/>
    <col min="15109" max="15109" width="9" style="42" customWidth="1"/>
    <col min="15110" max="15110" width="8.25" style="42" customWidth="1"/>
    <col min="15111" max="15111" width="9.25" style="42" bestFit="1" customWidth="1"/>
    <col min="15112" max="15112" width="2.75" style="42" customWidth="1"/>
    <col min="15113" max="15113" width="26.625" style="42" customWidth="1"/>
    <col min="15114" max="15114" width="9.25" style="42" bestFit="1" customWidth="1"/>
    <col min="15115" max="15115" width="9" style="42" customWidth="1"/>
    <col min="15116" max="15116" width="8.25" style="42" customWidth="1"/>
    <col min="15117" max="15117" width="9.25" style="42" bestFit="1" customWidth="1"/>
    <col min="15118" max="15118" width="2.75" style="42" customWidth="1"/>
    <col min="15119" max="15119" width="26.625" style="42" customWidth="1"/>
    <col min="15120" max="15120" width="9.25" style="42" bestFit="1" customWidth="1"/>
    <col min="15121" max="15121" width="9" style="42" customWidth="1"/>
    <col min="15122" max="15122" width="8.25" style="42" customWidth="1"/>
    <col min="15123" max="15123" width="9.25" style="42" bestFit="1" customWidth="1"/>
    <col min="15124" max="15124" width="2.75" style="42" customWidth="1"/>
    <col min="15125" max="15129" width="0" style="42" hidden="1" customWidth="1"/>
    <col min="15130" max="15130" width="2.5" style="42" customWidth="1"/>
    <col min="15131" max="15131" width="6" style="42" bestFit="1" customWidth="1"/>
    <col min="15132" max="15132" width="21.125" style="42" customWidth="1"/>
    <col min="15133" max="15133" width="11" style="42" customWidth="1"/>
    <col min="15134" max="15134" width="15" style="42" customWidth="1"/>
    <col min="15135" max="15135" width="6.625" style="42" customWidth="1"/>
    <col min="15136" max="15137" width="7.375" style="42" customWidth="1"/>
    <col min="15138" max="15138" width="7.25" style="42" customWidth="1"/>
    <col min="15139" max="15356" width="8.25" style="42"/>
    <col min="15357" max="15357" width="27.75" style="42" customWidth="1"/>
    <col min="15358" max="15358" width="9.25" style="42" bestFit="1" customWidth="1"/>
    <col min="15359" max="15359" width="9" style="42" customWidth="1"/>
    <col min="15360" max="15360" width="8.25" style="42" customWidth="1"/>
    <col min="15361" max="15361" width="10.25" style="42" bestFit="1" customWidth="1"/>
    <col min="15362" max="15362" width="1.75" style="42" customWidth="1"/>
    <col min="15363" max="15363" width="27.75" style="42" customWidth="1"/>
    <col min="15364" max="15364" width="9.25" style="42" bestFit="1" customWidth="1"/>
    <col min="15365" max="15365" width="9" style="42" customWidth="1"/>
    <col min="15366" max="15366" width="8.25" style="42" customWidth="1"/>
    <col min="15367" max="15367" width="9.25" style="42" bestFit="1" customWidth="1"/>
    <col min="15368" max="15368" width="2.75" style="42" customWidth="1"/>
    <col min="15369" max="15369" width="26.625" style="42" customWidth="1"/>
    <col min="15370" max="15370" width="9.25" style="42" bestFit="1" customWidth="1"/>
    <col min="15371" max="15371" width="9" style="42" customWidth="1"/>
    <col min="15372" max="15372" width="8.25" style="42" customWidth="1"/>
    <col min="15373" max="15373" width="9.25" style="42" bestFit="1" customWidth="1"/>
    <col min="15374" max="15374" width="2.75" style="42" customWidth="1"/>
    <col min="15375" max="15375" width="26.625" style="42" customWidth="1"/>
    <col min="15376" max="15376" width="9.25" style="42" bestFit="1" customWidth="1"/>
    <col min="15377" max="15377" width="9" style="42" customWidth="1"/>
    <col min="15378" max="15378" width="8.25" style="42" customWidth="1"/>
    <col min="15379" max="15379" width="9.25" style="42" bestFit="1" customWidth="1"/>
    <col min="15380" max="15380" width="2.75" style="42" customWidth="1"/>
    <col min="15381" max="15385" width="0" style="42" hidden="1" customWidth="1"/>
    <col min="15386" max="15386" width="2.5" style="42" customWidth="1"/>
    <col min="15387" max="15387" width="6" style="42" bestFit="1" customWidth="1"/>
    <col min="15388" max="15388" width="21.125" style="42" customWidth="1"/>
    <col min="15389" max="15389" width="11" style="42" customWidth="1"/>
    <col min="15390" max="15390" width="15" style="42" customWidth="1"/>
    <col min="15391" max="15391" width="6.625" style="42" customWidth="1"/>
    <col min="15392" max="15393" width="7.375" style="42" customWidth="1"/>
    <col min="15394" max="15394" width="7.25" style="42" customWidth="1"/>
    <col min="15395" max="15612" width="8.25" style="42"/>
    <col min="15613" max="15613" width="27.75" style="42" customWidth="1"/>
    <col min="15614" max="15614" width="9.25" style="42" bestFit="1" customWidth="1"/>
    <col min="15615" max="15615" width="9" style="42" customWidth="1"/>
    <col min="15616" max="15616" width="8.25" style="42" customWidth="1"/>
    <col min="15617" max="15617" width="10.25" style="42" bestFit="1" customWidth="1"/>
    <col min="15618" max="15618" width="1.75" style="42" customWidth="1"/>
    <col min="15619" max="15619" width="27.75" style="42" customWidth="1"/>
    <col min="15620" max="15620" width="9.25" style="42" bestFit="1" customWidth="1"/>
    <col min="15621" max="15621" width="9" style="42" customWidth="1"/>
    <col min="15622" max="15622" width="8.25" style="42" customWidth="1"/>
    <col min="15623" max="15623" width="9.25" style="42" bestFit="1" customWidth="1"/>
    <col min="15624" max="15624" width="2.75" style="42" customWidth="1"/>
    <col min="15625" max="15625" width="26.625" style="42" customWidth="1"/>
    <col min="15626" max="15626" width="9.25" style="42" bestFit="1" customWidth="1"/>
    <col min="15627" max="15627" width="9" style="42" customWidth="1"/>
    <col min="15628" max="15628" width="8.25" style="42" customWidth="1"/>
    <col min="15629" max="15629" width="9.25" style="42" bestFit="1" customWidth="1"/>
    <col min="15630" max="15630" width="2.75" style="42" customWidth="1"/>
    <col min="15631" max="15631" width="26.625" style="42" customWidth="1"/>
    <col min="15632" max="15632" width="9.25" style="42" bestFit="1" customWidth="1"/>
    <col min="15633" max="15633" width="9" style="42" customWidth="1"/>
    <col min="15634" max="15634" width="8.25" style="42" customWidth="1"/>
    <col min="15635" max="15635" width="9.25" style="42" bestFit="1" customWidth="1"/>
    <col min="15636" max="15636" width="2.75" style="42" customWidth="1"/>
    <col min="15637" max="15641" width="0" style="42" hidden="1" customWidth="1"/>
    <col min="15642" max="15642" width="2.5" style="42" customWidth="1"/>
    <col min="15643" max="15643" width="6" style="42" bestFit="1" customWidth="1"/>
    <col min="15644" max="15644" width="21.125" style="42" customWidth="1"/>
    <col min="15645" max="15645" width="11" style="42" customWidth="1"/>
    <col min="15646" max="15646" width="15" style="42" customWidth="1"/>
    <col min="15647" max="15647" width="6.625" style="42" customWidth="1"/>
    <col min="15648" max="15649" width="7.375" style="42" customWidth="1"/>
    <col min="15650" max="15650" width="7.25" style="42" customWidth="1"/>
    <col min="15651" max="15868" width="8.25" style="42"/>
    <col min="15869" max="15869" width="27.75" style="42" customWidth="1"/>
    <col min="15870" max="15870" width="9.25" style="42" bestFit="1" customWidth="1"/>
    <col min="15871" max="15871" width="9" style="42" customWidth="1"/>
    <col min="15872" max="15872" width="8.25" style="42" customWidth="1"/>
    <col min="15873" max="15873" width="10.25" style="42" bestFit="1" customWidth="1"/>
    <col min="15874" max="15874" width="1.75" style="42" customWidth="1"/>
    <col min="15875" max="15875" width="27.75" style="42" customWidth="1"/>
    <col min="15876" max="15876" width="9.25" style="42" bestFit="1" customWidth="1"/>
    <col min="15877" max="15877" width="9" style="42" customWidth="1"/>
    <col min="15878" max="15878" width="8.25" style="42" customWidth="1"/>
    <col min="15879" max="15879" width="9.25" style="42" bestFit="1" customWidth="1"/>
    <col min="15880" max="15880" width="2.75" style="42" customWidth="1"/>
    <col min="15881" max="15881" width="26.625" style="42" customWidth="1"/>
    <col min="15882" max="15882" width="9.25" style="42" bestFit="1" customWidth="1"/>
    <col min="15883" max="15883" width="9" style="42" customWidth="1"/>
    <col min="15884" max="15884" width="8.25" style="42" customWidth="1"/>
    <col min="15885" max="15885" width="9.25" style="42" bestFit="1" customWidth="1"/>
    <col min="15886" max="15886" width="2.75" style="42" customWidth="1"/>
    <col min="15887" max="15887" width="26.625" style="42" customWidth="1"/>
    <col min="15888" max="15888" width="9.25" style="42" bestFit="1" customWidth="1"/>
    <col min="15889" max="15889" width="9" style="42" customWidth="1"/>
    <col min="15890" max="15890" width="8.25" style="42" customWidth="1"/>
    <col min="15891" max="15891" width="9.25" style="42" bestFit="1" customWidth="1"/>
    <col min="15892" max="15892" width="2.75" style="42" customWidth="1"/>
    <col min="15893" max="15897" width="0" style="42" hidden="1" customWidth="1"/>
    <col min="15898" max="15898" width="2.5" style="42" customWidth="1"/>
    <col min="15899" max="15899" width="6" style="42" bestFit="1" customWidth="1"/>
    <col min="15900" max="15900" width="21.125" style="42" customWidth="1"/>
    <col min="15901" max="15901" width="11" style="42" customWidth="1"/>
    <col min="15902" max="15902" width="15" style="42" customWidth="1"/>
    <col min="15903" max="15903" width="6.625" style="42" customWidth="1"/>
    <col min="15904" max="15905" width="7.375" style="42" customWidth="1"/>
    <col min="15906" max="15906" width="7.25" style="42" customWidth="1"/>
    <col min="15907" max="16124" width="8.25" style="42"/>
    <col min="16125" max="16125" width="27.75" style="42" customWidth="1"/>
    <col min="16126" max="16126" width="9.25" style="42" bestFit="1" customWidth="1"/>
    <col min="16127" max="16127" width="9" style="42" customWidth="1"/>
    <col min="16128" max="16128" width="8.25" style="42" customWidth="1"/>
    <col min="16129" max="16129" width="10.25" style="42" bestFit="1" customWidth="1"/>
    <col min="16130" max="16130" width="1.75" style="42" customWidth="1"/>
    <col min="16131" max="16131" width="27.75" style="42" customWidth="1"/>
    <col min="16132" max="16132" width="9.25" style="42" bestFit="1" customWidth="1"/>
    <col min="16133" max="16133" width="9" style="42" customWidth="1"/>
    <col min="16134" max="16134" width="8.25" style="42" customWidth="1"/>
    <col min="16135" max="16135" width="9.25" style="42" bestFit="1" customWidth="1"/>
    <col min="16136" max="16136" width="2.75" style="42" customWidth="1"/>
    <col min="16137" max="16137" width="26.625" style="42" customWidth="1"/>
    <col min="16138" max="16138" width="9.25" style="42" bestFit="1" customWidth="1"/>
    <col min="16139" max="16139" width="9" style="42" customWidth="1"/>
    <col min="16140" max="16140" width="8.25" style="42" customWidth="1"/>
    <col min="16141" max="16141" width="9.25" style="42" bestFit="1" customWidth="1"/>
    <col min="16142" max="16142" width="2.75" style="42" customWidth="1"/>
    <col min="16143" max="16143" width="26.625" style="42" customWidth="1"/>
    <col min="16144" max="16144" width="9.25" style="42" bestFit="1" customWidth="1"/>
    <col min="16145" max="16145" width="9" style="42" customWidth="1"/>
    <col min="16146" max="16146" width="8.25" style="42" customWidth="1"/>
    <col min="16147" max="16147" width="9.25" style="42" bestFit="1" customWidth="1"/>
    <col min="16148" max="16148" width="2.75" style="42" customWidth="1"/>
    <col min="16149" max="16153" width="0" style="42" hidden="1" customWidth="1"/>
    <col min="16154" max="16154" width="2.5" style="42" customWidth="1"/>
    <col min="16155" max="16155" width="6" style="42" bestFit="1" customWidth="1"/>
    <col min="16156" max="16156" width="21.125" style="42" customWidth="1"/>
    <col min="16157" max="16157" width="11" style="42" customWidth="1"/>
    <col min="16158" max="16158" width="15" style="42" customWidth="1"/>
    <col min="16159" max="16159" width="6.625" style="42" customWidth="1"/>
    <col min="16160" max="16161" width="7.375" style="42" customWidth="1"/>
    <col min="16162" max="16162" width="7.25" style="42" customWidth="1"/>
    <col min="16163" max="16384" width="8.25" style="42"/>
  </cols>
  <sheetData>
    <row r="1" spans="6:36" s="33" customFormat="1" x14ac:dyDescent="0.25">
      <c r="F1" s="242"/>
      <c r="K1" s="42"/>
      <c r="L1" s="242"/>
      <c r="Q1" s="42"/>
      <c r="R1" s="242"/>
      <c r="X1" s="242"/>
      <c r="AC1" s="42"/>
      <c r="AD1" s="1050"/>
      <c r="AE1" s="1050"/>
      <c r="AF1" s="1050"/>
    </row>
    <row r="2" spans="6:36" s="33" customFormat="1" ht="15.75" thickBot="1" x14ac:dyDescent="0.3">
      <c r="F2" s="242"/>
      <c r="K2" s="42"/>
      <c r="L2" s="242"/>
      <c r="Q2" s="42"/>
      <c r="R2" s="242"/>
      <c r="X2" s="242"/>
      <c r="AC2" s="42"/>
    </row>
    <row r="3" spans="6:36" s="33" customFormat="1" ht="15.75" thickBot="1" x14ac:dyDescent="0.3">
      <c r="F3" s="1051" t="s">
        <v>104</v>
      </c>
      <c r="G3" s="1052"/>
      <c r="H3" s="1052"/>
      <c r="I3" s="1052"/>
      <c r="J3" s="1053"/>
      <c r="K3" s="42"/>
      <c r="L3" s="1054"/>
      <c r="M3" s="1055"/>
      <c r="N3" s="1055"/>
      <c r="O3" s="1055"/>
      <c r="P3" s="1056"/>
      <c r="Q3" s="195"/>
      <c r="R3" s="1054"/>
      <c r="S3" s="1055"/>
      <c r="T3" s="1055"/>
      <c r="U3" s="1055"/>
      <c r="V3" s="1056"/>
      <c r="W3" s="195"/>
      <c r="X3" s="1054"/>
      <c r="Y3" s="1055"/>
      <c r="Z3" s="1055"/>
      <c r="AA3" s="1055"/>
      <c r="AB3" s="1056"/>
      <c r="AC3" s="195"/>
      <c r="AD3" s="1057" t="s">
        <v>48</v>
      </c>
      <c r="AE3" s="1058"/>
      <c r="AF3" s="1058"/>
      <c r="AG3" s="1058"/>
      <c r="AH3" s="1058"/>
      <c r="AI3" s="1059"/>
    </row>
    <row r="4" spans="6:36" s="33" customFormat="1" ht="15.75" customHeight="1" thickBot="1" x14ac:dyDescent="0.3">
      <c r="F4" s="1054" t="s">
        <v>49</v>
      </c>
      <c r="G4" s="1055"/>
      <c r="H4" s="1055"/>
      <c r="I4" s="1055"/>
      <c r="J4" s="1056"/>
      <c r="K4" s="42"/>
      <c r="L4" s="1054" t="s">
        <v>50</v>
      </c>
      <c r="M4" s="1055"/>
      <c r="N4" s="1055"/>
      <c r="O4" s="1055"/>
      <c r="P4" s="1056"/>
      <c r="Q4" s="195"/>
      <c r="R4" s="1054" t="s">
        <v>51</v>
      </c>
      <c r="S4" s="1055"/>
      <c r="T4" s="1055"/>
      <c r="U4" s="1055"/>
      <c r="V4" s="1056"/>
      <c r="W4" s="195"/>
      <c r="X4" s="1054" t="s">
        <v>52</v>
      </c>
      <c r="Y4" s="1055"/>
      <c r="Z4" s="1055"/>
      <c r="AA4" s="1055"/>
      <c r="AB4" s="1056"/>
      <c r="AC4" s="201"/>
      <c r="AD4" s="306" t="s">
        <v>352</v>
      </c>
      <c r="AE4" s="239"/>
      <c r="AF4" s="239">
        <f>'M2022 BLS  (53_PCT)'!C22</f>
        <v>79415.232000000018</v>
      </c>
      <c r="AG4" s="33" t="s">
        <v>519</v>
      </c>
      <c r="AH4" s="239"/>
      <c r="AI4" s="307"/>
    </row>
    <row r="5" spans="6:36" s="33" customFormat="1" ht="15.75" thickBot="1" x14ac:dyDescent="0.3">
      <c r="F5" s="300" t="s">
        <v>56</v>
      </c>
      <c r="G5" s="611" t="s">
        <v>105</v>
      </c>
      <c r="H5" s="301" t="s">
        <v>58</v>
      </c>
      <c r="I5" s="302">
        <v>365</v>
      </c>
      <c r="J5" s="303">
        <f>I5*G6</f>
        <v>2920</v>
      </c>
      <c r="K5" s="42"/>
      <c r="L5" s="300" t="s">
        <v>56</v>
      </c>
      <c r="M5" s="611" t="s">
        <v>57</v>
      </c>
      <c r="N5" s="301" t="s">
        <v>58</v>
      </c>
      <c r="O5" s="302">
        <v>365</v>
      </c>
      <c r="P5" s="303">
        <f>O5*M6</f>
        <v>4380</v>
      </c>
      <c r="Q5" s="201"/>
      <c r="R5" s="300" t="s">
        <v>56</v>
      </c>
      <c r="S5" s="418" t="s">
        <v>59</v>
      </c>
      <c r="T5" s="301" t="s">
        <v>58</v>
      </c>
      <c r="U5" s="302">
        <v>365</v>
      </c>
      <c r="V5" s="303">
        <f>S6*U5</f>
        <v>5475</v>
      </c>
      <c r="W5" s="201"/>
      <c r="X5" s="304" t="s">
        <v>56</v>
      </c>
      <c r="Y5" s="240" t="s">
        <v>60</v>
      </c>
      <c r="Z5" s="204" t="s">
        <v>58</v>
      </c>
      <c r="AA5" s="294">
        <v>365</v>
      </c>
      <c r="AB5" s="305">
        <f>Y6*AA5</f>
        <v>7300</v>
      </c>
      <c r="AC5" s="201"/>
      <c r="AD5" s="306" t="s">
        <v>87</v>
      </c>
      <c r="AE5" s="239"/>
      <c r="AF5" s="239">
        <f>'M2022 BLS  (53_PCT)'!C18</f>
        <v>80606.448000000004</v>
      </c>
      <c r="AG5" s="33" t="s">
        <v>519</v>
      </c>
      <c r="AH5" s="242"/>
      <c r="AI5" s="358"/>
      <c r="AJ5" s="242"/>
    </row>
    <row r="6" spans="6:36" s="242" customFormat="1" ht="15.75" thickBot="1" x14ac:dyDescent="0.3">
      <c r="F6" s="304"/>
      <c r="G6" s="610">
        <v>8</v>
      </c>
      <c r="H6" s="204"/>
      <c r="I6" s="294"/>
      <c r="J6" s="305"/>
      <c r="K6" s="42"/>
      <c r="L6" s="304"/>
      <c r="M6" s="609">
        <v>12</v>
      </c>
      <c r="N6" s="204"/>
      <c r="O6" s="294"/>
      <c r="P6" s="305"/>
      <c r="Q6" s="201"/>
      <c r="R6" s="304"/>
      <c r="S6" s="610">
        <v>15</v>
      </c>
      <c r="T6" s="204"/>
      <c r="U6" s="294"/>
      <c r="V6" s="305"/>
      <c r="W6" s="201"/>
      <c r="X6" s="304"/>
      <c r="Y6" s="610">
        <v>20</v>
      </c>
      <c r="Z6" s="204"/>
      <c r="AA6" s="294"/>
      <c r="AB6" s="305"/>
      <c r="AC6" s="42"/>
      <c r="AD6" s="306" t="s">
        <v>106</v>
      </c>
      <c r="AE6" s="239"/>
      <c r="AF6" s="239">
        <f>'M2022 BLS  (53_PCT)'!C8</f>
        <v>53206.566400000003</v>
      </c>
      <c r="AG6" s="33" t="s">
        <v>519</v>
      </c>
      <c r="AI6" s="358"/>
    </row>
    <row r="7" spans="6:36" s="242" customFormat="1" ht="27.75" customHeight="1" thickBot="1" x14ac:dyDescent="0.3">
      <c r="F7" s="155"/>
      <c r="G7" s="310" t="s">
        <v>65</v>
      </c>
      <c r="H7" s="293" t="s">
        <v>66</v>
      </c>
      <c r="I7" s="311" t="s">
        <v>67</v>
      </c>
      <c r="J7" s="312" t="s">
        <v>68</v>
      </c>
      <c r="K7" s="313"/>
      <c r="L7" s="155"/>
      <c r="M7" s="310" t="s">
        <v>65</v>
      </c>
      <c r="N7" s="293" t="s">
        <v>66</v>
      </c>
      <c r="O7" s="311" t="s">
        <v>67</v>
      </c>
      <c r="P7" s="312" t="s">
        <v>68</v>
      </c>
      <c r="Q7" s="313"/>
      <c r="R7" s="304"/>
      <c r="S7" s="310" t="s">
        <v>65</v>
      </c>
      <c r="T7" s="293" t="s">
        <v>66</v>
      </c>
      <c r="U7" s="311" t="s">
        <v>67</v>
      </c>
      <c r="V7" s="312" t="s">
        <v>68</v>
      </c>
      <c r="W7" s="240"/>
      <c r="X7" s="304"/>
      <c r="Y7" s="310" t="s">
        <v>65</v>
      </c>
      <c r="Z7" s="293" t="s">
        <v>66</v>
      </c>
      <c r="AA7" s="311" t="s">
        <v>67</v>
      </c>
      <c r="AB7" s="312" t="s">
        <v>68</v>
      </c>
      <c r="AC7" s="313"/>
      <c r="AD7" s="306" t="s">
        <v>75</v>
      </c>
      <c r="AE7" s="239"/>
      <c r="AF7" s="239">
        <f>'M2022 BLS  (53_PCT)'!C6</f>
        <v>41600</v>
      </c>
      <c r="AG7" s="33" t="s">
        <v>519</v>
      </c>
      <c r="AI7" s="358"/>
      <c r="AJ7" s="240"/>
    </row>
    <row r="8" spans="6:36" s="240" customFormat="1" ht="15.75" thickBot="1" x14ac:dyDescent="0.3">
      <c r="F8" s="155" t="s">
        <v>352</v>
      </c>
      <c r="G8" s="314"/>
      <c r="H8" s="239">
        <f>$AF$4</f>
        <v>79415.232000000018</v>
      </c>
      <c r="I8" s="38">
        <f>AF11</f>
        <v>2.15</v>
      </c>
      <c r="J8" s="307">
        <f t="shared" ref="J8:J11" si="0">H8*I8</f>
        <v>170742.74880000003</v>
      </c>
      <c r="K8" s="42"/>
      <c r="L8" s="155" t="s">
        <v>352</v>
      </c>
      <c r="M8" s="314"/>
      <c r="N8" s="239">
        <f>$AF$4</f>
        <v>79415.232000000018</v>
      </c>
      <c r="O8" s="38">
        <f>AG11</f>
        <v>2.15</v>
      </c>
      <c r="P8" s="307">
        <f t="shared" ref="P8:P11" si="1">N8*O8</f>
        <v>170742.74880000003</v>
      </c>
      <c r="Q8" s="42"/>
      <c r="R8" s="155" t="s">
        <v>352</v>
      </c>
      <c r="S8" s="314"/>
      <c r="T8" s="239">
        <f>$AF$4</f>
        <v>79415.232000000018</v>
      </c>
      <c r="U8" s="38">
        <f>AH11</f>
        <v>2.15</v>
      </c>
      <c r="V8" s="307">
        <f t="shared" ref="V8:V11" si="2">T8*U8</f>
        <v>170742.74880000003</v>
      </c>
      <c r="W8" s="239"/>
      <c r="X8" s="155" t="s">
        <v>352</v>
      </c>
      <c r="Y8" s="314"/>
      <c r="Z8" s="239">
        <f>$AF$4</f>
        <v>79415.232000000018</v>
      </c>
      <c r="AA8" s="38">
        <f>AI11</f>
        <v>2.15</v>
      </c>
      <c r="AB8" s="307">
        <f t="shared" ref="AB8:AB11" si="3">Z8*AA8</f>
        <v>170742.74880000003</v>
      </c>
      <c r="AC8" s="42"/>
      <c r="AD8" s="325"/>
      <c r="AE8" s="326"/>
      <c r="AF8" s="326"/>
      <c r="AG8" s="327" t="s">
        <v>67</v>
      </c>
      <c r="AH8" s="327"/>
      <c r="AI8" s="646"/>
      <c r="AJ8" s="242"/>
    </row>
    <row r="9" spans="6:36" s="242" customFormat="1" x14ac:dyDescent="0.25">
      <c r="F9" s="155" t="s">
        <v>87</v>
      </c>
      <c r="G9" s="38">
        <f>AF13</f>
        <v>7.5</v>
      </c>
      <c r="H9" s="239">
        <f>AF5</f>
        <v>80606.448000000004</v>
      </c>
      <c r="I9" s="38">
        <f>G6/G9</f>
        <v>1.0666666666666667</v>
      </c>
      <c r="J9" s="307">
        <f t="shared" si="0"/>
        <v>85980.211200000005</v>
      </c>
      <c r="K9" s="42"/>
      <c r="L9" s="155" t="s">
        <v>87</v>
      </c>
      <c r="M9" s="38">
        <f>AG13</f>
        <v>7.5</v>
      </c>
      <c r="N9" s="239">
        <f>AF5</f>
        <v>80606.448000000004</v>
      </c>
      <c r="O9" s="38">
        <f>M6/M9</f>
        <v>1.6</v>
      </c>
      <c r="P9" s="307">
        <f t="shared" si="1"/>
        <v>128970.31680000002</v>
      </c>
      <c r="Q9" s="42"/>
      <c r="R9" s="155" t="s">
        <v>87</v>
      </c>
      <c r="S9" s="38">
        <f>AH13</f>
        <v>7.5</v>
      </c>
      <c r="T9" s="239">
        <f>AF5</f>
        <v>80606.448000000004</v>
      </c>
      <c r="U9" s="38">
        <f>S6/S9</f>
        <v>2</v>
      </c>
      <c r="V9" s="307">
        <f t="shared" si="2"/>
        <v>161212.89600000001</v>
      </c>
      <c r="W9" s="239"/>
      <c r="X9" s="155" t="s">
        <v>87</v>
      </c>
      <c r="Y9" s="38">
        <f>AI13</f>
        <v>7.5</v>
      </c>
      <c r="Z9" s="239">
        <f>AF5</f>
        <v>80606.448000000004</v>
      </c>
      <c r="AA9" s="38">
        <f>Y6/Y9</f>
        <v>2.6666666666666665</v>
      </c>
      <c r="AB9" s="307">
        <f t="shared" si="3"/>
        <v>214950.52799999999</v>
      </c>
      <c r="AC9" s="42"/>
      <c r="AD9" s="306"/>
      <c r="AE9" s="647" t="s">
        <v>84</v>
      </c>
      <c r="AF9" s="328">
        <v>8</v>
      </c>
      <c r="AG9" s="328">
        <v>12</v>
      </c>
      <c r="AH9" s="328">
        <v>15.5</v>
      </c>
      <c r="AI9" s="648">
        <v>20</v>
      </c>
      <c r="AJ9" s="239"/>
    </row>
    <row r="10" spans="6:36" s="239" customFormat="1" x14ac:dyDescent="0.25">
      <c r="F10" s="319" t="s">
        <v>106</v>
      </c>
      <c r="G10" s="1060">
        <f>AF19</f>
        <v>1.1000000000000001</v>
      </c>
      <c r="H10" s="239">
        <f>AF6</f>
        <v>53206.566400000003</v>
      </c>
      <c r="I10" s="38">
        <f>7.27*0.2</f>
        <v>1.454</v>
      </c>
      <c r="J10" s="307">
        <f t="shared" si="0"/>
        <v>77362.347545600001</v>
      </c>
      <c r="K10" s="42"/>
      <c r="L10" s="319" t="s">
        <v>106</v>
      </c>
      <c r="M10" s="1060">
        <f>AG19</f>
        <v>1.1000000000000001</v>
      </c>
      <c r="N10" s="239">
        <f>AF6</f>
        <v>53206.566400000003</v>
      </c>
      <c r="O10" s="38">
        <f>10.91*0.2</f>
        <v>2.1819999999999999</v>
      </c>
      <c r="P10" s="307">
        <f t="shared" si="1"/>
        <v>116096.7278848</v>
      </c>
      <c r="Q10" s="42"/>
      <c r="R10" s="319" t="s">
        <v>106</v>
      </c>
      <c r="S10" s="1060">
        <f>AH19</f>
        <v>1.1000000000000001</v>
      </c>
      <c r="T10" s="239">
        <f>AF6</f>
        <v>53206.566400000003</v>
      </c>
      <c r="U10" s="38">
        <f>14.09*0.2</f>
        <v>2.8180000000000001</v>
      </c>
      <c r="V10" s="307">
        <f t="shared" si="2"/>
        <v>149936.10411520003</v>
      </c>
      <c r="W10" s="309"/>
      <c r="X10" s="319" t="s">
        <v>106</v>
      </c>
      <c r="Y10" s="1060">
        <f>AI19</f>
        <v>1.1000000000000001</v>
      </c>
      <c r="Z10" s="239">
        <f>AF6</f>
        <v>53206.566400000003</v>
      </c>
      <c r="AA10" s="38">
        <f>18.18*0.2</f>
        <v>3.6360000000000001</v>
      </c>
      <c r="AB10" s="307">
        <f t="shared" si="3"/>
        <v>193459.07543040003</v>
      </c>
      <c r="AC10" s="42"/>
      <c r="AD10" s="241"/>
      <c r="AE10" s="204"/>
      <c r="AF10" s="311" t="s">
        <v>67</v>
      </c>
      <c r="AG10" s="311"/>
      <c r="AH10" s="311"/>
      <c r="AI10" s="329"/>
    </row>
    <row r="11" spans="6:36" s="239" customFormat="1" ht="15.75" thickBot="1" x14ac:dyDescent="0.3">
      <c r="F11" s="319" t="s">
        <v>73</v>
      </c>
      <c r="G11" s="1060"/>
      <c r="H11" s="239">
        <f>AF7</f>
        <v>41600</v>
      </c>
      <c r="I11" s="38">
        <f>(7.27*0.8)+((I10+5.816)*AF34)+(AF19)</f>
        <v>8.3420384615384613</v>
      </c>
      <c r="J11" s="307">
        <f t="shared" si="0"/>
        <v>347028.8</v>
      </c>
      <c r="K11" s="42"/>
      <c r="L11" s="319" t="s">
        <v>73</v>
      </c>
      <c r="M11" s="1060"/>
      <c r="N11" s="239">
        <f>AF7</f>
        <v>41600</v>
      </c>
      <c r="O11" s="38">
        <f>(10.91*0.8)+((O10+8.728)*AF34)+(AG16)</f>
        <v>11.868038461538461</v>
      </c>
      <c r="P11" s="307">
        <f t="shared" si="1"/>
        <v>493710.39999999997</v>
      </c>
      <c r="Q11" s="42"/>
      <c r="R11" s="319" t="s">
        <v>73</v>
      </c>
      <c r="S11" s="1060"/>
      <c r="T11" s="239">
        <f>AF7</f>
        <v>41600</v>
      </c>
      <c r="U11" s="38">
        <f>(14.09*0.8)+((U10+11.272)*AF34)+(AH16)</f>
        <v>15.285807692307692</v>
      </c>
      <c r="V11" s="307">
        <f t="shared" si="2"/>
        <v>635889.6</v>
      </c>
      <c r="W11" s="309"/>
      <c r="X11" s="319" t="s">
        <v>73</v>
      </c>
      <c r="Y11" s="1060"/>
      <c r="Z11" s="239">
        <f>AF7</f>
        <v>41600</v>
      </c>
      <c r="AA11" s="38">
        <f>(18.18*0.8)+((AA10+14.544)*AF34)+(AI16)</f>
        <v>19.776743589743592</v>
      </c>
      <c r="AB11" s="307">
        <f t="shared" si="3"/>
        <v>822712.53333333344</v>
      </c>
      <c r="AC11" s="42"/>
      <c r="AD11" s="333" t="s">
        <v>352</v>
      </c>
      <c r="AF11" s="334">
        <v>2.15</v>
      </c>
      <c r="AG11" s="334">
        <v>2.15</v>
      </c>
      <c r="AH11" s="334">
        <v>2.15</v>
      </c>
      <c r="AI11" s="335">
        <v>2.15</v>
      </c>
      <c r="AJ11" s="309"/>
    </row>
    <row r="12" spans="6:36" s="239" customFormat="1" ht="15.75" thickBot="1" x14ac:dyDescent="0.3">
      <c r="F12" s="319"/>
      <c r="G12" s="320"/>
      <c r="I12" s="38"/>
      <c r="J12" s="307"/>
      <c r="K12" s="42"/>
      <c r="L12" s="155"/>
      <c r="M12" s="320"/>
      <c r="N12" s="156"/>
      <c r="O12" s="38"/>
      <c r="P12" s="307"/>
      <c r="Q12" s="42"/>
      <c r="R12" s="155"/>
      <c r="S12" s="320"/>
      <c r="T12" s="156"/>
      <c r="U12" s="38"/>
      <c r="V12" s="307"/>
      <c r="W12" s="309"/>
      <c r="X12" s="155"/>
      <c r="Y12" s="320"/>
      <c r="Z12" s="156"/>
      <c r="AA12" s="38"/>
      <c r="AB12" s="307"/>
      <c r="AC12" s="42"/>
      <c r="AD12" s="337"/>
      <c r="AE12" s="35"/>
      <c r="AF12" s="338"/>
      <c r="AG12" s="338" t="s">
        <v>94</v>
      </c>
      <c r="AH12" s="338"/>
      <c r="AI12" s="339"/>
      <c r="AJ12" s="309"/>
    </row>
    <row r="13" spans="6:36" s="309" customFormat="1" x14ac:dyDescent="0.25">
      <c r="F13" s="589" t="s">
        <v>538</v>
      </c>
      <c r="G13" s="585"/>
      <c r="H13" s="586"/>
      <c r="I13" s="587">
        <f>SUM(I8:I11)</f>
        <v>13.012705128205127</v>
      </c>
      <c r="J13" s="588">
        <f>SUM(J8:J12)</f>
        <v>681114.10754560004</v>
      </c>
      <c r="K13" s="42"/>
      <c r="L13" s="589" t="s">
        <v>538</v>
      </c>
      <c r="M13" s="585"/>
      <c r="N13" s="586"/>
      <c r="O13" s="587">
        <f>SUM(O8:O12)</f>
        <v>17.800038461538463</v>
      </c>
      <c r="P13" s="588">
        <f>SUM(P8:P12)</f>
        <v>909520.19348479994</v>
      </c>
      <c r="Q13" s="42"/>
      <c r="R13" s="589" t="s">
        <v>538</v>
      </c>
      <c r="S13" s="585"/>
      <c r="T13" s="586"/>
      <c r="U13" s="587">
        <f>SUM(U8:U12)</f>
        <v>22.253807692307692</v>
      </c>
      <c r="V13" s="588">
        <f>SUM(V8:V12)</f>
        <v>1117781.3489152</v>
      </c>
      <c r="W13" s="239"/>
      <c r="X13" s="589" t="s">
        <v>538</v>
      </c>
      <c r="Y13" s="585"/>
      <c r="Z13" s="586"/>
      <c r="AA13" s="587">
        <f>SUM(AA8:AA12)</f>
        <v>28.229410256410258</v>
      </c>
      <c r="AB13" s="588">
        <f>SUM(AB8:AB12)</f>
        <v>1401864.8855637335</v>
      </c>
      <c r="AC13" s="42"/>
      <c r="AD13" s="340" t="s">
        <v>87</v>
      </c>
      <c r="AE13" s="341"/>
      <c r="AF13" s="342">
        <v>7.5</v>
      </c>
      <c r="AG13" s="342">
        <v>7.5</v>
      </c>
      <c r="AH13" s="342">
        <v>7.5</v>
      </c>
      <c r="AI13" s="343">
        <v>7.5</v>
      </c>
      <c r="AJ13" s="239"/>
    </row>
    <row r="14" spans="6:36" s="309" customFormat="1" x14ac:dyDescent="0.25">
      <c r="F14" s="604" t="s">
        <v>80</v>
      </c>
      <c r="G14" s="38"/>
      <c r="H14" s="239"/>
      <c r="I14" s="265">
        <f>'M2022 BLS  (53_PCT)'!C38</f>
        <v>0.27379999999999999</v>
      </c>
      <c r="J14" s="307">
        <f>J13*I14</f>
        <v>186489.04264598529</v>
      </c>
      <c r="K14" s="42"/>
      <c r="L14" s="604" t="s">
        <v>80</v>
      </c>
      <c r="M14" s="38"/>
      <c r="N14" s="239"/>
      <c r="O14" s="265">
        <f>I14</f>
        <v>0.27379999999999999</v>
      </c>
      <c r="P14" s="307">
        <f>P13*O14</f>
        <v>249026.62897613822</v>
      </c>
      <c r="Q14" s="42"/>
      <c r="R14" s="604" t="s">
        <v>80</v>
      </c>
      <c r="S14" s="38"/>
      <c r="T14" s="239"/>
      <c r="U14" s="265">
        <f>O14</f>
        <v>0.27379999999999999</v>
      </c>
      <c r="V14" s="307">
        <f>V13*U14</f>
        <v>306048.53333298175</v>
      </c>
      <c r="W14" s="242"/>
      <c r="X14" s="604" t="s">
        <v>80</v>
      </c>
      <c r="Y14" s="38"/>
      <c r="Z14" s="239"/>
      <c r="AA14" s="265">
        <f>U14</f>
        <v>0.27379999999999999</v>
      </c>
      <c r="AB14" s="307">
        <f>AB13*AA14</f>
        <v>383830.60566735023</v>
      </c>
      <c r="AC14" s="42"/>
      <c r="AD14" s="333" t="s">
        <v>75</v>
      </c>
      <c r="AE14" s="239"/>
      <c r="AF14" s="649" t="s">
        <v>67</v>
      </c>
      <c r="AG14" s="649"/>
      <c r="AH14" s="649"/>
      <c r="AI14" s="344"/>
      <c r="AJ14" s="242"/>
    </row>
    <row r="15" spans="6:36" s="239" customFormat="1" ht="15.75" thickBot="1" x14ac:dyDescent="0.3">
      <c r="F15" s="590" t="s">
        <v>539</v>
      </c>
      <c r="G15" s="584"/>
      <c r="H15" s="584"/>
      <c r="I15" s="584"/>
      <c r="J15" s="605">
        <f>SUM(J13:J14)</f>
        <v>867603.1501915853</v>
      </c>
      <c r="K15" s="42"/>
      <c r="L15" s="590" t="s">
        <v>539</v>
      </c>
      <c r="M15" s="584"/>
      <c r="N15" s="584"/>
      <c r="O15" s="584"/>
      <c r="P15" s="605">
        <f>SUM(P13:P14)</f>
        <v>1158546.8224609382</v>
      </c>
      <c r="Q15" s="42"/>
      <c r="R15" s="590" t="s">
        <v>539</v>
      </c>
      <c r="S15" s="584"/>
      <c r="T15" s="584"/>
      <c r="U15" s="584"/>
      <c r="V15" s="605">
        <f>SUM(V13:V14)</f>
        <v>1423829.8822481818</v>
      </c>
      <c r="W15" s="242"/>
      <c r="X15" s="590" t="s">
        <v>539</v>
      </c>
      <c r="Y15" s="584"/>
      <c r="Z15" s="584"/>
      <c r="AA15" s="584"/>
      <c r="AB15" s="605">
        <f>SUM(AB13:AB14)</f>
        <v>1785695.4912310839</v>
      </c>
      <c r="AC15" s="42"/>
      <c r="AD15" s="306" t="s">
        <v>90</v>
      </c>
      <c r="AF15" s="650">
        <f>(0.75*7)/12</f>
        <v>0.4375</v>
      </c>
      <c r="AG15" s="650">
        <f>(0.75*12)/12</f>
        <v>0.75</v>
      </c>
      <c r="AH15" s="650">
        <f>(0.75*15)/12</f>
        <v>0.9375</v>
      </c>
      <c r="AI15" s="345">
        <f>(0.75*20)/12</f>
        <v>1.25</v>
      </c>
      <c r="AJ15" s="242"/>
    </row>
    <row r="16" spans="6:36" s="239" customFormat="1" ht="16.5" thickTop="1" thickBot="1" x14ac:dyDescent="0.3">
      <c r="F16" s="583"/>
      <c r="G16" s="242"/>
      <c r="H16" s="242"/>
      <c r="I16" s="242"/>
      <c r="J16" s="336"/>
      <c r="K16" s="42"/>
      <c r="L16" s="583"/>
      <c r="M16" s="242"/>
      <c r="N16" s="242"/>
      <c r="O16" s="242"/>
      <c r="P16" s="336"/>
      <c r="Q16" s="42"/>
      <c r="R16" s="583"/>
      <c r="S16" s="242"/>
      <c r="T16" s="242"/>
      <c r="U16" s="242"/>
      <c r="V16" s="336"/>
      <c r="W16" s="242"/>
      <c r="X16" s="583"/>
      <c r="Y16" s="242"/>
      <c r="Z16" s="242"/>
      <c r="AA16" s="242"/>
      <c r="AB16" s="336"/>
      <c r="AC16" s="42"/>
      <c r="AD16" s="306" t="s">
        <v>92</v>
      </c>
      <c r="AF16" s="650">
        <f>(1*7)/12</f>
        <v>0.58333333333333337</v>
      </c>
      <c r="AG16" s="650">
        <f>(1*12)/12</f>
        <v>1</v>
      </c>
      <c r="AH16" s="650">
        <f>(1*15)/12</f>
        <v>1.25</v>
      </c>
      <c r="AI16" s="345">
        <f>(1*20)/12</f>
        <v>1.6666666666666667</v>
      </c>
      <c r="AJ16" s="242"/>
    </row>
    <row r="17" spans="6:36" s="242" customFormat="1" ht="15.75" thickBot="1" x14ac:dyDescent="0.3">
      <c r="F17" s="583" t="s">
        <v>540</v>
      </c>
      <c r="H17" s="195"/>
      <c r="I17" s="294" t="s">
        <v>78</v>
      </c>
      <c r="J17" s="336"/>
      <c r="K17" s="42"/>
      <c r="L17" s="583" t="s">
        <v>540</v>
      </c>
      <c r="N17" s="195"/>
      <c r="O17" s="294" t="s">
        <v>78</v>
      </c>
      <c r="P17" s="336"/>
      <c r="Q17" s="42"/>
      <c r="R17" s="583" t="s">
        <v>540</v>
      </c>
      <c r="T17" s="195"/>
      <c r="U17" s="294" t="s">
        <v>78</v>
      </c>
      <c r="V17" s="336"/>
      <c r="X17" s="583" t="s">
        <v>540</v>
      </c>
      <c r="Z17" s="195"/>
      <c r="AA17" s="294" t="s">
        <v>78</v>
      </c>
      <c r="AB17" s="336"/>
      <c r="AC17" s="42"/>
      <c r="AD17" s="325"/>
      <c r="AE17" s="347"/>
      <c r="AF17" s="338"/>
      <c r="AG17" s="338" t="s">
        <v>94</v>
      </c>
      <c r="AH17" s="338"/>
      <c r="AI17" s="339"/>
    </row>
    <row r="18" spans="6:36" s="242" customFormat="1" x14ac:dyDescent="0.25">
      <c r="F18" s="241" t="s">
        <v>83</v>
      </c>
      <c r="G18" s="33"/>
      <c r="H18" s="239"/>
      <c r="I18" s="38">
        <f>$AF$22</f>
        <v>43.993538597493725</v>
      </c>
      <c r="J18" s="307">
        <f>I18*J$5</f>
        <v>128461.13270468167</v>
      </c>
      <c r="K18" s="42"/>
      <c r="L18" s="241" t="s">
        <v>83</v>
      </c>
      <c r="M18" s="33"/>
      <c r="N18" s="239"/>
      <c r="O18" s="38">
        <f>$AF$22</f>
        <v>43.993538597493725</v>
      </c>
      <c r="P18" s="307">
        <f>O18*P$5</f>
        <v>192691.69905702252</v>
      </c>
      <c r="Q18" s="42"/>
      <c r="R18" s="241" t="s">
        <v>83</v>
      </c>
      <c r="S18" s="33"/>
      <c r="T18" s="239"/>
      <c r="U18" s="38">
        <f>$AF$22</f>
        <v>43.993538597493725</v>
      </c>
      <c r="V18" s="307">
        <f>U18*V$5</f>
        <v>240864.62382127813</v>
      </c>
      <c r="W18" s="33"/>
      <c r="X18" s="241" t="s">
        <v>83</v>
      </c>
      <c r="Y18" s="33"/>
      <c r="Z18" s="239"/>
      <c r="AA18" s="38">
        <f>$AF$22</f>
        <v>43.993538597493725</v>
      </c>
      <c r="AB18" s="307">
        <f>AA18*AB$5</f>
        <v>321152.83176170418</v>
      </c>
      <c r="AC18" s="42"/>
      <c r="AD18" s="306"/>
      <c r="AE18" s="282" t="s">
        <v>84</v>
      </c>
      <c r="AF18" s="328">
        <v>8</v>
      </c>
      <c r="AG18" s="328">
        <v>12</v>
      </c>
      <c r="AH18" s="328">
        <v>15.5</v>
      </c>
      <c r="AI18" s="648">
        <v>20</v>
      </c>
      <c r="AJ18" s="33"/>
    </row>
    <row r="19" spans="6:36" s="242" customFormat="1" x14ac:dyDescent="0.25">
      <c r="F19" s="241" t="s">
        <v>86</v>
      </c>
      <c r="G19" s="33"/>
      <c r="H19" s="239"/>
      <c r="I19" s="38">
        <f>$AF23</f>
        <v>15.901681537562935</v>
      </c>
      <c r="J19" s="307">
        <f>I19*J$5</f>
        <v>46432.91008968377</v>
      </c>
      <c r="K19" s="42"/>
      <c r="L19" s="241" t="s">
        <v>86</v>
      </c>
      <c r="M19" s="33"/>
      <c r="N19" s="239"/>
      <c r="O19" s="38">
        <f>$AF23</f>
        <v>15.901681537562935</v>
      </c>
      <c r="P19" s="307">
        <f>O19*P$5</f>
        <v>69649.365134525651</v>
      </c>
      <c r="Q19" s="42"/>
      <c r="R19" s="241" t="s">
        <v>86</v>
      </c>
      <c r="S19" s="33"/>
      <c r="T19" s="239"/>
      <c r="U19" s="38">
        <f>$AF23</f>
        <v>15.901681537562935</v>
      </c>
      <c r="V19" s="307">
        <f>U19*V$5</f>
        <v>87061.70641815706</v>
      </c>
      <c r="W19" s="33"/>
      <c r="X19" s="241" t="s">
        <v>86</v>
      </c>
      <c r="Y19" s="33"/>
      <c r="Z19" s="239"/>
      <c r="AA19" s="38">
        <f>$AF23</f>
        <v>15.901681537562935</v>
      </c>
      <c r="AB19" s="307">
        <f>AA19*AB$5</f>
        <v>116082.27522420943</v>
      </c>
      <c r="AC19" s="42"/>
      <c r="AD19" s="354" t="s">
        <v>96</v>
      </c>
      <c r="AE19" s="341"/>
      <c r="AF19" s="342">
        <v>1.1000000000000001</v>
      </c>
      <c r="AG19" s="342">
        <v>1.1000000000000001</v>
      </c>
      <c r="AH19" s="342">
        <v>1.1000000000000001</v>
      </c>
      <c r="AI19" s="343">
        <v>1.1000000000000001</v>
      </c>
      <c r="AJ19" s="33"/>
    </row>
    <row r="20" spans="6:36" s="242" customFormat="1" ht="15" customHeight="1" thickBot="1" x14ac:dyDescent="0.3">
      <c r="F20" s="1045" t="s">
        <v>541</v>
      </c>
      <c r="G20" s="1025"/>
      <c r="H20" s="592"/>
      <c r="I20" s="593"/>
      <c r="J20" s="594">
        <f>SUM(J18:J19)</f>
        <v>174894.04279436544</v>
      </c>
      <c r="K20" s="42"/>
      <c r="L20" s="1045" t="s">
        <v>541</v>
      </c>
      <c r="M20" s="1025"/>
      <c r="N20" s="592"/>
      <c r="O20" s="593"/>
      <c r="P20" s="594">
        <f>SUM(P18:P19)</f>
        <v>262341.06419154815</v>
      </c>
      <c r="Q20" s="42"/>
      <c r="R20" s="1045" t="s">
        <v>541</v>
      </c>
      <c r="S20" s="1025"/>
      <c r="T20" s="592"/>
      <c r="U20" s="593"/>
      <c r="V20" s="594">
        <f>SUM(V18:V19)</f>
        <v>327926.33023943519</v>
      </c>
      <c r="W20" s="33"/>
      <c r="X20" s="1045" t="s">
        <v>541</v>
      </c>
      <c r="Y20" s="1025"/>
      <c r="Z20" s="592"/>
      <c r="AA20" s="593"/>
      <c r="AB20" s="594">
        <f>SUM(AB18:AB19)</f>
        <v>437235.10698591359</v>
      </c>
      <c r="AC20" s="42"/>
      <c r="AD20" s="315" t="s">
        <v>77</v>
      </c>
      <c r="AE20" s="315" t="s">
        <v>107</v>
      </c>
      <c r="AF20" s="334"/>
      <c r="AG20" s="33"/>
      <c r="AH20" s="33"/>
      <c r="AI20" s="139"/>
      <c r="AJ20" s="33"/>
    </row>
    <row r="21" spans="6:36" s="242" customFormat="1" ht="15.75" thickTop="1" x14ac:dyDescent="0.25">
      <c r="F21" s="595"/>
      <c r="G21" s="596"/>
      <c r="H21" s="597"/>
      <c r="I21" s="598"/>
      <c r="J21" s="599"/>
      <c r="K21" s="42"/>
      <c r="L21" s="607"/>
      <c r="M21" s="44"/>
      <c r="N21" s="195"/>
      <c r="O21" s="353"/>
      <c r="P21" s="336"/>
      <c r="Q21" s="42"/>
      <c r="R21" s="607"/>
      <c r="S21" s="44"/>
      <c r="T21" s="195"/>
      <c r="U21" s="353"/>
      <c r="V21" s="336"/>
      <c r="W21" s="33"/>
      <c r="X21" s="607"/>
      <c r="Y21" s="44"/>
      <c r="Z21" s="195"/>
      <c r="AA21" s="353"/>
      <c r="AB21" s="336"/>
      <c r="AC21" s="42"/>
      <c r="AD21" s="241" t="s">
        <v>80</v>
      </c>
      <c r="AE21" s="33"/>
      <c r="AF21" s="651">
        <f>'M2022 BLS  (53_PCT)'!C38</f>
        <v>0.27379999999999999</v>
      </c>
      <c r="AG21" s="570" t="s">
        <v>355</v>
      </c>
      <c r="AH21" s="33"/>
      <c r="AI21" s="139"/>
      <c r="AJ21" s="33"/>
    </row>
    <row r="22" spans="6:36" s="33" customFormat="1" x14ac:dyDescent="0.25">
      <c r="F22" s="1061" t="s">
        <v>357</v>
      </c>
      <c r="G22" s="1027"/>
      <c r="H22" s="422"/>
      <c r="I22" s="423"/>
      <c r="J22" s="424">
        <f>J15+J20</f>
        <v>1042497.1929859507</v>
      </c>
      <c r="K22" s="42"/>
      <c r="L22" s="1061" t="s">
        <v>357</v>
      </c>
      <c r="M22" s="1027"/>
      <c r="N22" s="422"/>
      <c r="O22" s="423"/>
      <c r="P22" s="424">
        <f>P15+P20</f>
        <v>1420887.8866524864</v>
      </c>
      <c r="Q22" s="42"/>
      <c r="R22" s="1061" t="s">
        <v>357</v>
      </c>
      <c r="S22" s="1027"/>
      <c r="T22" s="422"/>
      <c r="U22" s="423"/>
      <c r="V22" s="424">
        <f>V15+V20</f>
        <v>1751756.212487617</v>
      </c>
      <c r="X22" s="1061" t="s">
        <v>357</v>
      </c>
      <c r="Y22" s="1027"/>
      <c r="Z22" s="422"/>
      <c r="AA22" s="423"/>
      <c r="AB22" s="424">
        <f>AB15+AB20</f>
        <v>2222930.5982169975</v>
      </c>
      <c r="AC22" s="608"/>
      <c r="AD22" s="241" t="s">
        <v>98</v>
      </c>
      <c r="AF22" s="365">
        <f>'FY21 UFR TILP-YOUTH'!N32</f>
        <v>43.993538597493725</v>
      </c>
      <c r="AG22" s="570" t="s">
        <v>520</v>
      </c>
      <c r="AI22" s="139"/>
    </row>
    <row r="23" spans="6:36" s="33" customFormat="1" x14ac:dyDescent="0.25">
      <c r="F23" s="241" t="s">
        <v>89</v>
      </c>
      <c r="H23" s="346">
        <f>'M2022 BLS  (53_PCT)'!C41</f>
        <v>0.12</v>
      </c>
      <c r="I23" s="353"/>
      <c r="J23" s="336">
        <f>J22*H23</f>
        <v>125099.66315831408</v>
      </c>
      <c r="K23" s="42"/>
      <c r="L23" s="241" t="s">
        <v>89</v>
      </c>
      <c r="N23" s="346">
        <f>H23</f>
        <v>0.12</v>
      </c>
      <c r="O23" s="353"/>
      <c r="P23" s="336">
        <f>P22*N23</f>
        <v>170506.54639829835</v>
      </c>
      <c r="Q23" s="42"/>
      <c r="R23" s="241" t="s">
        <v>89</v>
      </c>
      <c r="T23" s="346">
        <f>N23</f>
        <v>0.12</v>
      </c>
      <c r="U23" s="353"/>
      <c r="V23" s="336">
        <f>V22*T23</f>
        <v>210210.74549851404</v>
      </c>
      <c r="X23" s="241" t="s">
        <v>89</v>
      </c>
      <c r="Z23" s="346">
        <f>T23</f>
        <v>0.12</v>
      </c>
      <c r="AA23" s="353"/>
      <c r="AB23" s="336">
        <f>AB22*Z23</f>
        <v>266751.67178603966</v>
      </c>
      <c r="AC23" s="42"/>
      <c r="AD23" s="241" t="s">
        <v>86</v>
      </c>
      <c r="AF23" s="365">
        <f>'FY21 UFR TILP-YOUTH'!Z31</f>
        <v>15.901681537562935</v>
      </c>
      <c r="AG23" s="571" t="s">
        <v>520</v>
      </c>
      <c r="AI23" s="139"/>
    </row>
    <row r="24" spans="6:36" s="33" customFormat="1" x14ac:dyDescent="0.25">
      <c r="F24" s="241" t="s">
        <v>46</v>
      </c>
      <c r="H24" s="346">
        <f>AF25</f>
        <v>2.7100379121522307E-2</v>
      </c>
      <c r="I24" s="38"/>
      <c r="J24" s="307">
        <f>H24*(J22+J23)</f>
        <v>31642.31746260712</v>
      </c>
      <c r="K24" s="42"/>
      <c r="L24" s="241" t="s">
        <v>46</v>
      </c>
      <c r="N24" s="346">
        <f>H24</f>
        <v>2.7100379121522307E-2</v>
      </c>
      <c r="O24" s="38"/>
      <c r="P24" s="307">
        <f>N24*(P22+P23)</f>
        <v>43127.392467556318</v>
      </c>
      <c r="Q24" s="42"/>
      <c r="R24" s="241" t="s">
        <v>46</v>
      </c>
      <c r="T24" s="346">
        <f>N24</f>
        <v>2.7100379121522307E-2</v>
      </c>
      <c r="U24" s="38"/>
      <c r="V24" s="307">
        <f>T24*(V22+V23)</f>
        <v>53170.048385323978</v>
      </c>
      <c r="X24" s="241" t="s">
        <v>46</v>
      </c>
      <c r="Z24" s="346">
        <f>T24</f>
        <v>2.7100379121522307E-2</v>
      </c>
      <c r="AA24" s="38"/>
      <c r="AB24" s="307">
        <f>Z24*(AB22+AB23)</f>
        <v>67471.333409214567</v>
      </c>
      <c r="AC24" s="324"/>
      <c r="AD24" s="316" t="s">
        <v>361</v>
      </c>
      <c r="AE24" s="366"/>
      <c r="AF24" s="367">
        <f>'M2022 BLS  (53_PCT)'!C41</f>
        <v>0.12</v>
      </c>
      <c r="AG24" s="41" t="s">
        <v>355</v>
      </c>
      <c r="AH24" s="366"/>
      <c r="AI24" s="368"/>
    </row>
    <row r="25" spans="6:36" s="33" customFormat="1" ht="15.75" thickBot="1" x14ac:dyDescent="0.3">
      <c r="F25" s="348" t="s">
        <v>91</v>
      </c>
      <c r="G25" s="349"/>
      <c r="H25" s="350"/>
      <c r="I25" s="351"/>
      <c r="J25" s="352">
        <f>SUM(J22:J24)</f>
        <v>1199239.1736068719</v>
      </c>
      <c r="L25" s="348" t="s">
        <v>91</v>
      </c>
      <c r="M25" s="349"/>
      <c r="N25" s="350"/>
      <c r="O25" s="351"/>
      <c r="P25" s="352">
        <f>SUM(P22:P24)</f>
        <v>1634521.825518341</v>
      </c>
      <c r="Q25" s="42"/>
      <c r="R25" s="348" t="s">
        <v>91</v>
      </c>
      <c r="S25" s="349"/>
      <c r="T25" s="350"/>
      <c r="U25" s="351"/>
      <c r="V25" s="352">
        <f>SUM(V22:V24)</f>
        <v>2015137.006371455</v>
      </c>
      <c r="W25" s="242"/>
      <c r="X25" s="348" t="s">
        <v>91</v>
      </c>
      <c r="Y25" s="349"/>
      <c r="Z25" s="350"/>
      <c r="AA25" s="351"/>
      <c r="AB25" s="352">
        <f>SUM(AB22:AB24)</f>
        <v>2557153.6034122515</v>
      </c>
      <c r="AC25" s="324"/>
      <c r="AD25" s="369" t="s">
        <v>362</v>
      </c>
      <c r="AE25" s="36"/>
      <c r="AF25" s="370">
        <f>'CAF Spring 2023'!CI26</f>
        <v>2.7100379121522307E-2</v>
      </c>
      <c r="AG25" s="40" t="s">
        <v>359</v>
      </c>
      <c r="AH25" s="371"/>
      <c r="AI25" s="372"/>
    </row>
    <row r="26" spans="6:36" s="33" customFormat="1" ht="16.5" thickTop="1" thickBot="1" x14ac:dyDescent="0.3">
      <c r="F26" s="355" t="s">
        <v>93</v>
      </c>
      <c r="G26" s="324"/>
      <c r="H26" s="324"/>
      <c r="I26" s="324"/>
      <c r="J26" s="739">
        <f>J25/J5</f>
        <v>410.69834712564102</v>
      </c>
      <c r="K26" s="356"/>
      <c r="L26" s="355" t="s">
        <v>93</v>
      </c>
      <c r="M26" s="324"/>
      <c r="N26" s="324"/>
      <c r="O26" s="324"/>
      <c r="P26" s="602">
        <f>P25/P5</f>
        <v>373.17849897679019</v>
      </c>
      <c r="Q26" s="356"/>
      <c r="R26" s="355" t="s">
        <v>93</v>
      </c>
      <c r="S26" s="324"/>
      <c r="T26" s="324"/>
      <c r="U26" s="324"/>
      <c r="V26" s="602">
        <f>V25/V5</f>
        <v>368.06155367515163</v>
      </c>
      <c r="W26" s="357"/>
      <c r="X26" s="355" t="s">
        <v>93</v>
      </c>
      <c r="Y26" s="324"/>
      <c r="Z26" s="324"/>
      <c r="AA26" s="324"/>
      <c r="AB26" s="602">
        <f>AB25/AB5</f>
        <v>350.29501416606183</v>
      </c>
      <c r="AC26" s="42"/>
    </row>
    <row r="27" spans="6:36" s="33" customFormat="1" ht="15.75" thickBot="1" x14ac:dyDescent="0.3">
      <c r="F27" s="359" t="s">
        <v>95</v>
      </c>
      <c r="G27" s="295"/>
      <c r="H27" s="360">
        <v>0.9</v>
      </c>
      <c r="I27" s="361"/>
      <c r="J27" s="740">
        <f>J$25*(H24+1)/(J$5*H27)</f>
        <v>468.69825337480944</v>
      </c>
      <c r="K27" s="356"/>
      <c r="L27" s="359" t="s">
        <v>95</v>
      </c>
      <c r="M27" s="295"/>
      <c r="N27" s="360">
        <v>0.9</v>
      </c>
      <c r="O27" s="361"/>
      <c r="P27" s="362">
        <f>P$25*(N24+1)/(P$5*N27)</f>
        <v>425.8797530878465</v>
      </c>
      <c r="Q27" s="356"/>
      <c r="R27" s="359" t="s">
        <v>95</v>
      </c>
      <c r="S27" s="295"/>
      <c r="T27" s="360">
        <v>0.9</v>
      </c>
      <c r="U27" s="361"/>
      <c r="V27" s="362">
        <f>V$25*(T24+1)/(V$5*T27)</f>
        <v>420.04017924422749</v>
      </c>
      <c r="W27" s="357"/>
      <c r="X27" s="359" t="s">
        <v>95</v>
      </c>
      <c r="Y27" s="295"/>
      <c r="Z27" s="360">
        <v>0.9</v>
      </c>
      <c r="AA27" s="361"/>
      <c r="AB27" s="362">
        <f>AB$25*(Z24+1)/(AB$5*Z27)</f>
        <v>399.76460206037905</v>
      </c>
      <c r="AC27" s="356"/>
    </row>
    <row r="28" spans="6:36" s="33" customFormat="1" ht="15.75" thickBot="1" x14ac:dyDescent="0.3">
      <c r="F28" s="355"/>
      <c r="H28" s="364">
        <v>0.85</v>
      </c>
      <c r="I28" s="239"/>
      <c r="J28" s="362">
        <f>J$25*(H24+1)/(J$5*H28)</f>
        <v>496.26873886744528</v>
      </c>
      <c r="K28" s="356"/>
      <c r="L28" s="355"/>
      <c r="N28" s="364">
        <v>0.85</v>
      </c>
      <c r="O28" s="239"/>
      <c r="P28" s="362">
        <f>P$25*(N24+1)/(P$5*N28)</f>
        <v>450.93150326948449</v>
      </c>
      <c r="Q28" s="356"/>
      <c r="R28" s="355"/>
      <c r="T28" s="364">
        <v>0.85</v>
      </c>
      <c r="U28" s="239"/>
      <c r="V28" s="362">
        <f>V$25*(T24+1)/(V$5*T28)</f>
        <v>444.74842508212322</v>
      </c>
      <c r="W28" s="357"/>
      <c r="X28" s="355"/>
      <c r="Z28" s="364">
        <v>0.85</v>
      </c>
      <c r="AA28" s="239"/>
      <c r="AB28" s="362">
        <f>AB$25*(Z24+1)/(AB$5*Z28)</f>
        <v>423.28016688746021</v>
      </c>
      <c r="AC28" s="356"/>
      <c r="AD28" s="297" t="s">
        <v>53</v>
      </c>
      <c r="AE28" s="298" t="s">
        <v>54</v>
      </c>
      <c r="AF28" s="299" t="s">
        <v>55</v>
      </c>
    </row>
    <row r="29" spans="6:36" s="33" customFormat="1" ht="15.75" thickBot="1" x14ac:dyDescent="0.3">
      <c r="F29" s="355"/>
      <c r="H29" s="364">
        <v>0.8</v>
      </c>
      <c r="I29" s="239"/>
      <c r="J29" s="362">
        <f>J$25*(H24+1)/(J$5*H29)</f>
        <v>527.28553504666058</v>
      </c>
      <c r="K29" s="356"/>
      <c r="L29" s="355"/>
      <c r="N29" s="364">
        <v>0.8</v>
      </c>
      <c r="O29" s="239"/>
      <c r="P29" s="362">
        <f>P$25*(N24+1)/(P$5*N29)</f>
        <v>479.1147222238273</v>
      </c>
      <c r="Q29" s="356"/>
      <c r="R29" s="355"/>
      <c r="T29" s="364">
        <v>0.8</v>
      </c>
      <c r="U29" s="239"/>
      <c r="V29" s="362">
        <f>V$25*(T24+1)/(V$5*T29)</f>
        <v>472.54520164975594</v>
      </c>
      <c r="W29" s="357"/>
      <c r="X29" s="355"/>
      <c r="Z29" s="364">
        <v>0.8</v>
      </c>
      <c r="AA29" s="239"/>
      <c r="AB29" s="362">
        <f>AB$25*(Z24+1)/(AB$5*Z29)</f>
        <v>449.73517731792646</v>
      </c>
      <c r="AC29" s="356"/>
      <c r="AD29" s="241" t="s">
        <v>62</v>
      </c>
      <c r="AE29" s="208">
        <v>15</v>
      </c>
      <c r="AF29" s="308">
        <f>AE29*8</f>
        <v>120</v>
      </c>
    </row>
    <row r="30" spans="6:36" s="33" customFormat="1" ht="15.75" thickBot="1" x14ac:dyDescent="0.3">
      <c r="F30" s="355"/>
      <c r="H30" s="364">
        <v>0.75</v>
      </c>
      <c r="I30" s="239"/>
      <c r="J30" s="362">
        <f>J$25*(H24+1)/(J$5*H30)</f>
        <v>562.4379040497713</v>
      </c>
      <c r="K30" s="356"/>
      <c r="L30" s="355"/>
      <c r="N30" s="364">
        <v>0.75</v>
      </c>
      <c r="O30" s="239"/>
      <c r="P30" s="362">
        <f>P$25*(N24+1)/(P$5*N30)</f>
        <v>511.05570370541579</v>
      </c>
      <c r="Q30" s="356"/>
      <c r="R30" s="355"/>
      <c r="T30" s="364">
        <v>0.75</v>
      </c>
      <c r="U30" s="239"/>
      <c r="V30" s="362">
        <f>V$25*(T24+1)/(V$5*T30)</f>
        <v>504.048215093073</v>
      </c>
      <c r="W30" s="357"/>
      <c r="X30" s="355"/>
      <c r="Z30" s="364">
        <v>0.75</v>
      </c>
      <c r="AA30" s="239"/>
      <c r="AB30" s="362">
        <f>AB$25*(Z24+1)/(AB$5*Z30)</f>
        <v>479.7175224724549</v>
      </c>
      <c r="AC30" s="356"/>
      <c r="AD30" s="241" t="s">
        <v>63</v>
      </c>
      <c r="AE30" s="208">
        <v>15</v>
      </c>
      <c r="AF30" s="308">
        <f>AE30*8</f>
        <v>120</v>
      </c>
      <c r="AG30" s="242"/>
      <c r="AH30" s="242"/>
      <c r="AI30" s="242"/>
    </row>
    <row r="31" spans="6:36" s="33" customFormat="1" ht="15.75" thickBot="1" x14ac:dyDescent="0.3">
      <c r="F31" s="355"/>
      <c r="H31" s="364">
        <v>0.7</v>
      </c>
      <c r="I31" s="239"/>
      <c r="J31" s="740">
        <f>J$25*(H24+1)/(J$5*H31)</f>
        <v>602.6120400533265</v>
      </c>
      <c r="K31" s="356"/>
      <c r="L31" s="355"/>
      <c r="N31" s="364">
        <v>0.7</v>
      </c>
      <c r="O31" s="239"/>
      <c r="P31" s="362">
        <f>P$25*(N24+1)/(P$5*N31)</f>
        <v>547.55968254151685</v>
      </c>
      <c r="Q31" s="356"/>
      <c r="R31" s="355"/>
      <c r="T31" s="364">
        <v>0.7</v>
      </c>
      <c r="U31" s="239"/>
      <c r="V31" s="362">
        <f>V$25*(T24+1)/(V$5*T31)</f>
        <v>540.05165902829253</v>
      </c>
      <c r="W31" s="357"/>
      <c r="X31" s="355"/>
      <c r="Z31" s="364">
        <v>0.7</v>
      </c>
      <c r="AA31" s="239"/>
      <c r="AB31" s="362">
        <f>AB$25*(Z24+1)/(AB$5*Z31)</f>
        <v>513.98305979191593</v>
      </c>
      <c r="AC31" s="356"/>
      <c r="AD31" s="241" t="s">
        <v>64</v>
      </c>
      <c r="AE31" s="208">
        <v>13</v>
      </c>
      <c r="AF31" s="308">
        <f>AE31*8</f>
        <v>104</v>
      </c>
      <c r="AG31" s="242"/>
      <c r="AH31" s="242"/>
      <c r="AI31" s="242"/>
    </row>
    <row r="32" spans="6:36" s="242" customFormat="1" ht="15" customHeight="1" thickBot="1" x14ac:dyDescent="0.3">
      <c r="F32" s="355"/>
      <c r="G32" s="33"/>
      <c r="H32" s="364">
        <v>0.65</v>
      </c>
      <c r="I32" s="239"/>
      <c r="J32" s="362">
        <f>J$25*(H24+1)/(J$5*H32)</f>
        <v>648.96681236512075</v>
      </c>
      <c r="K32" s="356"/>
      <c r="L32" s="355"/>
      <c r="M32" s="33"/>
      <c r="N32" s="364">
        <v>0.65</v>
      </c>
      <c r="O32" s="239"/>
      <c r="P32" s="362">
        <f>P$25*(N24+1)/(P$5*N32)</f>
        <v>589.67965812163357</v>
      </c>
      <c r="Q32" s="356"/>
      <c r="R32" s="355"/>
      <c r="S32" s="33"/>
      <c r="T32" s="364">
        <v>0.65</v>
      </c>
      <c r="U32" s="239"/>
      <c r="V32" s="362">
        <f>V$25*(T24+1)/(V$5*T32)</f>
        <v>581.59409433816109</v>
      </c>
      <c r="W32" s="357"/>
      <c r="X32" s="355"/>
      <c r="Y32" s="33"/>
      <c r="Z32" s="364">
        <v>0.65</v>
      </c>
      <c r="AA32" s="239"/>
      <c r="AB32" s="362">
        <f>AB$25*(Z24+1)/(AB$5*Z32)</f>
        <v>553.52021823744792</v>
      </c>
      <c r="AC32" s="356"/>
      <c r="AD32" s="316" t="s">
        <v>69</v>
      </c>
      <c r="AE32" s="317">
        <v>8</v>
      </c>
      <c r="AF32" s="318">
        <f>AE32*8</f>
        <v>64</v>
      </c>
      <c r="AG32" s="363"/>
      <c r="AH32" s="363"/>
      <c r="AI32" s="363"/>
    </row>
    <row r="33" spans="5:39" s="242" customFormat="1" ht="13.9" customHeight="1" thickBot="1" x14ac:dyDescent="0.3">
      <c r="F33" s="355"/>
      <c r="G33" s="33"/>
      <c r="H33" s="364">
        <v>0.6</v>
      </c>
      <c r="I33" s="239"/>
      <c r="J33" s="362">
        <f>J$25*(H24+1)/(J$5*H33)</f>
        <v>703.04738006221419</v>
      </c>
      <c r="K33" s="356"/>
      <c r="L33" s="355"/>
      <c r="M33" s="33"/>
      <c r="N33" s="364">
        <v>0.6</v>
      </c>
      <c r="O33" s="239"/>
      <c r="P33" s="362">
        <f>P$25*(N24+1)/(P$5*N33)</f>
        <v>638.81962963176977</v>
      </c>
      <c r="Q33" s="356"/>
      <c r="R33" s="355"/>
      <c r="S33" s="33"/>
      <c r="T33" s="364">
        <v>0.6</v>
      </c>
      <c r="U33" s="239"/>
      <c r="V33" s="362">
        <f>V$25*(T24+1)/(V$5*T33)</f>
        <v>630.06026886634118</v>
      </c>
      <c r="W33" s="357"/>
      <c r="X33" s="355"/>
      <c r="Y33" s="33"/>
      <c r="Z33" s="364">
        <v>0.6</v>
      </c>
      <c r="AA33" s="239"/>
      <c r="AB33" s="362">
        <f>AB$25*(Z24+1)/(AB$5*Z33)</f>
        <v>599.64690309056857</v>
      </c>
      <c r="AC33" s="356"/>
      <c r="AD33" s="241"/>
      <c r="AE33" s="269" t="s">
        <v>71</v>
      </c>
      <c r="AF33" s="308">
        <f>SUM(AF29:AF32)</f>
        <v>408</v>
      </c>
      <c r="AG33" s="363"/>
      <c r="AH33" s="363"/>
      <c r="AI33" s="363"/>
    </row>
    <row r="34" spans="5:39" s="363" customFormat="1" ht="15.75" thickBot="1" x14ac:dyDescent="0.3">
      <c r="F34" s="355"/>
      <c r="G34" s="33"/>
      <c r="H34" s="364">
        <v>0.55000000000000004</v>
      </c>
      <c r="I34" s="239"/>
      <c r="J34" s="362">
        <f>J$25*(H24+1)/(J$5*H34)</f>
        <v>766.96077824968813</v>
      </c>
      <c r="K34" s="356"/>
      <c r="L34" s="355"/>
      <c r="M34" s="33"/>
      <c r="N34" s="364">
        <v>0.55000000000000004</v>
      </c>
      <c r="O34" s="239"/>
      <c r="P34" s="362">
        <f>P$25*(N24+1)/(P$5*N34)</f>
        <v>696.89414141647603</v>
      </c>
      <c r="Q34" s="356"/>
      <c r="R34" s="355"/>
      <c r="S34" s="33"/>
      <c r="T34" s="364">
        <v>0.55000000000000004</v>
      </c>
      <c r="U34" s="239"/>
      <c r="V34" s="362">
        <f>V$25*(T24+1)/(V$5*T34)</f>
        <v>687.33847512691761</v>
      </c>
      <c r="W34" s="357"/>
      <c r="X34" s="355"/>
      <c r="Y34" s="33"/>
      <c r="Z34" s="364">
        <v>0.55000000000000004</v>
      </c>
      <c r="AA34" s="239"/>
      <c r="AB34" s="362">
        <f>AB$25*(Z24+1)/(AB$5*Z34)</f>
        <v>654.16025791698382</v>
      </c>
      <c r="AC34" s="356"/>
      <c r="AD34" s="321"/>
      <c r="AE34" s="322" t="s">
        <v>72</v>
      </c>
      <c r="AF34" s="323">
        <f>AF33/(52*40)</f>
        <v>0.19615384615384615</v>
      </c>
      <c r="AG34" s="33"/>
      <c r="AH34" s="33"/>
      <c r="AI34" s="33"/>
    </row>
    <row r="35" spans="5:39" s="363" customFormat="1" ht="15.75" thickBot="1" x14ac:dyDescent="0.3">
      <c r="F35" s="373"/>
      <c r="G35" s="36"/>
      <c r="H35" s="374">
        <v>0.5</v>
      </c>
      <c r="I35" s="375"/>
      <c r="J35" s="376">
        <f>J$25*(H24+1)/(J$5*H35)</f>
        <v>843.65685607465707</v>
      </c>
      <c r="K35" s="356"/>
      <c r="L35" s="373"/>
      <c r="M35" s="36"/>
      <c r="N35" s="374">
        <v>0.5</v>
      </c>
      <c r="O35" s="375"/>
      <c r="P35" s="376">
        <f>P$25*(N24+1)/(P$5*N35)</f>
        <v>766.58355555812363</v>
      </c>
      <c r="Q35" s="356"/>
      <c r="R35" s="373"/>
      <c r="S35" s="36"/>
      <c r="T35" s="374">
        <v>0.5</v>
      </c>
      <c r="U35" s="375"/>
      <c r="V35" s="376">
        <f>V$25*(T24+1)/(V$5*T35)</f>
        <v>756.07232263960952</v>
      </c>
      <c r="W35" s="357"/>
      <c r="X35" s="373"/>
      <c r="Y35" s="36"/>
      <c r="Z35" s="374">
        <v>0.5</v>
      </c>
      <c r="AA35" s="375"/>
      <c r="AB35" s="376">
        <f>AB$25*(Z24+1)/(AB$5*Z35)</f>
        <v>719.57628370868235</v>
      </c>
      <c r="AC35" s="356"/>
      <c r="AD35" s="33"/>
      <c r="AE35" s="33"/>
      <c r="AF35" s="33"/>
      <c r="AG35" s="33"/>
      <c r="AH35" s="33"/>
      <c r="AI35" s="33"/>
    </row>
    <row r="36" spans="5:39" s="33" customFormat="1" ht="15.75" thickBot="1" x14ac:dyDescent="0.3">
      <c r="E36"/>
      <c r="F36" s="42"/>
      <c r="G36" s="42"/>
      <c r="H36" s="42"/>
      <c r="I36" s="187"/>
      <c r="J36" s="42"/>
      <c r="K36" s="356"/>
      <c r="L36" s="42"/>
      <c r="M36" s="42"/>
      <c r="N36" s="42"/>
      <c r="O36" s="187"/>
      <c r="P36" s="42"/>
      <c r="Q36" s="42"/>
      <c r="R36" s="42"/>
      <c r="S36" s="42"/>
      <c r="T36" s="42"/>
      <c r="U36" s="187"/>
      <c r="V36" s="42"/>
      <c r="W36" s="42"/>
      <c r="X36" s="42"/>
      <c r="Y36" s="42"/>
      <c r="Z36" s="42"/>
      <c r="AA36" s="187"/>
      <c r="AB36" s="42"/>
      <c r="AC36" s="42"/>
      <c r="AD36" s="242"/>
      <c r="AE36" s="242"/>
      <c r="AF36" s="242"/>
      <c r="AG36" s="242"/>
      <c r="AH36" s="242"/>
      <c r="AI36" s="242"/>
    </row>
    <row r="37" spans="5:39" s="33" customFormat="1" ht="15.75" thickBot="1" x14ac:dyDescent="0.3">
      <c r="F37" s="1051" t="s">
        <v>108</v>
      </c>
      <c r="G37" s="1052"/>
      <c r="H37" s="1052"/>
      <c r="I37" s="1052"/>
      <c r="J37" s="1053"/>
      <c r="K37" s="42"/>
      <c r="Q37" s="42"/>
      <c r="AC37" s="42"/>
    </row>
    <row r="38" spans="5:39" s="33" customFormat="1" ht="15.75" thickBot="1" x14ac:dyDescent="0.3">
      <c r="F38" s="1054" t="s">
        <v>49</v>
      </c>
      <c r="G38" s="1055"/>
      <c r="H38" s="1055"/>
      <c r="I38" s="1055"/>
      <c r="J38" s="1056"/>
      <c r="K38" s="42"/>
      <c r="L38" s="1054" t="s">
        <v>50</v>
      </c>
      <c r="M38" s="1055"/>
      <c r="N38" s="1055"/>
      <c r="O38" s="1055"/>
      <c r="P38" s="1056"/>
      <c r="Q38" s="42"/>
      <c r="R38" s="631"/>
      <c r="S38" s="632"/>
      <c r="T38" s="633" t="s">
        <v>51</v>
      </c>
      <c r="U38" s="634"/>
      <c r="V38" s="635"/>
      <c r="W38" s="281"/>
      <c r="X38" s="631"/>
      <c r="Y38" s="632"/>
      <c r="Z38" s="633" t="s">
        <v>52</v>
      </c>
      <c r="AA38" s="634"/>
      <c r="AB38" s="635"/>
      <c r="AC38" s="42"/>
      <c r="AD38" s="1057" t="s">
        <v>48</v>
      </c>
      <c r="AE38" s="1062"/>
      <c r="AF38" s="1062"/>
      <c r="AG38" s="1062"/>
      <c r="AH38" s="1062"/>
      <c r="AI38" s="1063"/>
      <c r="AJ38" s="363"/>
      <c r="AK38" s="363"/>
      <c r="AL38" s="363"/>
      <c r="AM38" s="363"/>
    </row>
    <row r="39" spans="5:39" s="33" customFormat="1" ht="15.75" thickBot="1" x14ac:dyDescent="0.3">
      <c r="F39" s="377" t="s">
        <v>56</v>
      </c>
      <c r="G39" s="638" t="s">
        <v>109</v>
      </c>
      <c r="H39" s="301" t="s">
        <v>58</v>
      </c>
      <c r="I39" s="302">
        <v>365</v>
      </c>
      <c r="J39" s="303">
        <f>I39*G40</f>
        <v>1825</v>
      </c>
      <c r="K39" s="42"/>
      <c r="L39" s="377" t="s">
        <v>56</v>
      </c>
      <c r="M39" s="611" t="s">
        <v>110</v>
      </c>
      <c r="N39" s="301" t="s">
        <v>58</v>
      </c>
      <c r="O39" s="302">
        <v>365</v>
      </c>
      <c r="P39" s="303">
        <f>O39*M40</f>
        <v>3650</v>
      </c>
      <c r="Q39" s="201"/>
      <c r="R39" s="377" t="s">
        <v>56</v>
      </c>
      <c r="S39" s="250" t="s">
        <v>59</v>
      </c>
      <c r="T39" s="301" t="s">
        <v>58</v>
      </c>
      <c r="U39" s="302">
        <v>365</v>
      </c>
      <c r="V39" s="303">
        <f>S40*U39</f>
        <v>5475</v>
      </c>
      <c r="W39" s="246"/>
      <c r="X39" s="377" t="s">
        <v>56</v>
      </c>
      <c r="Y39" s="250" t="s">
        <v>360</v>
      </c>
      <c r="Z39" s="301" t="s">
        <v>58</v>
      </c>
      <c r="AA39" s="302">
        <v>365</v>
      </c>
      <c r="AB39" s="303">
        <f>Y40*AA39</f>
        <v>7300</v>
      </c>
      <c r="AC39" s="42"/>
      <c r="AD39" s="155" t="s">
        <v>352</v>
      </c>
      <c r="AE39" s="239"/>
      <c r="AF39" s="647">
        <f>AF4</f>
        <v>79415.232000000018</v>
      </c>
      <c r="AG39" s="33" t="s">
        <v>353</v>
      </c>
      <c r="AH39" s="239"/>
      <c r="AI39" s="307"/>
      <c r="AK39" s="242"/>
      <c r="AL39" s="240"/>
      <c r="AM39" s="293"/>
    </row>
    <row r="40" spans="5:39" s="33" customFormat="1" ht="15.75" thickBot="1" x14ac:dyDescent="0.3">
      <c r="F40" s="642"/>
      <c r="G40" s="610">
        <v>5</v>
      </c>
      <c r="H40" s="643"/>
      <c r="I40" s="237"/>
      <c r="J40" s="644"/>
      <c r="K40" s="42"/>
      <c r="L40" s="258"/>
      <c r="M40" s="610">
        <v>10</v>
      </c>
      <c r="N40" s="204"/>
      <c r="O40" s="294"/>
      <c r="P40" s="305"/>
      <c r="Q40" s="201"/>
      <c r="R40" s="258"/>
      <c r="S40" s="610">
        <v>15</v>
      </c>
      <c r="T40" s="204"/>
      <c r="U40" s="244"/>
      <c r="V40" s="305"/>
      <c r="W40" s="246"/>
      <c r="X40" s="258"/>
      <c r="Y40" s="610">
        <v>20</v>
      </c>
      <c r="Z40" s="204"/>
      <c r="AA40" s="244"/>
      <c r="AB40" s="305"/>
      <c r="AC40" s="201"/>
      <c r="AD40" s="306" t="s">
        <v>87</v>
      </c>
      <c r="AE40" s="239"/>
      <c r="AF40" s="647">
        <f>'M2022 BLS  (53_PCT)'!C18</f>
        <v>80606.448000000004</v>
      </c>
      <c r="AG40" s="33" t="s">
        <v>353</v>
      </c>
      <c r="AH40" s="239"/>
      <c r="AI40" s="307"/>
      <c r="AL40" s="208"/>
      <c r="AM40" s="208"/>
    </row>
    <row r="41" spans="5:39" ht="23.25" customHeight="1" x14ac:dyDescent="0.25">
      <c r="F41" s="645"/>
      <c r="G41" s="310" t="s">
        <v>65</v>
      </c>
      <c r="H41" s="293" t="s">
        <v>66</v>
      </c>
      <c r="I41" s="311" t="s">
        <v>67</v>
      </c>
      <c r="J41" s="312" t="s">
        <v>68</v>
      </c>
      <c r="K41" s="313"/>
      <c r="L41" s="155"/>
      <c r="M41" s="310" t="s">
        <v>65</v>
      </c>
      <c r="N41" s="293" t="s">
        <v>66</v>
      </c>
      <c r="O41" s="311" t="s">
        <v>67</v>
      </c>
      <c r="P41" s="312" t="s">
        <v>68</v>
      </c>
      <c r="Q41" s="313"/>
      <c r="R41" s="155"/>
      <c r="S41" s="612" t="s">
        <v>65</v>
      </c>
      <c r="T41" s="613" t="s">
        <v>66</v>
      </c>
      <c r="U41" s="614" t="s">
        <v>67</v>
      </c>
      <c r="V41" s="615" t="s">
        <v>68</v>
      </c>
      <c r="W41" s="616"/>
      <c r="X41" s="155"/>
      <c r="Y41" s="612" t="s">
        <v>65</v>
      </c>
      <c r="Z41" s="613" t="s">
        <v>66</v>
      </c>
      <c r="AA41" s="614" t="s">
        <v>67</v>
      </c>
      <c r="AB41" s="615" t="s">
        <v>68</v>
      </c>
      <c r="AC41" s="201"/>
      <c r="AD41" s="306" t="s">
        <v>106</v>
      </c>
      <c r="AE41" s="309"/>
      <c r="AF41" s="647">
        <f>'M2022 BLS  (53_PCT)'!C8</f>
        <v>53206.566400000003</v>
      </c>
      <c r="AG41" s="33" t="s">
        <v>353</v>
      </c>
      <c r="AH41" s="239"/>
      <c r="AI41" s="307"/>
      <c r="AJ41" s="33"/>
      <c r="AK41" s="33"/>
      <c r="AL41" s="208"/>
      <c r="AM41" s="208"/>
    </row>
    <row r="42" spans="5:39" ht="15.75" thickBot="1" x14ac:dyDescent="0.3">
      <c r="F42" s="155" t="s">
        <v>352</v>
      </c>
      <c r="G42" s="314"/>
      <c r="H42" s="239">
        <f>$AF$4</f>
        <v>79415.232000000018</v>
      </c>
      <c r="I42" s="38">
        <f>AF45</f>
        <v>0.25</v>
      </c>
      <c r="J42" s="307">
        <f>H42*I42</f>
        <v>19853.808000000005</v>
      </c>
      <c r="L42" s="155" t="s">
        <v>352</v>
      </c>
      <c r="M42" s="314"/>
      <c r="N42" s="239">
        <f>$AF$4</f>
        <v>79415.232000000018</v>
      </c>
      <c r="O42" s="38">
        <f>AG45</f>
        <v>0.25</v>
      </c>
      <c r="P42" s="307">
        <f>N42*O42</f>
        <v>19853.808000000005</v>
      </c>
      <c r="R42" s="155" t="s">
        <v>352</v>
      </c>
      <c r="S42" s="314"/>
      <c r="T42" s="239">
        <f>AF39</f>
        <v>79415.232000000018</v>
      </c>
      <c r="U42" s="38">
        <f>AH45</f>
        <v>0.25</v>
      </c>
      <c r="V42" s="307">
        <f>T42*U42</f>
        <v>19853.808000000005</v>
      </c>
      <c r="W42" s="239"/>
      <c r="X42" s="155" t="s">
        <v>352</v>
      </c>
      <c r="Y42" s="314"/>
      <c r="Z42" s="239">
        <f>AF39</f>
        <v>79415.232000000018</v>
      </c>
      <c r="AA42" s="38">
        <v>0.25</v>
      </c>
      <c r="AB42" s="307">
        <f>Z42*AA42</f>
        <v>19853.808000000005</v>
      </c>
      <c r="AD42" s="379" t="s">
        <v>75</v>
      </c>
      <c r="AE42" s="375"/>
      <c r="AF42" s="380">
        <f>'M2022 BLS  (53_PCT)'!C6</f>
        <v>41600</v>
      </c>
      <c r="AG42" s="36" t="s">
        <v>353</v>
      </c>
      <c r="AH42" s="375"/>
      <c r="AI42" s="381"/>
      <c r="AJ42" s="242"/>
      <c r="AK42" s="33"/>
      <c r="AL42" s="208"/>
      <c r="AM42" s="208"/>
    </row>
    <row r="43" spans="5:39" s="33" customFormat="1" ht="15.75" thickBot="1" x14ac:dyDescent="0.3">
      <c r="F43" s="155" t="s">
        <v>106</v>
      </c>
      <c r="G43" s="314"/>
      <c r="H43" s="239">
        <f>AF6</f>
        <v>53206.566400000003</v>
      </c>
      <c r="I43" s="38">
        <v>1</v>
      </c>
      <c r="J43" s="307">
        <f>I43*H43</f>
        <v>53206.566400000003</v>
      </c>
      <c r="K43" s="42"/>
      <c r="L43" s="155" t="s">
        <v>106</v>
      </c>
      <c r="M43" s="314"/>
      <c r="N43" s="239">
        <f>AF6</f>
        <v>53206.566400000003</v>
      </c>
      <c r="O43" s="38">
        <f>AG47</f>
        <v>1</v>
      </c>
      <c r="P43" s="307">
        <f>O43*N43</f>
        <v>53206.566400000003</v>
      </c>
      <c r="Q43" s="42"/>
      <c r="R43" s="155" t="s">
        <v>106</v>
      </c>
      <c r="S43" s="314"/>
      <c r="T43" s="239">
        <f>AF6</f>
        <v>53206.566400000003</v>
      </c>
      <c r="U43" s="38">
        <f>AH47</f>
        <v>2</v>
      </c>
      <c r="V43" s="307">
        <f>U43*T43</f>
        <v>106413.13280000001</v>
      </c>
      <c r="W43" s="282"/>
      <c r="X43" s="155"/>
      <c r="Y43" s="314"/>
      <c r="Z43" s="239"/>
      <c r="AA43" s="38"/>
      <c r="AB43" s="307"/>
      <c r="AC43" s="313"/>
      <c r="AD43" s="325"/>
      <c r="AE43" s="326"/>
      <c r="AF43" s="302"/>
      <c r="AG43" s="302" t="s">
        <v>67</v>
      </c>
      <c r="AH43" s="302"/>
      <c r="AI43" s="382"/>
      <c r="AJ43" s="240"/>
      <c r="AL43" s="208"/>
      <c r="AM43" s="208"/>
    </row>
    <row r="44" spans="5:39" s="33" customFormat="1" x14ac:dyDescent="0.25">
      <c r="F44" s="319" t="s">
        <v>73</v>
      </c>
      <c r="G44" s="38">
        <v>7.5</v>
      </c>
      <c r="H44" s="239">
        <f>AF42</f>
        <v>41600</v>
      </c>
      <c r="I44" s="38">
        <v>1</v>
      </c>
      <c r="J44" s="307">
        <f>H44*I44</f>
        <v>41600</v>
      </c>
      <c r="K44" s="42"/>
      <c r="L44" s="319" t="s">
        <v>73</v>
      </c>
      <c r="M44" s="38">
        <v>7.5</v>
      </c>
      <c r="N44" s="239">
        <f>AF42</f>
        <v>41600</v>
      </c>
      <c r="O44" s="38">
        <f>AG48</f>
        <v>1</v>
      </c>
      <c r="P44" s="307">
        <f>N44*O44</f>
        <v>41600</v>
      </c>
      <c r="Q44" s="42"/>
      <c r="R44" s="319" t="s">
        <v>73</v>
      </c>
      <c r="S44" s="38">
        <v>7.5</v>
      </c>
      <c r="T44" s="239">
        <f>AF42</f>
        <v>41600</v>
      </c>
      <c r="U44" s="38">
        <f>AH48</f>
        <v>2.2000000000000002</v>
      </c>
      <c r="V44" s="307">
        <f>T44*U44</f>
        <v>91520.000000000015</v>
      </c>
      <c r="W44" s="617"/>
      <c r="X44" s="319" t="s">
        <v>74</v>
      </c>
      <c r="Y44" s="38">
        <v>7.5</v>
      </c>
      <c r="Z44" s="239">
        <f>AF42</f>
        <v>41600</v>
      </c>
      <c r="AA44" s="38">
        <f>AI47</f>
        <v>4.84</v>
      </c>
      <c r="AB44" s="307">
        <f>Z44*AA44</f>
        <v>201344</v>
      </c>
      <c r="AC44" s="383"/>
      <c r="AD44" s="384"/>
      <c r="AE44" s="385" t="s">
        <v>84</v>
      </c>
      <c r="AF44" s="386">
        <v>8</v>
      </c>
      <c r="AG44" s="387">
        <v>12</v>
      </c>
      <c r="AH44" s="387">
        <v>15</v>
      </c>
      <c r="AI44" s="652">
        <v>20</v>
      </c>
      <c r="AJ44" s="240"/>
      <c r="AL44" s="208"/>
      <c r="AM44" s="208"/>
    </row>
    <row r="45" spans="5:39" s="33" customFormat="1" x14ac:dyDescent="0.25">
      <c r="F45" s="319"/>
      <c r="G45" s="38"/>
      <c r="H45" s="239"/>
      <c r="I45" s="38"/>
      <c r="J45" s="307"/>
      <c r="K45" s="42"/>
      <c r="L45" s="155"/>
      <c r="M45" s="38"/>
      <c r="N45" s="156"/>
      <c r="O45" s="38"/>
      <c r="P45" s="307"/>
      <c r="Q45" s="42"/>
      <c r="R45" s="155"/>
      <c r="S45" s="38"/>
      <c r="T45" s="618"/>
      <c r="U45" s="38"/>
      <c r="V45" s="307"/>
      <c r="W45" s="282"/>
      <c r="X45" s="155"/>
      <c r="Y45" s="38"/>
      <c r="Z45" s="618"/>
      <c r="AA45" s="38"/>
      <c r="AB45" s="307"/>
      <c r="AC45" s="42"/>
      <c r="AD45" s="333" t="s">
        <v>352</v>
      </c>
      <c r="AE45" s="239"/>
      <c r="AF45" s="334">
        <v>0.25</v>
      </c>
      <c r="AG45" s="334">
        <v>0.25</v>
      </c>
      <c r="AH45" s="334">
        <v>0.25</v>
      </c>
      <c r="AI45" s="335">
        <v>0.25</v>
      </c>
      <c r="AJ45" s="242"/>
      <c r="AL45" s="269"/>
      <c r="AM45" s="208"/>
    </row>
    <row r="46" spans="5:39" s="309" customFormat="1" x14ac:dyDescent="0.25">
      <c r="F46" s="589" t="s">
        <v>538</v>
      </c>
      <c r="G46" s="585"/>
      <c r="H46" s="586"/>
      <c r="I46" s="587">
        <f>SUM(I42:I44)</f>
        <v>2.25</v>
      </c>
      <c r="J46" s="588">
        <f>SUM(J42:J45)</f>
        <v>114660.3744</v>
      </c>
      <c r="K46" s="42"/>
      <c r="L46" s="589" t="s">
        <v>538</v>
      </c>
      <c r="M46" s="585"/>
      <c r="N46" s="586"/>
      <c r="O46" s="587">
        <f>SUM(O42:O45)</f>
        <v>2.25</v>
      </c>
      <c r="P46" s="588">
        <f>SUM(P42:P45)</f>
        <v>114660.3744</v>
      </c>
      <c r="Q46" s="42"/>
      <c r="R46" s="589" t="s">
        <v>538</v>
      </c>
      <c r="S46" s="585"/>
      <c r="T46" s="586"/>
      <c r="U46" s="587">
        <f>SUM(U42:U45)</f>
        <v>4.45</v>
      </c>
      <c r="V46" s="588">
        <f>SUM(V42:V45)</f>
        <v>217786.94080000004</v>
      </c>
      <c r="W46" s="239"/>
      <c r="X46" s="589" t="s">
        <v>538</v>
      </c>
      <c r="Y46" s="585"/>
      <c r="Z46" s="586"/>
      <c r="AA46" s="587">
        <f>SUM(AA42:AA45)</f>
        <v>5.09</v>
      </c>
      <c r="AB46" s="588">
        <f>SUM(AB42:AB45)</f>
        <v>221197.80800000002</v>
      </c>
      <c r="AC46" s="42"/>
      <c r="AD46" s="389" t="s">
        <v>75</v>
      </c>
      <c r="AE46" s="390"/>
      <c r="AF46" s="391" t="s">
        <v>67</v>
      </c>
      <c r="AG46" s="392"/>
      <c r="AH46" s="392"/>
      <c r="AI46" s="393"/>
      <c r="AJ46" s="239"/>
      <c r="AK46" s="33"/>
      <c r="AL46" s="33"/>
      <c r="AM46" s="33"/>
    </row>
    <row r="47" spans="5:39" s="309" customFormat="1" x14ac:dyDescent="0.25">
      <c r="F47" s="604" t="s">
        <v>80</v>
      </c>
      <c r="G47" s="38"/>
      <c r="H47" s="239"/>
      <c r="I47" s="265">
        <f>'M2022 BLS  (53_PCT)'!C38</f>
        <v>0.27379999999999999</v>
      </c>
      <c r="J47" s="307">
        <f>J46*I47</f>
        <v>31394.01051072</v>
      </c>
      <c r="K47" s="42"/>
      <c r="L47" s="604" t="s">
        <v>80</v>
      </c>
      <c r="M47" s="38"/>
      <c r="N47" s="239"/>
      <c r="O47" s="265">
        <f>I47</f>
        <v>0.27379999999999999</v>
      </c>
      <c r="P47" s="307">
        <f>P46*O47</f>
        <v>31394.01051072</v>
      </c>
      <c r="Q47" s="42"/>
      <c r="R47" s="604" t="s">
        <v>80</v>
      </c>
      <c r="S47" s="38"/>
      <c r="T47" s="239"/>
      <c r="U47" s="618">
        <f>O47</f>
        <v>0.27379999999999999</v>
      </c>
      <c r="V47" s="307">
        <f>V46*U47</f>
        <v>59630.06439104001</v>
      </c>
      <c r="W47" s="242"/>
      <c r="X47" s="604" t="s">
        <v>80</v>
      </c>
      <c r="Y47" s="38"/>
      <c r="Z47" s="239"/>
      <c r="AA47" s="618">
        <f>U47</f>
        <v>0.27379999999999999</v>
      </c>
      <c r="AB47" s="307">
        <f>AB46*AA47</f>
        <v>60563.959830400003</v>
      </c>
      <c r="AC47" s="42"/>
      <c r="AD47" s="306" t="s">
        <v>90</v>
      </c>
      <c r="AE47" s="239"/>
      <c r="AF47" s="650">
        <v>1</v>
      </c>
      <c r="AG47" s="650">
        <v>1</v>
      </c>
      <c r="AH47" s="650">
        <v>2</v>
      </c>
      <c r="AI47" s="1064">
        <v>4.84</v>
      </c>
      <c r="AK47" s="242"/>
      <c r="AL47" s="242"/>
      <c r="AM47" s="242"/>
    </row>
    <row r="48" spans="5:39" s="239" customFormat="1" ht="15.75" thickBot="1" x14ac:dyDescent="0.3">
      <c r="F48" s="590" t="s">
        <v>539</v>
      </c>
      <c r="G48" s="584"/>
      <c r="H48" s="584"/>
      <c r="I48" s="584"/>
      <c r="J48" s="605">
        <f>SUM(J46:J47)</f>
        <v>146054.38491071999</v>
      </c>
      <c r="K48" s="42"/>
      <c r="L48" s="590" t="s">
        <v>539</v>
      </c>
      <c r="M48" s="584"/>
      <c r="N48" s="584"/>
      <c r="O48" s="584"/>
      <c r="P48" s="605">
        <f>SUM(P46:P47)</f>
        <v>146054.38491071999</v>
      </c>
      <c r="Q48" s="42"/>
      <c r="R48" s="590" t="s">
        <v>539</v>
      </c>
      <c r="S48" s="584"/>
      <c r="T48" s="584"/>
      <c r="U48" s="584"/>
      <c r="V48" s="605">
        <f>SUM(V46:V47)</f>
        <v>277417.00519104005</v>
      </c>
      <c r="W48" s="242"/>
      <c r="X48" s="590" t="s">
        <v>539</v>
      </c>
      <c r="Y48" s="584"/>
      <c r="Z48" s="584"/>
      <c r="AA48" s="584"/>
      <c r="AB48" s="605">
        <f>SUM(AB46:AB47)</f>
        <v>281761.76783040003</v>
      </c>
      <c r="AC48" s="42"/>
      <c r="AD48" s="306" t="s">
        <v>92</v>
      </c>
      <c r="AF48" s="650">
        <v>1</v>
      </c>
      <c r="AG48" s="650">
        <v>1</v>
      </c>
      <c r="AH48" s="650">
        <v>2.2000000000000002</v>
      </c>
      <c r="AI48" s="1065"/>
      <c r="AJ48" s="309"/>
      <c r="AK48" s="242"/>
      <c r="AL48" s="242"/>
      <c r="AM48" s="242"/>
    </row>
    <row r="49" spans="6:39" s="242" customFormat="1" ht="16.5" thickTop="1" thickBot="1" x14ac:dyDescent="0.3">
      <c r="F49" s="252"/>
      <c r="H49" s="195"/>
      <c r="I49" s="353"/>
      <c r="J49" s="336"/>
      <c r="K49" s="42"/>
      <c r="L49" s="252"/>
      <c r="N49" s="195"/>
      <c r="O49" s="353"/>
      <c r="P49" s="336"/>
      <c r="Q49" s="42"/>
      <c r="R49" s="252"/>
      <c r="T49" s="195"/>
      <c r="U49" s="353"/>
      <c r="V49" s="336"/>
      <c r="X49" s="252"/>
      <c r="Z49" s="195"/>
      <c r="AA49" s="353"/>
      <c r="AB49" s="336"/>
      <c r="AC49" s="42"/>
      <c r="AD49" s="325"/>
      <c r="AE49" s="326"/>
      <c r="AF49" s="394"/>
      <c r="AG49" s="394" t="s">
        <v>94</v>
      </c>
      <c r="AH49" s="394"/>
      <c r="AI49" s="395"/>
      <c r="AJ49" s="239"/>
      <c r="AK49" s="240"/>
      <c r="AL49" s="240"/>
      <c r="AM49" s="240"/>
    </row>
    <row r="50" spans="6:39" s="242" customFormat="1" ht="21.75" customHeight="1" x14ac:dyDescent="0.25">
      <c r="F50" s="583" t="s">
        <v>540</v>
      </c>
      <c r="H50" s="195"/>
      <c r="I50" s="294" t="s">
        <v>78</v>
      </c>
      <c r="J50" s="336"/>
      <c r="K50" s="42"/>
      <c r="L50" s="583" t="s">
        <v>540</v>
      </c>
      <c r="N50" s="195"/>
      <c r="O50" s="294" t="s">
        <v>78</v>
      </c>
      <c r="P50" s="336"/>
      <c r="Q50" s="42"/>
      <c r="R50" s="583" t="s">
        <v>540</v>
      </c>
      <c r="T50" s="195"/>
      <c r="U50" s="294" t="s">
        <v>78</v>
      </c>
      <c r="V50" s="336"/>
      <c r="X50" s="583" t="s">
        <v>540</v>
      </c>
      <c r="Z50" s="195"/>
      <c r="AA50" s="294" t="s">
        <v>78</v>
      </c>
      <c r="AB50" s="336"/>
      <c r="AC50" s="42"/>
      <c r="AD50" s="396"/>
      <c r="AE50" s="397" t="s">
        <v>84</v>
      </c>
      <c r="AF50" s="387">
        <v>8</v>
      </c>
      <c r="AG50" s="387">
        <v>12</v>
      </c>
      <c r="AH50" s="387">
        <v>15.5</v>
      </c>
      <c r="AI50" s="652">
        <v>20</v>
      </c>
      <c r="AK50" s="240"/>
      <c r="AL50" s="240"/>
      <c r="AM50" s="240"/>
    </row>
    <row r="51" spans="6:39" s="240" customFormat="1" x14ac:dyDescent="0.25">
      <c r="F51" s="241" t="s">
        <v>83</v>
      </c>
      <c r="G51" s="33"/>
      <c r="H51" s="239"/>
      <c r="I51" s="38">
        <f>$AF$22</f>
        <v>43.993538597493725</v>
      </c>
      <c r="J51" s="307">
        <f>I51*J39</f>
        <v>80288.207940426044</v>
      </c>
      <c r="K51" s="42"/>
      <c r="L51" s="241" t="s">
        <v>83</v>
      </c>
      <c r="M51" s="33"/>
      <c r="N51" s="239"/>
      <c r="O51" s="38">
        <f>$AF$22</f>
        <v>43.993538597493725</v>
      </c>
      <c r="P51" s="307">
        <f>O51*P39</f>
        <v>160576.41588085209</v>
      </c>
      <c r="Q51" s="42"/>
      <c r="R51" s="241" t="s">
        <v>83</v>
      </c>
      <c r="S51" s="33"/>
      <c r="T51" s="239"/>
      <c r="U51" s="38">
        <f>$AF$22</f>
        <v>43.993538597493725</v>
      </c>
      <c r="V51" s="307">
        <f>U51*V39</f>
        <v>240864.62382127813</v>
      </c>
      <c r="W51" s="242"/>
      <c r="X51" s="241" t="s">
        <v>83</v>
      </c>
      <c r="Y51" s="33"/>
      <c r="Z51" s="239"/>
      <c r="AA51" s="38">
        <f>$AF$22</f>
        <v>43.993538597493725</v>
      </c>
      <c r="AB51" s="307">
        <f>AA51*AB39</f>
        <v>321152.83176170418</v>
      </c>
      <c r="AC51" s="42"/>
      <c r="AD51" s="398" t="s">
        <v>96</v>
      </c>
      <c r="AE51" s="399"/>
      <c r="AF51" s="400">
        <v>7.5</v>
      </c>
      <c r="AG51" s="400">
        <v>7.5</v>
      </c>
      <c r="AH51" s="400">
        <v>7.5</v>
      </c>
      <c r="AI51" s="401">
        <v>7.5</v>
      </c>
      <c r="AJ51" s="242"/>
      <c r="AK51" s="242"/>
      <c r="AL51" s="242"/>
      <c r="AM51" s="242"/>
    </row>
    <row r="52" spans="6:39" s="240" customFormat="1" x14ac:dyDescent="0.25">
      <c r="F52" s="241" t="s">
        <v>86</v>
      </c>
      <c r="G52" s="33"/>
      <c r="H52" s="239"/>
      <c r="I52" s="38">
        <f>'FY21 UFR TILP-YOUTH'!Z31</f>
        <v>15.901681537562935</v>
      </c>
      <c r="J52" s="307">
        <f>I52*J39</f>
        <v>29020.568806052357</v>
      </c>
      <c r="K52" s="42"/>
      <c r="L52" s="241" t="s">
        <v>86</v>
      </c>
      <c r="M52" s="33"/>
      <c r="N52" s="239"/>
      <c r="O52" s="38">
        <f>I52</f>
        <v>15.901681537562935</v>
      </c>
      <c r="P52" s="307">
        <f>O52*P39</f>
        <v>58041.137612104714</v>
      </c>
      <c r="Q52" s="42"/>
      <c r="R52" s="241" t="s">
        <v>86</v>
      </c>
      <c r="S52" s="33"/>
      <c r="T52" s="239"/>
      <c r="U52" s="38">
        <f>O52</f>
        <v>15.901681537562935</v>
      </c>
      <c r="V52" s="307">
        <f>U52*V39</f>
        <v>87061.70641815706</v>
      </c>
      <c r="W52" s="33"/>
      <c r="X52" s="241" t="s">
        <v>86</v>
      </c>
      <c r="Y52" s="33"/>
      <c r="Z52" s="239"/>
      <c r="AA52" s="38">
        <f>U52</f>
        <v>15.901681537562935</v>
      </c>
      <c r="AB52" s="307">
        <f>AA52*AB39</f>
        <v>116082.27522420943</v>
      </c>
      <c r="AC52" s="42"/>
      <c r="AD52" s="241" t="s">
        <v>77</v>
      </c>
      <c r="AE52" s="242"/>
      <c r="AF52" s="647"/>
      <c r="AG52" s="33"/>
      <c r="AH52" s="33"/>
      <c r="AI52" s="139"/>
      <c r="AJ52" s="242"/>
      <c r="AK52" s="239"/>
      <c r="AL52" s="239"/>
      <c r="AM52" s="239"/>
    </row>
    <row r="53" spans="6:39" s="242" customFormat="1" ht="15.75" thickBot="1" x14ac:dyDescent="0.3">
      <c r="F53" s="1045" t="s">
        <v>541</v>
      </c>
      <c r="G53" s="1025"/>
      <c r="H53" s="592"/>
      <c r="I53" s="593"/>
      <c r="J53" s="594">
        <f>SUM(J51:J52)</f>
        <v>109308.7767464784</v>
      </c>
      <c r="K53" s="42"/>
      <c r="L53" s="1045" t="s">
        <v>541</v>
      </c>
      <c r="M53" s="1025"/>
      <c r="N53" s="592"/>
      <c r="O53" s="593"/>
      <c r="P53" s="594">
        <f>SUM(P51:P52)</f>
        <v>218617.55349295679</v>
      </c>
      <c r="Q53" s="42"/>
      <c r="R53" s="1045" t="s">
        <v>541</v>
      </c>
      <c r="S53" s="1025"/>
      <c r="T53" s="592"/>
      <c r="U53" s="593"/>
      <c r="V53" s="594">
        <f>SUM(V51:V52)</f>
        <v>327926.33023943519</v>
      </c>
      <c r="W53" s="33"/>
      <c r="X53" s="1045" t="s">
        <v>541</v>
      </c>
      <c r="Y53" s="1025"/>
      <c r="Z53" s="592"/>
      <c r="AA53" s="593"/>
      <c r="AB53" s="594">
        <f>SUM(AB51:AB52)</f>
        <v>437235.10698591359</v>
      </c>
      <c r="AC53" s="42"/>
      <c r="AD53" s="241" t="s">
        <v>80</v>
      </c>
      <c r="AE53" s="33"/>
      <c r="AF53" s="651">
        <f>AF21</f>
        <v>0.27379999999999999</v>
      </c>
      <c r="AG53" s="30" t="s">
        <v>355</v>
      </c>
      <c r="AH53" s="33"/>
      <c r="AI53" s="139"/>
      <c r="AJ53" s="33"/>
      <c r="AK53" s="309"/>
      <c r="AL53" s="309"/>
      <c r="AM53" s="309"/>
    </row>
    <row r="54" spans="6:39" s="242" customFormat="1" ht="15.75" thickTop="1" x14ac:dyDescent="0.25">
      <c r="F54" s="636"/>
      <c r="G54" s="637"/>
      <c r="H54" s="195"/>
      <c r="I54" s="353"/>
      <c r="J54" s="336"/>
      <c r="K54" s="42"/>
      <c r="L54" s="241"/>
      <c r="M54" s="33"/>
      <c r="N54" s="239"/>
      <c r="O54" s="38"/>
      <c r="P54" s="307"/>
      <c r="Q54" s="42"/>
      <c r="R54" s="241"/>
      <c r="S54" s="33"/>
      <c r="T54" s="239"/>
      <c r="U54" s="38"/>
      <c r="V54" s="307"/>
      <c r="W54" s="33"/>
      <c r="X54" s="241"/>
      <c r="Y54" s="33"/>
      <c r="Z54" s="239"/>
      <c r="AA54" s="38"/>
      <c r="AB54" s="307"/>
      <c r="AC54" s="42"/>
      <c r="AD54" s="241" t="s">
        <v>98</v>
      </c>
      <c r="AE54" s="33"/>
      <c r="AF54" s="365">
        <f>'FY21 UFR TILP-YOUTH'!N32</f>
        <v>43.993538597493725</v>
      </c>
      <c r="AG54" s="571" t="s">
        <v>520</v>
      </c>
      <c r="AH54" s="33"/>
      <c r="AI54" s="139"/>
      <c r="AJ54" s="33"/>
      <c r="AK54" s="309"/>
      <c r="AL54" s="309"/>
      <c r="AM54" s="309"/>
    </row>
    <row r="55" spans="6:39" s="239" customFormat="1" x14ac:dyDescent="0.25">
      <c r="F55" s="1061" t="s">
        <v>357</v>
      </c>
      <c r="G55" s="1027"/>
      <c r="H55" s="330"/>
      <c r="I55" s="331"/>
      <c r="J55" s="332">
        <f>J48+J53</f>
        <v>255363.16165719839</v>
      </c>
      <c r="K55" s="42"/>
      <c r="L55" s="1061" t="s">
        <v>357</v>
      </c>
      <c r="M55" s="1027"/>
      <c r="N55" s="330"/>
      <c r="O55" s="331"/>
      <c r="P55" s="332">
        <f>P48+P53</f>
        <v>364671.93840367679</v>
      </c>
      <c r="Q55" s="42"/>
      <c r="R55" s="619" t="s">
        <v>88</v>
      </c>
      <c r="S55" s="620"/>
      <c r="T55" s="330"/>
      <c r="U55" s="331"/>
      <c r="V55" s="332">
        <f>V48+V53</f>
        <v>605343.33543047518</v>
      </c>
      <c r="W55" s="242"/>
      <c r="X55" s="619" t="s">
        <v>88</v>
      </c>
      <c r="Y55" s="620"/>
      <c r="Z55" s="330"/>
      <c r="AA55" s="331"/>
      <c r="AB55" s="332">
        <f>AB48+AB53</f>
        <v>718996.87481631362</v>
      </c>
      <c r="AC55" s="42"/>
      <c r="AD55" s="241" t="s">
        <v>99</v>
      </c>
      <c r="AE55" s="33"/>
      <c r="AF55" s="365">
        <f>'FY21 UFR TILP-YOUTH'!N33</f>
        <v>13.198061579248117</v>
      </c>
      <c r="AG55" s="571" t="s">
        <v>520</v>
      </c>
      <c r="AH55" s="33"/>
      <c r="AI55" s="139"/>
      <c r="AJ55" s="33"/>
    </row>
    <row r="56" spans="6:39" s="309" customFormat="1" x14ac:dyDescent="0.25">
      <c r="F56" s="241" t="s">
        <v>89</v>
      </c>
      <c r="G56" s="33"/>
      <c r="H56" s="346">
        <f>'[21]Salary Bench Chart'!C33</f>
        <v>0.12</v>
      </c>
      <c r="I56" s="38"/>
      <c r="J56" s="307">
        <f>J55*H56</f>
        <v>30643.579398863807</v>
      </c>
      <c r="K56" s="42"/>
      <c r="L56" s="241" t="s">
        <v>89</v>
      </c>
      <c r="M56" s="33"/>
      <c r="N56" s="346">
        <f>'[21]Salary Bench Chart'!C33</f>
        <v>0.12</v>
      </c>
      <c r="O56" s="38"/>
      <c r="P56" s="307">
        <f>P55*N56</f>
        <v>43760.632608441214</v>
      </c>
      <c r="Q56" s="42"/>
      <c r="R56" s="241" t="s">
        <v>89</v>
      </c>
      <c r="S56" s="33"/>
      <c r="T56" s="346">
        <v>0.12</v>
      </c>
      <c r="U56" s="38"/>
      <c r="V56" s="307">
        <f>T56*V55</f>
        <v>72641.200251657021</v>
      </c>
      <c r="W56" s="33"/>
      <c r="X56" s="241" t="s">
        <v>89</v>
      </c>
      <c r="Y56" s="33"/>
      <c r="Z56" s="346">
        <v>0.12</v>
      </c>
      <c r="AA56" s="38"/>
      <c r="AB56" s="307">
        <f>Z56*AB55</f>
        <v>86279.624977957632</v>
      </c>
      <c r="AC56" s="42"/>
      <c r="AD56" s="241" t="s">
        <v>100</v>
      </c>
      <c r="AE56" s="33"/>
      <c r="AF56" s="365">
        <f>'FY21 UFR TILP-YOUTH'!N34</f>
        <v>7.3322564329156208</v>
      </c>
      <c r="AG56" s="571" t="s">
        <v>520</v>
      </c>
      <c r="AH56" s="33"/>
      <c r="AI56" s="139"/>
      <c r="AJ56" s="33"/>
      <c r="AK56" s="242"/>
      <c r="AL56" s="242"/>
      <c r="AM56" s="242"/>
    </row>
    <row r="57" spans="6:39" s="309" customFormat="1" ht="14.25" customHeight="1" x14ac:dyDescent="0.25">
      <c r="F57" s="241" t="s">
        <v>46</v>
      </c>
      <c r="G57" s="33"/>
      <c r="H57" s="346">
        <f>'TILP Models (A&amp;B) 2024'!AF59</f>
        <v>2.7100379121522307E-2</v>
      </c>
      <c r="I57" s="38"/>
      <c r="J57" s="307">
        <f>H57*(J55+J56)</f>
        <v>7750.8911139303455</v>
      </c>
      <c r="K57" s="42"/>
      <c r="L57" s="241" t="s">
        <v>46</v>
      </c>
      <c r="M57" s="33"/>
      <c r="N57" s="346">
        <f>AF59</f>
        <v>2.7100379121522307E-2</v>
      </c>
      <c r="O57" s="38"/>
      <c r="P57" s="307">
        <f>N57*(P55+P56)</f>
        <v>11068.67752000648</v>
      </c>
      <c r="Q57" s="42"/>
      <c r="R57" s="241" t="s">
        <v>46</v>
      </c>
      <c r="S57" s="33"/>
      <c r="T57" s="346">
        <f>AF59</f>
        <v>2.7100379121522307E-2</v>
      </c>
      <c r="U57" s="38"/>
      <c r="V57" s="307">
        <f>T57*(V55+V56)</f>
        <v>18373.637955515052</v>
      </c>
      <c r="W57" s="33"/>
      <c r="X57" s="241" t="s">
        <v>46</v>
      </c>
      <c r="Y57" s="33"/>
      <c r="Z57" s="346">
        <f>AF59</f>
        <v>2.7100379121522307E-2</v>
      </c>
      <c r="AA57" s="38"/>
      <c r="AB57" s="307">
        <f>Z57*(AB55+AB56)</f>
        <v>21823.298442077234</v>
      </c>
      <c r="AC57" s="42"/>
      <c r="AD57" s="241" t="s">
        <v>86</v>
      </c>
      <c r="AE57" s="33"/>
      <c r="AF57" s="365">
        <f>'FY21 UFR TILP-YOUTH'!Z31</f>
        <v>15.901681537562935</v>
      </c>
      <c r="AG57" s="571" t="s">
        <v>520</v>
      </c>
      <c r="AH57" s="33"/>
      <c r="AI57" s="139"/>
      <c r="AJ57" s="33"/>
      <c r="AK57" s="242"/>
      <c r="AL57" s="242"/>
      <c r="AM57" s="242"/>
    </row>
    <row r="58" spans="6:39" s="239" customFormat="1" ht="15.75" thickBot="1" x14ac:dyDescent="0.3">
      <c r="F58" s="348" t="s">
        <v>91</v>
      </c>
      <c r="G58" s="349"/>
      <c r="H58" s="350"/>
      <c r="I58" s="351"/>
      <c r="J58" s="352">
        <f>SUM(J55:J57)</f>
        <v>293757.63216999255</v>
      </c>
      <c r="L58" s="348" t="s">
        <v>91</v>
      </c>
      <c r="M58" s="349"/>
      <c r="N58" s="350"/>
      <c r="O58" s="351"/>
      <c r="P58" s="352">
        <f>SUM(P55:P57)</f>
        <v>419501.2485321245</v>
      </c>
      <c r="Q58" s="42"/>
      <c r="R58" s="621" t="s">
        <v>91</v>
      </c>
      <c r="S58" s="622"/>
      <c r="T58" s="623"/>
      <c r="U58" s="624"/>
      <c r="V58" s="352">
        <f>SUM(V55:V57)</f>
        <v>696358.1736376473</v>
      </c>
      <c r="W58" s="625"/>
      <c r="X58" s="621" t="s">
        <v>91</v>
      </c>
      <c r="Y58" s="622"/>
      <c r="Z58" s="623"/>
      <c r="AA58" s="624"/>
      <c r="AB58" s="352">
        <f>SUM(AB55:AB57)</f>
        <v>827099.79823634855</v>
      </c>
      <c r="AC58" s="42"/>
      <c r="AD58" s="316" t="s">
        <v>361</v>
      </c>
      <c r="AE58" s="366"/>
      <c r="AF58" s="367">
        <f>AF24</f>
        <v>0.12</v>
      </c>
      <c r="AG58" s="41" t="s">
        <v>355</v>
      </c>
      <c r="AH58" s="366"/>
      <c r="AI58" s="368"/>
      <c r="AJ58" s="33"/>
      <c r="AK58" s="242"/>
      <c r="AL58" s="242"/>
      <c r="AM58" s="242"/>
    </row>
    <row r="59" spans="6:39" s="242" customFormat="1" ht="16.5" thickTop="1" thickBot="1" x14ac:dyDescent="0.3">
      <c r="F59" s="355" t="s">
        <v>93</v>
      </c>
      <c r="G59" s="324"/>
      <c r="H59" s="324"/>
      <c r="I59" s="324"/>
      <c r="J59" s="739">
        <f>J58/J39</f>
        <v>160.96308612054386</v>
      </c>
      <c r="K59" s="356"/>
      <c r="L59" s="355" t="s">
        <v>93</v>
      </c>
      <c r="M59" s="324"/>
      <c r="N59" s="324"/>
      <c r="O59" s="324"/>
      <c r="P59" s="602">
        <f>P58/P39</f>
        <v>114.93184891291082</v>
      </c>
      <c r="Q59" s="356"/>
      <c r="R59" s="626" t="s">
        <v>93</v>
      </c>
      <c r="S59" s="627"/>
      <c r="T59" s="627"/>
      <c r="U59" s="627"/>
      <c r="V59" s="602">
        <f>V58/V39</f>
        <v>127.18870751372553</v>
      </c>
      <c r="W59" s="628"/>
      <c r="X59" s="626" t="s">
        <v>93</v>
      </c>
      <c r="Y59" s="627"/>
      <c r="Z59" s="627"/>
      <c r="AA59" s="627"/>
      <c r="AB59" s="602">
        <f>AB58/AB39</f>
        <v>113.30134222415734</v>
      </c>
      <c r="AC59" s="356"/>
      <c r="AD59" s="369" t="s">
        <v>362</v>
      </c>
      <c r="AE59" s="36"/>
      <c r="AF59" s="370">
        <f>AF25</f>
        <v>2.7100379121522307E-2</v>
      </c>
      <c r="AG59" s="40" t="s">
        <v>359</v>
      </c>
      <c r="AH59" s="371"/>
      <c r="AI59" s="372"/>
      <c r="AJ59" s="33"/>
      <c r="AK59" s="33"/>
      <c r="AL59" s="33"/>
      <c r="AM59" s="33"/>
    </row>
    <row r="60" spans="6:39" s="242" customFormat="1" ht="15.75" thickBot="1" x14ac:dyDescent="0.3">
      <c r="F60" s="359" t="s">
        <v>95</v>
      </c>
      <c r="G60" s="295"/>
      <c r="H60" s="360">
        <v>0.9</v>
      </c>
      <c r="I60" s="361"/>
      <c r="J60" s="362">
        <f>J$58*(H57+1)/(J$39*H60)</f>
        <v>183.69471864331206</v>
      </c>
      <c r="K60" s="356"/>
      <c r="L60" s="359" t="s">
        <v>95</v>
      </c>
      <c r="M60" s="295"/>
      <c r="N60" s="360">
        <v>0.9</v>
      </c>
      <c r="O60" s="361"/>
      <c r="P60" s="362">
        <f>P$58*(N57+1)/(P$39*N60)</f>
        <v>131.16282843509802</v>
      </c>
      <c r="Q60" s="356"/>
      <c r="R60" s="629" t="s">
        <v>95</v>
      </c>
      <c r="S60" s="295"/>
      <c r="T60" s="360">
        <v>0.9</v>
      </c>
      <c r="U60" s="361"/>
      <c r="V60" s="362">
        <f>V58*(T57+1)/(V39*T60)</f>
        <v>145.15063300813767</v>
      </c>
      <c r="W60" s="628"/>
      <c r="X60" s="629" t="s">
        <v>95</v>
      </c>
      <c r="Y60" s="295"/>
      <c r="Z60" s="360">
        <v>0.9</v>
      </c>
      <c r="AA60" s="361"/>
      <c r="AB60" s="362">
        <f>AB$58*(Z$57+1)/(AB$39*Z60)</f>
        <v>129.30205728156594</v>
      </c>
      <c r="AC60" s="356"/>
      <c r="AD60" s="42"/>
      <c r="AE60" s="42"/>
      <c r="AF60" s="313"/>
      <c r="AG60" s="42"/>
      <c r="AH60" s="42"/>
      <c r="AI60" s="42"/>
      <c r="AJ60" s="33"/>
      <c r="AK60" s="33"/>
      <c r="AL60" s="33"/>
      <c r="AM60" s="33"/>
    </row>
    <row r="61" spans="6:39" s="33" customFormat="1" ht="15.75" thickBot="1" x14ac:dyDescent="0.3">
      <c r="F61" s="355"/>
      <c r="H61" s="364">
        <v>0.85</v>
      </c>
      <c r="I61" s="239"/>
      <c r="J61" s="362">
        <f>J$58*(H57+1)/(J$39*H61)</f>
        <v>194.50029032821274</v>
      </c>
      <c r="K61" s="356"/>
      <c r="L61" s="355"/>
      <c r="N61" s="364">
        <v>0.85</v>
      </c>
      <c r="O61" s="239"/>
      <c r="P61" s="362">
        <f>P$58*(N57+1)/(P$39*N61)</f>
        <v>138.87828893128025</v>
      </c>
      <c r="Q61" s="356"/>
      <c r="R61" s="626"/>
      <c r="T61" s="364">
        <v>0.85</v>
      </c>
      <c r="U61" s="239"/>
      <c r="V61" s="362">
        <f>V58*(T57+1)/(V39*T61)</f>
        <v>153.68890553802814</v>
      </c>
      <c r="W61" s="628"/>
      <c r="X61" s="626"/>
      <c r="Z61" s="364">
        <v>0.85</v>
      </c>
      <c r="AA61" s="239"/>
      <c r="AB61" s="362">
        <f>AB$58*(Z$57+1)/(AB$39*Z61)</f>
        <v>136.9080606510698</v>
      </c>
      <c r="AC61" s="356"/>
      <c r="AD61" s="42"/>
      <c r="AE61" s="42"/>
      <c r="AF61" s="313"/>
      <c r="AG61" s="42"/>
      <c r="AH61" s="42"/>
      <c r="AI61" s="42"/>
    </row>
    <row r="62" spans="6:39" s="33" customFormat="1" ht="15.75" thickBot="1" x14ac:dyDescent="0.3">
      <c r="F62" s="355"/>
      <c r="H62" s="364">
        <v>0.8</v>
      </c>
      <c r="I62" s="239"/>
      <c r="J62" s="362">
        <f>J$58*(H57+1)/(J$39*H62)</f>
        <v>206.65655847372605</v>
      </c>
      <c r="K62" s="356"/>
      <c r="L62" s="355"/>
      <c r="N62" s="364">
        <v>0.8</v>
      </c>
      <c r="O62" s="239"/>
      <c r="P62" s="362">
        <f>P$58*(N57+1)/(P$39*N62)</f>
        <v>147.55818198948526</v>
      </c>
      <c r="Q62" s="356"/>
      <c r="R62" s="626"/>
      <c r="T62" s="364">
        <v>0.8</v>
      </c>
      <c r="U62" s="239"/>
      <c r="V62" s="362">
        <f>V58*(T57+1)/(V39*T62)</f>
        <v>163.29446213415488</v>
      </c>
      <c r="W62" s="628"/>
      <c r="X62" s="626"/>
      <c r="Z62" s="364">
        <v>0.8</v>
      </c>
      <c r="AA62" s="239"/>
      <c r="AB62" s="362">
        <f t="shared" ref="AB62:AB68" si="4">AB$58*(Z$57+1)/(AB$39*Z62)</f>
        <v>145.46481444176169</v>
      </c>
      <c r="AC62" s="356"/>
      <c r="AD62" s="42"/>
      <c r="AE62" s="42"/>
      <c r="AF62" s="42"/>
      <c r="AG62" s="42"/>
      <c r="AH62" s="42"/>
      <c r="AI62" s="42"/>
      <c r="AJ62" s="242"/>
    </row>
    <row r="63" spans="6:39" s="33" customFormat="1" ht="15.75" thickBot="1" x14ac:dyDescent="0.3">
      <c r="F63" s="355"/>
      <c r="H63" s="364">
        <v>0.75</v>
      </c>
      <c r="I63" s="239"/>
      <c r="J63" s="362">
        <f>J$58*(H57+1)/(J$39*H63)</f>
        <v>220.43366237197446</v>
      </c>
      <c r="K63" s="356"/>
      <c r="L63" s="355"/>
      <c r="N63" s="364">
        <v>0.75</v>
      </c>
      <c r="O63" s="239"/>
      <c r="P63" s="362">
        <f>P$58*(N57+1)/(P$39*N63)</f>
        <v>157.39539412211764</v>
      </c>
      <c r="Q63" s="356"/>
      <c r="R63" s="626"/>
      <c r="T63" s="364">
        <v>0.75</v>
      </c>
      <c r="U63" s="239"/>
      <c r="V63" s="362">
        <f>V58*(T57+1)/(V39*T63)</f>
        <v>174.1807596097652</v>
      </c>
      <c r="W63" s="628"/>
      <c r="X63" s="626"/>
      <c r="Z63" s="364">
        <v>0.75</v>
      </c>
      <c r="AA63" s="239"/>
      <c r="AB63" s="362">
        <f t="shared" si="4"/>
        <v>155.16246873787912</v>
      </c>
      <c r="AC63" s="356"/>
      <c r="AD63" s="42"/>
      <c r="AE63" s="42"/>
      <c r="AF63" s="42"/>
      <c r="AG63" s="42"/>
      <c r="AH63" s="42"/>
      <c r="AI63" s="42"/>
      <c r="AJ63" s="363"/>
      <c r="AK63" s="242"/>
      <c r="AL63" s="242"/>
      <c r="AM63" s="242"/>
    </row>
    <row r="64" spans="6:39" s="33" customFormat="1" ht="15.75" thickBot="1" x14ac:dyDescent="0.3">
      <c r="F64" s="355"/>
      <c r="H64" s="364">
        <v>0.7</v>
      </c>
      <c r="I64" s="239"/>
      <c r="J64" s="362">
        <f>J$58*(H57+1)/(J$39*H64)</f>
        <v>236.17892396997263</v>
      </c>
      <c r="K64" s="356"/>
      <c r="L64" s="355"/>
      <c r="N64" s="364">
        <v>0.7</v>
      </c>
      <c r="O64" s="239"/>
      <c r="P64" s="362">
        <f>P$58*(N57+1)/(P$39*N64)</f>
        <v>168.63792227369746</v>
      </c>
      <c r="Q64" s="356"/>
      <c r="R64" s="626"/>
      <c r="T64" s="364">
        <v>0.7</v>
      </c>
      <c r="U64" s="239"/>
      <c r="V64" s="362">
        <f>V58*(T57+1)/(V39*T64)</f>
        <v>186.62224243903418</v>
      </c>
      <c r="W64" s="628"/>
      <c r="X64" s="626"/>
      <c r="Z64" s="364">
        <v>0.7</v>
      </c>
      <c r="AA64" s="239"/>
      <c r="AB64" s="362">
        <f t="shared" si="4"/>
        <v>166.24550221915621</v>
      </c>
      <c r="AC64" s="356"/>
      <c r="AD64" s="42"/>
      <c r="AE64" s="42"/>
      <c r="AF64" s="42"/>
      <c r="AG64" s="42"/>
      <c r="AH64" s="42"/>
      <c r="AI64" s="42"/>
      <c r="AJ64" s="363"/>
      <c r="AK64" s="363"/>
      <c r="AL64" s="363"/>
      <c r="AM64" s="363"/>
    </row>
    <row r="65" spans="6:39" s="33" customFormat="1" ht="15.75" thickBot="1" x14ac:dyDescent="0.3">
      <c r="F65" s="355"/>
      <c r="H65" s="364">
        <v>0.65</v>
      </c>
      <c r="I65" s="239"/>
      <c r="J65" s="362">
        <f>J$58*(H57+1)/(J$39*H65)</f>
        <v>254.34653350612436</v>
      </c>
      <c r="K65" s="356"/>
      <c r="L65" s="355"/>
      <c r="N65" s="364">
        <v>0.65</v>
      </c>
      <c r="O65" s="239"/>
      <c r="P65" s="362">
        <f>P$58*(N57+1)/(P$39*N65)</f>
        <v>181.61007014090495</v>
      </c>
      <c r="Q65" s="356"/>
      <c r="R65" s="626"/>
      <c r="T65" s="364">
        <v>0.65</v>
      </c>
      <c r="U65" s="239"/>
      <c r="V65" s="362">
        <f>V58*(T57+1)/(V39*T65)</f>
        <v>200.9777995497291</v>
      </c>
      <c r="W65" s="628"/>
      <c r="X65" s="626"/>
      <c r="Z65" s="364">
        <v>0.65</v>
      </c>
      <c r="AA65" s="239"/>
      <c r="AB65" s="362">
        <f t="shared" si="4"/>
        <v>179.03361777447591</v>
      </c>
      <c r="AC65" s="356"/>
      <c r="AD65" s="42"/>
      <c r="AE65" s="42"/>
      <c r="AF65" s="42"/>
      <c r="AG65" s="42"/>
      <c r="AH65" s="42"/>
      <c r="AI65" s="42"/>
      <c r="AK65" s="242"/>
      <c r="AL65" s="242"/>
      <c r="AM65" s="242"/>
    </row>
    <row r="66" spans="6:39" s="33" customFormat="1" ht="15.75" thickBot="1" x14ac:dyDescent="0.3">
      <c r="F66" s="355"/>
      <c r="H66" s="364">
        <v>0.6</v>
      </c>
      <c r="I66" s="239"/>
      <c r="J66" s="362">
        <f>J$58*(H57+1)/(J$39*H66)</f>
        <v>275.54207796496809</v>
      </c>
      <c r="K66" s="356"/>
      <c r="L66" s="355"/>
      <c r="N66" s="364">
        <v>0.6</v>
      </c>
      <c r="O66" s="239"/>
      <c r="P66" s="362">
        <f>P$58*(N57+1)/(P$39*N66)</f>
        <v>196.74424265264705</v>
      </c>
      <c r="Q66" s="356"/>
      <c r="R66" s="626"/>
      <c r="T66" s="364">
        <v>0.6</v>
      </c>
      <c r="U66" s="239"/>
      <c r="V66" s="362">
        <f>V58*(T57+1)/(V39*T66)</f>
        <v>217.72594951220651</v>
      </c>
      <c r="W66" s="628"/>
      <c r="X66" s="626"/>
      <c r="Z66" s="364">
        <v>0.6</v>
      </c>
      <c r="AA66" s="239"/>
      <c r="AB66" s="362">
        <f t="shared" si="4"/>
        <v>193.95308592234892</v>
      </c>
      <c r="AC66" s="356"/>
      <c r="AD66" s="42"/>
      <c r="AE66" s="42"/>
      <c r="AF66" s="42"/>
      <c r="AG66" s="42"/>
      <c r="AH66" s="42"/>
      <c r="AI66" s="42"/>
      <c r="AK66" s="242"/>
      <c r="AL66" s="242"/>
      <c r="AM66" s="242"/>
    </row>
    <row r="67" spans="6:39" s="33" customFormat="1" ht="15.75" thickBot="1" x14ac:dyDescent="0.3">
      <c r="F67" s="355"/>
      <c r="H67" s="364">
        <v>0.55000000000000004</v>
      </c>
      <c r="I67" s="239"/>
      <c r="J67" s="362">
        <f>J$58*(H57+1)/(J$39*H67)</f>
        <v>300.59135777996511</v>
      </c>
      <c r="K67" s="356"/>
      <c r="L67" s="355"/>
      <c r="N67" s="364">
        <v>0.55000000000000004</v>
      </c>
      <c r="O67" s="239"/>
      <c r="P67" s="362">
        <f>P$58*(N57+1)/(P$39*N67)</f>
        <v>214.63008289379675</v>
      </c>
      <c r="Q67" s="356"/>
      <c r="R67" s="626"/>
      <c r="T67" s="364">
        <v>0.55000000000000004</v>
      </c>
      <c r="U67" s="239"/>
      <c r="V67" s="362">
        <f>V58*(T57+1)/(V39*T67)</f>
        <v>237.5192176496798</v>
      </c>
      <c r="W67" s="628"/>
      <c r="X67" s="626"/>
      <c r="Z67" s="364">
        <v>0.55000000000000004</v>
      </c>
      <c r="AA67" s="239"/>
      <c r="AB67" s="362">
        <f t="shared" si="4"/>
        <v>211.58518464256241</v>
      </c>
      <c r="AC67" s="356"/>
      <c r="AD67" s="42"/>
      <c r="AE67" s="42"/>
      <c r="AF67" s="42"/>
      <c r="AG67" s="42"/>
      <c r="AH67" s="42"/>
      <c r="AI67" s="42"/>
      <c r="AK67" s="240"/>
      <c r="AL67" s="240"/>
      <c r="AM67" s="240"/>
    </row>
    <row r="68" spans="6:39" s="33" customFormat="1" ht="15.75" thickBot="1" x14ac:dyDescent="0.3">
      <c r="F68" s="373"/>
      <c r="G68" s="36"/>
      <c r="H68" s="374">
        <v>0.5</v>
      </c>
      <c r="I68" s="375"/>
      <c r="J68" s="376">
        <f>J$58*(H57+1)/(J$39*H68)</f>
        <v>330.65049355796168</v>
      </c>
      <c r="K68" s="356"/>
      <c r="L68" s="373"/>
      <c r="M68" s="36"/>
      <c r="N68" s="374">
        <v>0.5</v>
      </c>
      <c r="O68" s="375"/>
      <c r="P68" s="376">
        <f>P$58*(N57+1)/(P$39*N68)</f>
        <v>236.09309118317645</v>
      </c>
      <c r="Q68" s="356"/>
      <c r="R68" s="630"/>
      <c r="S68" s="36"/>
      <c r="T68" s="374">
        <v>0.5</v>
      </c>
      <c r="U68" s="375"/>
      <c r="V68" s="376">
        <f>V58*(T57+1)/(V39*T68)</f>
        <v>261.27113941464779</v>
      </c>
      <c r="W68" s="628"/>
      <c r="X68" s="630"/>
      <c r="Y68" s="36"/>
      <c r="Z68" s="374">
        <v>0.5</v>
      </c>
      <c r="AA68" s="375"/>
      <c r="AB68" s="376">
        <f t="shared" si="4"/>
        <v>232.74370310681869</v>
      </c>
      <c r="AC68" s="356"/>
      <c r="AD68" s="42"/>
      <c r="AE68" s="42"/>
      <c r="AF68" s="42"/>
      <c r="AG68" s="42"/>
      <c r="AH68" s="42"/>
      <c r="AI68" s="42"/>
      <c r="AJ68" s="242"/>
      <c r="AK68" s="240"/>
      <c r="AL68" s="240"/>
      <c r="AM68" s="240"/>
    </row>
    <row r="69" spans="6:39" s="33" customFormat="1" x14ac:dyDescent="0.25">
      <c r="F69" s="42"/>
      <c r="G69" s="42"/>
      <c r="H69" s="42"/>
      <c r="I69" s="187"/>
      <c r="J69" s="42"/>
      <c r="K69" s="42"/>
      <c r="L69" s="42"/>
      <c r="M69" s="42"/>
      <c r="N69" s="42"/>
      <c r="O69" s="187"/>
      <c r="P69" s="42"/>
      <c r="Q69" s="42"/>
      <c r="R69" s="42"/>
      <c r="S69" s="42"/>
      <c r="T69" s="42"/>
      <c r="U69" s="42"/>
      <c r="V69" s="42"/>
      <c r="W69" s="42"/>
      <c r="X69" s="42"/>
      <c r="Y69" s="42"/>
      <c r="Z69" s="42"/>
      <c r="AA69" s="42"/>
      <c r="AB69" s="42"/>
      <c r="AC69" s="42"/>
      <c r="AD69" s="242"/>
      <c r="AE69" s="242"/>
      <c r="AF69" s="242"/>
      <c r="AH69" s="242"/>
      <c r="AI69" s="242"/>
      <c r="AJ69" s="240"/>
      <c r="AK69" s="242"/>
      <c r="AL69" s="242"/>
      <c r="AM69" s="242"/>
    </row>
    <row r="70" spans="6:39" s="33" customFormat="1" x14ac:dyDescent="0.25">
      <c r="F70" s="42"/>
      <c r="G70" s="42"/>
      <c r="H70" s="42"/>
      <c r="I70" s="187"/>
      <c r="J70" s="42"/>
      <c r="K70" s="42"/>
      <c r="L70" s="42"/>
      <c r="M70" s="42"/>
      <c r="N70" s="42"/>
      <c r="O70" s="187"/>
      <c r="P70" s="42"/>
      <c r="Q70" s="42"/>
      <c r="R70" s="42"/>
      <c r="S70" s="42"/>
      <c r="T70" s="42"/>
      <c r="U70" s="42"/>
      <c r="V70" s="42"/>
      <c r="W70" s="42"/>
      <c r="X70" s="42"/>
      <c r="Y70" s="42"/>
      <c r="Z70" s="42"/>
      <c r="AA70" s="42"/>
      <c r="AB70" s="42"/>
      <c r="AC70" s="42"/>
      <c r="AD70" s="363"/>
      <c r="AE70" s="363"/>
      <c r="AF70" s="363"/>
      <c r="AG70" s="242"/>
      <c r="AH70" s="363"/>
      <c r="AI70" s="363"/>
      <c r="AJ70" s="240"/>
      <c r="AK70" s="239"/>
      <c r="AL70" s="239"/>
      <c r="AM70" s="239"/>
    </row>
    <row r="71" spans="6:39" s="242" customFormat="1" ht="15" customHeight="1" x14ac:dyDescent="0.25">
      <c r="F71" s="42"/>
      <c r="G71" s="402"/>
      <c r="H71" s="42"/>
      <c r="I71" s="42"/>
      <c r="J71" s="42"/>
      <c r="K71" s="42"/>
      <c r="L71" s="42"/>
      <c r="M71" s="402"/>
      <c r="N71" s="42"/>
      <c r="O71" s="42"/>
      <c r="P71" s="42"/>
      <c r="Q71" s="42"/>
      <c r="R71" s="42"/>
      <c r="S71" s="402"/>
      <c r="T71" s="42"/>
      <c r="U71" s="42"/>
      <c r="V71" s="42"/>
      <c r="W71" s="42"/>
      <c r="X71" s="42"/>
      <c r="Y71" s="402"/>
      <c r="Z71" s="42"/>
      <c r="AA71" s="42"/>
      <c r="AB71" s="42"/>
      <c r="AC71" s="42"/>
      <c r="AD71" s="363"/>
      <c r="AE71" s="363"/>
      <c r="AF71" s="363"/>
      <c r="AH71" s="363"/>
      <c r="AI71" s="363"/>
      <c r="AK71" s="309"/>
      <c r="AL71" s="309"/>
      <c r="AM71" s="309"/>
    </row>
    <row r="72" spans="6:39" s="242" customFormat="1" x14ac:dyDescent="0.25">
      <c r="F72" s="42"/>
      <c r="G72" s="403"/>
      <c r="H72" s="42"/>
      <c r="I72" s="42"/>
      <c r="J72" s="42"/>
      <c r="K72" s="42"/>
      <c r="L72" s="42"/>
      <c r="M72" s="403"/>
      <c r="N72" s="42"/>
      <c r="O72" s="42"/>
      <c r="P72" s="42"/>
      <c r="Q72" s="42"/>
      <c r="R72" s="42"/>
      <c r="S72" s="403"/>
      <c r="T72" s="42"/>
      <c r="U72" s="42"/>
      <c r="V72" s="42"/>
      <c r="W72" s="42"/>
      <c r="X72" s="42"/>
      <c r="Y72" s="403"/>
      <c r="Z72" s="42"/>
      <c r="AA72" s="42"/>
      <c r="AB72" s="42"/>
      <c r="AC72" s="42"/>
      <c r="AJ72" s="239"/>
      <c r="AK72" s="309"/>
      <c r="AL72" s="309"/>
      <c r="AM72" s="309"/>
    </row>
    <row r="73" spans="6:39" s="363" customFormat="1" x14ac:dyDescent="0.25">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309"/>
      <c r="AK73" s="239"/>
      <c r="AL73" s="239"/>
      <c r="AM73" s="239"/>
    </row>
    <row r="74" spans="6:39" s="363" customFormat="1" x14ac:dyDescent="0.25">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309"/>
      <c r="AK74" s="242"/>
      <c r="AL74" s="242"/>
      <c r="AM74" s="242"/>
    </row>
    <row r="75" spans="6:39" s="33" customFormat="1" x14ac:dyDescent="0.25">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239"/>
      <c r="AK75" s="242"/>
      <c r="AL75" s="242"/>
      <c r="AM75" s="242"/>
    </row>
    <row r="76" spans="6:39" s="33" customFormat="1" x14ac:dyDescent="0.25">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242"/>
      <c r="AK76" s="242"/>
      <c r="AL76" s="242"/>
      <c r="AM76" s="242"/>
    </row>
    <row r="77" spans="6:39" s="33" customFormat="1" x14ac:dyDescent="0.25">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242"/>
    </row>
    <row r="78" spans="6:39" s="33" customFormat="1" x14ac:dyDescent="0.25">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242"/>
      <c r="AK78" s="42"/>
      <c r="AL78" s="42"/>
      <c r="AM78" s="42"/>
    </row>
    <row r="79" spans="6:39" s="33" customFormat="1" x14ac:dyDescent="0.25">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K79" s="42"/>
      <c r="AL79" s="42"/>
      <c r="AM79" s="42"/>
    </row>
    <row r="80" spans="6:39" s="33" customFormat="1" x14ac:dyDescent="0.25">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K80" s="42"/>
      <c r="AL80" s="42"/>
      <c r="AM80" s="42"/>
    </row>
    <row r="81" spans="6:39" s="33" customFormat="1" x14ac:dyDescent="0.25">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K81" s="42"/>
      <c r="AL81" s="42"/>
      <c r="AM81" s="42"/>
    </row>
    <row r="82" spans="6:39" s="33" customFormat="1" x14ac:dyDescent="0.25">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K82" s="42"/>
      <c r="AL82" s="42"/>
      <c r="AM82" s="42"/>
    </row>
    <row r="83" spans="6:39" s="33" customFormat="1" x14ac:dyDescent="0.25">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K83" s="42"/>
      <c r="AL83" s="42"/>
      <c r="AM83" s="42"/>
    </row>
    <row r="84" spans="6:39" x14ac:dyDescent="0.25">
      <c r="AF84" s="42"/>
      <c r="AJ84" s="33"/>
    </row>
    <row r="85" spans="6:39" x14ac:dyDescent="0.25">
      <c r="AF85" s="42"/>
      <c r="AJ85" s="33"/>
    </row>
    <row r="86" spans="6:39" x14ac:dyDescent="0.25">
      <c r="AF86" s="42"/>
    </row>
    <row r="87" spans="6:39" x14ac:dyDescent="0.25">
      <c r="AF87" s="42"/>
      <c r="AK87" s="33"/>
      <c r="AL87" s="33"/>
      <c r="AM87" s="33"/>
    </row>
    <row r="88" spans="6:39" x14ac:dyDescent="0.25">
      <c r="AF88" s="42"/>
      <c r="AK88" s="242"/>
      <c r="AL88" s="242"/>
      <c r="AM88" s="242"/>
    </row>
    <row r="89" spans="6:39" x14ac:dyDescent="0.25">
      <c r="AF89" s="42"/>
    </row>
    <row r="90" spans="6:39" x14ac:dyDescent="0.25">
      <c r="AF90" s="42"/>
    </row>
    <row r="91" spans="6:39" x14ac:dyDescent="0.25">
      <c r="AF91" s="42"/>
    </row>
    <row r="92" spans="6:39" x14ac:dyDescent="0.25">
      <c r="AF92" s="42"/>
    </row>
    <row r="93" spans="6:39" x14ac:dyDescent="0.25">
      <c r="AF93" s="42"/>
    </row>
    <row r="94" spans="6:39" x14ac:dyDescent="0.25">
      <c r="AF94" s="42"/>
    </row>
    <row r="95" spans="6:39" x14ac:dyDescent="0.25">
      <c r="AF95" s="42"/>
      <c r="AJ95" s="242"/>
    </row>
    <row r="96" spans="6:39" x14ac:dyDescent="0.25">
      <c r="AJ96" s="242"/>
    </row>
    <row r="112" spans="37:39" x14ac:dyDescent="0.25">
      <c r="AK112" s="33"/>
      <c r="AL112" s="33"/>
      <c r="AM112" s="33"/>
    </row>
    <row r="113" spans="36:39" x14ac:dyDescent="0.25">
      <c r="AK113" s="33"/>
      <c r="AL113" s="33"/>
      <c r="AM113" s="33"/>
    </row>
    <row r="114" spans="36:39" x14ac:dyDescent="0.25">
      <c r="AK114" s="33"/>
      <c r="AL114" s="33"/>
      <c r="AM114" s="33"/>
    </row>
    <row r="120" spans="36:39" x14ac:dyDescent="0.25">
      <c r="AJ120" s="33"/>
    </row>
    <row r="121" spans="36:39" x14ac:dyDescent="0.25">
      <c r="AJ121" s="33"/>
    </row>
    <row r="122" spans="36:39" x14ac:dyDescent="0.25">
      <c r="AJ122" s="33"/>
    </row>
  </sheetData>
  <mergeCells count="33">
    <mergeCell ref="AD1:AF1"/>
    <mergeCell ref="G10:G11"/>
    <mergeCell ref="M10:M11"/>
    <mergeCell ref="S10:S11"/>
    <mergeCell ref="Y10:Y11"/>
    <mergeCell ref="F3:J3"/>
    <mergeCell ref="F4:J4"/>
    <mergeCell ref="L3:P3"/>
    <mergeCell ref="R3:V3"/>
    <mergeCell ref="X3:AB3"/>
    <mergeCell ref="AD3:AI3"/>
    <mergeCell ref="L4:P4"/>
    <mergeCell ref="R4:V4"/>
    <mergeCell ref="X4:AB4"/>
    <mergeCell ref="AD38:AI38"/>
    <mergeCell ref="F55:G55"/>
    <mergeCell ref="L55:M55"/>
    <mergeCell ref="F37:J37"/>
    <mergeCell ref="L38:P38"/>
    <mergeCell ref="F38:J38"/>
    <mergeCell ref="AI47:AI48"/>
    <mergeCell ref="F20:G20"/>
    <mergeCell ref="L20:M20"/>
    <mergeCell ref="R20:S20"/>
    <mergeCell ref="X20:Y20"/>
    <mergeCell ref="F53:G53"/>
    <mergeCell ref="F22:G22"/>
    <mergeCell ref="L22:M22"/>
    <mergeCell ref="R22:S22"/>
    <mergeCell ref="X22:Y22"/>
    <mergeCell ref="L53:M53"/>
    <mergeCell ref="R53:S53"/>
    <mergeCell ref="X53:Y53"/>
  </mergeCells>
  <pageMargins left="0.75" right="0.75" top="0.42" bottom="0.41" header="0.17" footer="0.18"/>
  <pageSetup paperSize="5" scale="35" fitToHeight="0" orientation="landscape" r:id="rId1"/>
  <headerFooter alignWithMargins="0">
    <oddHeader>&amp;C&amp;A</oddHeader>
    <oddFooter>&amp;C&amp;F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CCA1-FE32-48FE-8257-2BC663DF5E8D}">
  <sheetPr>
    <pageSetUpPr fitToPage="1"/>
  </sheetPr>
  <dimension ref="A1:AK103"/>
  <sheetViews>
    <sheetView topLeftCell="R1" zoomScale="90" zoomScaleNormal="90" workbookViewId="0">
      <pane activePane="bottomRight" state="frozen"/>
      <selection activeCell="AJ22" sqref="AJ22"/>
    </sheetView>
  </sheetViews>
  <sheetFormatPr defaultColWidth="7.75" defaultRowHeight="12.75" x14ac:dyDescent="0.2"/>
  <cols>
    <col min="1" max="1" width="4.625" style="58" customWidth="1"/>
    <col min="2" max="2" width="10.375" style="58" customWidth="1"/>
    <col min="3" max="3" width="12.625" style="58" customWidth="1"/>
    <col min="4" max="4" width="9.25" style="58" customWidth="1"/>
    <col min="5" max="5" width="30.625" style="58" customWidth="1"/>
    <col min="6" max="6" width="5.25" style="58" bestFit="1" customWidth="1"/>
    <col min="7" max="7" width="7.75" style="58" customWidth="1"/>
    <col min="8" max="8" width="7.375" style="60" customWidth="1"/>
    <col min="9" max="9" width="10.5" style="58" customWidth="1"/>
    <col min="10" max="10" width="3.25" style="58" customWidth="1"/>
    <col min="11" max="11" width="27.5" style="58" customWidth="1"/>
    <col min="12" max="12" width="5.25" style="58" bestFit="1" customWidth="1"/>
    <col min="13" max="13" width="7" style="58" customWidth="1"/>
    <col min="14" max="14" width="7.125" style="60" customWidth="1"/>
    <col min="15" max="15" width="11.125" style="58" bestFit="1" customWidth="1"/>
    <col min="16" max="16" width="3.875" style="59" customWidth="1"/>
    <col min="17" max="17" width="27.5" style="60" customWidth="1"/>
    <col min="18" max="18" width="3.5" style="61" bestFit="1" customWidth="1"/>
    <col min="19" max="19" width="7.375" style="61" bestFit="1" customWidth="1"/>
    <col min="20" max="20" width="6.875" style="58" customWidth="1"/>
    <col min="21" max="21" width="10.625" style="58" bestFit="1" customWidth="1"/>
    <col min="22" max="22" width="3.125" style="58" customWidth="1"/>
    <col min="23" max="23" width="26.25" style="58" bestFit="1" customWidth="1"/>
    <col min="24" max="24" width="5.5" style="58" customWidth="1"/>
    <col min="25" max="25" width="7.375" style="58" bestFit="1" customWidth="1"/>
    <col min="26" max="26" width="9.125" style="58" bestFit="1" customWidth="1"/>
    <col min="27" max="27" width="10.625" style="58" bestFit="1" customWidth="1"/>
    <col min="28" max="28" width="3.5" style="58" customWidth="1"/>
    <col min="29" max="29" width="26.25" style="58" bestFit="1" customWidth="1"/>
    <col min="30" max="30" width="3.5" style="58" bestFit="1" customWidth="1"/>
    <col min="31" max="31" width="7.75" style="58"/>
    <col min="32" max="32" width="9.125" style="58" bestFit="1" customWidth="1"/>
    <col min="33" max="33" width="10.625" style="58" bestFit="1" customWidth="1"/>
    <col min="34" max="34" width="7.75" style="58"/>
    <col min="35" max="35" width="39.875" style="58" bestFit="1" customWidth="1"/>
    <col min="36" max="36" width="7.75" style="58"/>
    <col min="37" max="37" width="55.625" style="58" bestFit="1" customWidth="1"/>
    <col min="38" max="16384" width="7.75" style="58"/>
  </cols>
  <sheetData>
    <row r="1" spans="3:37" ht="18" customHeight="1" x14ac:dyDescent="0.2"/>
    <row r="2" spans="3:37" ht="21" customHeight="1" thickBot="1" x14ac:dyDescent="0.25"/>
    <row r="3" spans="3:37" ht="23.25" customHeight="1" thickBot="1" x14ac:dyDescent="0.25">
      <c r="C3" s="62"/>
      <c r="D3" s="62"/>
      <c r="E3" s="1073" t="s">
        <v>264</v>
      </c>
      <c r="F3" s="1074"/>
      <c r="G3" s="1074"/>
      <c r="H3" s="1074"/>
      <c r="I3" s="1075"/>
      <c r="K3" s="1073" t="s">
        <v>265</v>
      </c>
      <c r="L3" s="1074"/>
      <c r="M3" s="1074"/>
      <c r="N3" s="1074"/>
      <c r="O3" s="1075"/>
      <c r="Q3" s="1073" t="s">
        <v>303</v>
      </c>
      <c r="R3" s="1074"/>
      <c r="S3" s="1074"/>
      <c r="T3" s="1074"/>
      <c r="U3" s="1075"/>
      <c r="W3" s="1073" t="s">
        <v>304</v>
      </c>
      <c r="X3" s="1074"/>
      <c r="Y3" s="1074"/>
      <c r="Z3" s="1074"/>
      <c r="AA3" s="1075"/>
      <c r="AC3" s="1073" t="s">
        <v>305</v>
      </c>
      <c r="AD3" s="1074"/>
      <c r="AE3" s="1074"/>
      <c r="AF3" s="1074"/>
      <c r="AG3" s="1075"/>
      <c r="AI3" s="1073" t="s">
        <v>263</v>
      </c>
      <c r="AJ3" s="1074"/>
      <c r="AK3" s="1075"/>
    </row>
    <row r="4" spans="3:37" s="69" customFormat="1" ht="18.75" customHeight="1" x14ac:dyDescent="0.2">
      <c r="C4" s="63"/>
      <c r="D4" s="63"/>
      <c r="E4" s="64" t="s">
        <v>268</v>
      </c>
      <c r="F4" s="65">
        <v>154</v>
      </c>
      <c r="G4" s="66"/>
      <c r="H4" s="67" t="s">
        <v>269</v>
      </c>
      <c r="I4" s="68">
        <f>F4*F5</f>
        <v>41888</v>
      </c>
      <c r="K4" s="64" t="s">
        <v>268</v>
      </c>
      <c r="L4" s="65">
        <v>158</v>
      </c>
      <c r="M4" s="66"/>
      <c r="N4" s="67" t="s">
        <v>269</v>
      </c>
      <c r="O4" s="68">
        <f>L5*L4</f>
        <v>42976</v>
      </c>
      <c r="P4" s="70"/>
      <c r="Q4" s="64" t="s">
        <v>268</v>
      </c>
      <c r="R4" s="65">
        <v>137</v>
      </c>
      <c r="S4" s="66"/>
      <c r="T4" s="67" t="s">
        <v>269</v>
      </c>
      <c r="U4" s="68">
        <f>R5*R4</f>
        <v>37264</v>
      </c>
      <c r="V4" s="58"/>
      <c r="W4" s="64" t="s">
        <v>268</v>
      </c>
      <c r="X4" s="65">
        <v>111</v>
      </c>
      <c r="Y4" s="66"/>
      <c r="Z4" s="67" t="s">
        <v>269</v>
      </c>
      <c r="AA4" s="68">
        <f>X5*X4</f>
        <v>30192</v>
      </c>
      <c r="AB4" s="58"/>
      <c r="AC4" s="64" t="s">
        <v>268</v>
      </c>
      <c r="AD4" s="65">
        <v>114</v>
      </c>
      <c r="AE4" s="66"/>
      <c r="AF4" s="67" t="s">
        <v>269</v>
      </c>
      <c r="AG4" s="68">
        <f>AD5*AD4</f>
        <v>31008</v>
      </c>
      <c r="AI4" s="1070" t="s">
        <v>266</v>
      </c>
      <c r="AJ4" s="1071"/>
      <c r="AK4" s="140" t="s">
        <v>267</v>
      </c>
    </row>
    <row r="5" spans="3:37" x14ac:dyDescent="0.2">
      <c r="C5" s="72"/>
      <c r="D5" s="72"/>
      <c r="E5" s="73" t="s">
        <v>271</v>
      </c>
      <c r="F5" s="74">
        <v>272</v>
      </c>
      <c r="I5" s="75"/>
      <c r="K5" s="73" t="s">
        <v>271</v>
      </c>
      <c r="L5" s="74">
        <v>272</v>
      </c>
      <c r="O5" s="75"/>
      <c r="Q5" s="73" t="s">
        <v>271</v>
      </c>
      <c r="R5" s="74">
        <v>272</v>
      </c>
      <c r="S5" s="58"/>
      <c r="T5" s="60"/>
      <c r="U5" s="75"/>
      <c r="V5" s="126"/>
      <c r="W5" s="73" t="s">
        <v>271</v>
      </c>
      <c r="X5" s="74">
        <v>272</v>
      </c>
      <c r="Z5" s="60"/>
      <c r="AA5" s="75"/>
      <c r="AC5" s="73" t="s">
        <v>271</v>
      </c>
      <c r="AD5" s="74">
        <v>272</v>
      </c>
      <c r="AF5" s="60"/>
      <c r="AG5" s="75"/>
      <c r="AI5" s="71" t="s">
        <v>270</v>
      </c>
      <c r="AJ5" s="146">
        <f>'M2022 BLS  (53_PCT)'!C22</f>
        <v>79415.232000000018</v>
      </c>
      <c r="AK5" s="139" t="s">
        <v>519</v>
      </c>
    </row>
    <row r="6" spans="3:37" ht="15" customHeight="1" x14ac:dyDescent="0.2">
      <c r="C6" s="72"/>
      <c r="D6" s="72"/>
      <c r="E6" s="76"/>
      <c r="F6" s="77"/>
      <c r="G6" s="78" t="s">
        <v>66</v>
      </c>
      <c r="H6" s="78" t="s">
        <v>67</v>
      </c>
      <c r="I6" s="79" t="s">
        <v>68</v>
      </c>
      <c r="K6" s="76"/>
      <c r="L6" s="77"/>
      <c r="M6" s="78" t="s">
        <v>66</v>
      </c>
      <c r="N6" s="78" t="s">
        <v>67</v>
      </c>
      <c r="O6" s="79" t="s">
        <v>68</v>
      </c>
      <c r="Q6" s="76"/>
      <c r="R6" s="77"/>
      <c r="S6" s="78" t="s">
        <v>66</v>
      </c>
      <c r="T6" s="78" t="s">
        <v>67</v>
      </c>
      <c r="U6" s="79" t="s">
        <v>68</v>
      </c>
      <c r="W6" s="76"/>
      <c r="X6" s="77"/>
      <c r="Y6" s="78" t="s">
        <v>66</v>
      </c>
      <c r="Z6" s="78" t="s">
        <v>67</v>
      </c>
      <c r="AA6" s="129" t="s">
        <v>68</v>
      </c>
      <c r="AC6" s="76"/>
      <c r="AD6" s="77"/>
      <c r="AE6" s="78" t="s">
        <v>66</v>
      </c>
      <c r="AF6" s="78" t="s">
        <v>67</v>
      </c>
      <c r="AG6" s="79" t="s">
        <v>68</v>
      </c>
      <c r="AI6" s="71" t="s">
        <v>272</v>
      </c>
      <c r="AJ6" s="146">
        <f>AJ5</f>
        <v>79415.232000000018</v>
      </c>
      <c r="AK6" s="139" t="s">
        <v>519</v>
      </c>
    </row>
    <row r="7" spans="3:37" ht="15.75" customHeight="1" x14ac:dyDescent="0.2">
      <c r="C7" s="80"/>
      <c r="D7" s="80"/>
      <c r="E7" s="81" t="s">
        <v>274</v>
      </c>
      <c r="F7" s="82"/>
      <c r="G7" s="83"/>
      <c r="H7" s="83"/>
      <c r="I7" s="84"/>
      <c r="K7" s="81" t="s">
        <v>274</v>
      </c>
      <c r="L7" s="82"/>
      <c r="M7" s="83"/>
      <c r="N7" s="83"/>
      <c r="O7" s="84"/>
      <c r="Q7" s="81" t="s">
        <v>274</v>
      </c>
      <c r="R7" s="82"/>
      <c r="S7" s="83"/>
      <c r="T7" s="83"/>
      <c r="U7" s="84"/>
      <c r="V7" s="69"/>
      <c r="W7" s="81" t="s">
        <v>274</v>
      </c>
      <c r="X7" s="82"/>
      <c r="Y7" s="83"/>
      <c r="Z7" s="83"/>
      <c r="AA7" s="84"/>
      <c r="AC7" s="81" t="s">
        <v>274</v>
      </c>
      <c r="AD7" s="82"/>
      <c r="AE7" s="83"/>
      <c r="AF7" s="83"/>
      <c r="AG7" s="84"/>
      <c r="AI7" s="71" t="s">
        <v>273</v>
      </c>
      <c r="AJ7" s="146">
        <f>'M2022 BLS  (53_PCT)'!C28</f>
        <v>101383.77600000001</v>
      </c>
      <c r="AK7" s="139" t="s">
        <v>519</v>
      </c>
    </row>
    <row r="8" spans="3:37" ht="17.25" customHeight="1" x14ac:dyDescent="0.2">
      <c r="C8" s="80"/>
      <c r="D8" s="80"/>
      <c r="E8" s="85" t="str">
        <f>AI5</f>
        <v>Regional Management Oversight</v>
      </c>
      <c r="F8" s="82"/>
      <c r="G8" s="86">
        <f>AJ5</f>
        <v>79415.232000000018</v>
      </c>
      <c r="H8" s="87">
        <f>AJ12</f>
        <v>0.15</v>
      </c>
      <c r="I8" s="88">
        <f>G8*H8</f>
        <v>11912.284800000003</v>
      </c>
      <c r="K8" s="85" t="s">
        <v>270</v>
      </c>
      <c r="L8" s="82"/>
      <c r="M8" s="86">
        <f>G8</f>
        <v>79415.232000000018</v>
      </c>
      <c r="N8" s="87">
        <f>H8</f>
        <v>0.15</v>
      </c>
      <c r="O8" s="88">
        <f>M8*N8</f>
        <v>11912.284800000003</v>
      </c>
      <c r="Q8" s="85" t="s">
        <v>270</v>
      </c>
      <c r="R8" s="82"/>
      <c r="S8" s="86">
        <f>G8</f>
        <v>79415.232000000018</v>
      </c>
      <c r="T8" s="87">
        <v>0.15</v>
      </c>
      <c r="U8" s="88">
        <f>T8*S8</f>
        <v>11912.284800000003</v>
      </c>
      <c r="W8" s="85" t="s">
        <v>270</v>
      </c>
      <c r="X8" s="82"/>
      <c r="Y8" s="86">
        <f>S8</f>
        <v>79415.232000000018</v>
      </c>
      <c r="Z8" s="87">
        <v>0.15</v>
      </c>
      <c r="AA8" s="88">
        <f>Z8*Y8</f>
        <v>11912.284800000003</v>
      </c>
      <c r="AC8" s="85" t="s">
        <v>270</v>
      </c>
      <c r="AD8" s="82"/>
      <c r="AE8" s="86">
        <f>S8</f>
        <v>79415.232000000018</v>
      </c>
      <c r="AF8" s="87">
        <v>0.15</v>
      </c>
      <c r="AG8" s="88">
        <f>AF8*AE8</f>
        <v>11912.284800000003</v>
      </c>
      <c r="AI8" s="71" t="s">
        <v>275</v>
      </c>
      <c r="AJ8" s="146">
        <f>'M2022 BLS  (53_PCT)'!C28</f>
        <v>101383.77600000001</v>
      </c>
      <c r="AK8" s="139" t="s">
        <v>543</v>
      </c>
    </row>
    <row r="9" spans="3:37" ht="19.5" customHeight="1" x14ac:dyDescent="0.2">
      <c r="C9" s="72"/>
      <c r="D9" s="72"/>
      <c r="E9" s="85" t="str">
        <f>AI6</f>
        <v>Regional Manager</v>
      </c>
      <c r="G9" s="86">
        <f>AJ6</f>
        <v>79415.232000000018</v>
      </c>
      <c r="H9" s="87">
        <f>AJ13</f>
        <v>1</v>
      </c>
      <c r="I9" s="88">
        <f>G9*H9</f>
        <v>79415.232000000018</v>
      </c>
      <c r="K9" s="85" t="s">
        <v>272</v>
      </c>
      <c r="M9" s="86">
        <f t="shared" ref="M9:N11" si="0">G9</f>
        <v>79415.232000000018</v>
      </c>
      <c r="N9" s="87">
        <f t="shared" si="0"/>
        <v>1</v>
      </c>
      <c r="O9" s="88">
        <f>M9*N9</f>
        <v>79415.232000000018</v>
      </c>
      <c r="Q9" s="85" t="s">
        <v>272</v>
      </c>
      <c r="R9" s="58"/>
      <c r="S9" s="86">
        <f>G9</f>
        <v>79415.232000000018</v>
      </c>
      <c r="T9" s="87">
        <v>1</v>
      </c>
      <c r="U9" s="88">
        <f t="shared" ref="U9:U13" si="1">T9*S9</f>
        <v>79415.232000000018</v>
      </c>
      <c r="W9" s="85" t="s">
        <v>272</v>
      </c>
      <c r="Y9" s="86">
        <f>S9</f>
        <v>79415.232000000018</v>
      </c>
      <c r="Z9" s="87">
        <v>1</v>
      </c>
      <c r="AA9" s="88">
        <f t="shared" ref="AA9:AA13" si="2">Z9*Y9</f>
        <v>79415.232000000018</v>
      </c>
      <c r="AB9" s="59"/>
      <c r="AC9" s="85" t="s">
        <v>272</v>
      </c>
      <c r="AE9" s="86">
        <f>S9</f>
        <v>79415.232000000018</v>
      </c>
      <c r="AF9" s="87">
        <v>1</v>
      </c>
      <c r="AG9" s="88">
        <f t="shared" ref="AG9:AG11" si="3">AF9*AE9</f>
        <v>79415.232000000018</v>
      </c>
      <c r="AI9" s="71" t="s">
        <v>276</v>
      </c>
      <c r="AJ9" s="146">
        <f>'M2022 BLS  (53_PCT)'!C8</f>
        <v>53206.566400000003</v>
      </c>
      <c r="AK9" s="139" t="s">
        <v>519</v>
      </c>
    </row>
    <row r="10" spans="3:37" ht="25.5" x14ac:dyDescent="0.2">
      <c r="C10" s="72"/>
      <c r="D10" s="72"/>
      <c r="E10" s="90" t="str">
        <f>AI7</f>
        <v xml:space="preserve">Community Clinical Coordinator (Clinical Director) </v>
      </c>
      <c r="G10" s="86">
        <f>AJ7</f>
        <v>101383.77600000001</v>
      </c>
      <c r="H10" s="87">
        <f>AJ14</f>
        <v>1</v>
      </c>
      <c r="I10" s="88">
        <f>G10*H10</f>
        <v>101383.77600000001</v>
      </c>
      <c r="K10" s="90" t="s">
        <v>273</v>
      </c>
      <c r="M10" s="86">
        <f t="shared" si="0"/>
        <v>101383.77600000001</v>
      </c>
      <c r="N10" s="87">
        <f t="shared" si="0"/>
        <v>1</v>
      </c>
      <c r="O10" s="88">
        <f>M10*N10</f>
        <v>101383.77600000001</v>
      </c>
      <c r="Q10" s="90" t="s">
        <v>273</v>
      </c>
      <c r="R10" s="58"/>
      <c r="S10" s="86">
        <f>G10</f>
        <v>101383.77600000001</v>
      </c>
      <c r="T10" s="87">
        <v>1</v>
      </c>
      <c r="U10" s="88">
        <f t="shared" si="1"/>
        <v>101383.77600000001</v>
      </c>
      <c r="W10" s="90" t="s">
        <v>273</v>
      </c>
      <c r="Y10" s="86">
        <f>S10</f>
        <v>101383.77600000001</v>
      </c>
      <c r="Z10" s="87">
        <v>1</v>
      </c>
      <c r="AA10" s="88">
        <f t="shared" si="2"/>
        <v>101383.77600000001</v>
      </c>
      <c r="AB10" s="59"/>
      <c r="AC10" s="90" t="s">
        <v>273</v>
      </c>
      <c r="AE10" s="86">
        <f>S10</f>
        <v>101383.77600000001</v>
      </c>
      <c r="AF10" s="87">
        <v>1</v>
      </c>
      <c r="AG10" s="88">
        <f t="shared" si="3"/>
        <v>101383.77600000001</v>
      </c>
      <c r="AI10" s="89"/>
      <c r="AJ10" s="147" t="s">
        <v>277</v>
      </c>
      <c r="AK10" s="142"/>
    </row>
    <row r="11" spans="3:37" ht="14.25" customHeight="1" x14ac:dyDescent="0.2">
      <c r="C11" s="72"/>
      <c r="D11" s="72"/>
      <c r="E11" s="92" t="str">
        <f>AI8</f>
        <v xml:space="preserve">Family Engagement Specialist </v>
      </c>
      <c r="F11" s="93"/>
      <c r="G11" s="94">
        <v>80606</v>
      </c>
      <c r="H11" s="95">
        <f>AJ15</f>
        <v>1</v>
      </c>
      <c r="I11" s="96">
        <f>G11*H11</f>
        <v>80606</v>
      </c>
      <c r="K11" s="92" t="s">
        <v>275</v>
      </c>
      <c r="L11" s="93"/>
      <c r="M11" s="94">
        <f t="shared" si="0"/>
        <v>80606</v>
      </c>
      <c r="N11" s="95">
        <f t="shared" si="0"/>
        <v>1</v>
      </c>
      <c r="O11" s="96">
        <f>M11*N11</f>
        <v>80606</v>
      </c>
      <c r="Q11" s="92" t="s">
        <v>275</v>
      </c>
      <c r="R11" s="93"/>
      <c r="S11" s="94">
        <f>G11</f>
        <v>80606</v>
      </c>
      <c r="T11" s="95">
        <v>1</v>
      </c>
      <c r="U11" s="96">
        <f t="shared" si="1"/>
        <v>80606</v>
      </c>
      <c r="W11" s="92" t="s">
        <v>275</v>
      </c>
      <c r="X11" s="93"/>
      <c r="Y11" s="94">
        <f>S11</f>
        <v>80606</v>
      </c>
      <c r="Z11" s="95">
        <v>1</v>
      </c>
      <c r="AA11" s="96">
        <f t="shared" si="2"/>
        <v>80606</v>
      </c>
      <c r="AB11" s="59"/>
      <c r="AC11" s="92" t="s">
        <v>275</v>
      </c>
      <c r="AD11" s="93"/>
      <c r="AE11" s="94">
        <f>S11</f>
        <v>80606</v>
      </c>
      <c r="AF11" s="95">
        <v>1</v>
      </c>
      <c r="AG11" s="96">
        <f t="shared" si="3"/>
        <v>80606</v>
      </c>
      <c r="AI11" s="91" t="s">
        <v>84</v>
      </c>
      <c r="AJ11" s="148" t="s">
        <v>278</v>
      </c>
      <c r="AK11" s="143"/>
    </row>
    <row r="12" spans="3:37" x14ac:dyDescent="0.2">
      <c r="C12" s="72"/>
      <c r="D12" s="72"/>
      <c r="E12" s="97" t="s">
        <v>280</v>
      </c>
      <c r="G12" s="86"/>
      <c r="H12" s="87"/>
      <c r="I12" s="88"/>
      <c r="K12" s="97" t="s">
        <v>280</v>
      </c>
      <c r="M12" s="86"/>
      <c r="N12" s="87"/>
      <c r="O12" s="88"/>
      <c r="Q12" s="97" t="s">
        <v>280</v>
      </c>
      <c r="R12" s="58"/>
      <c r="S12" s="86"/>
      <c r="T12" s="87"/>
      <c r="U12" s="88"/>
      <c r="W12" s="97" t="s">
        <v>280</v>
      </c>
      <c r="Y12" s="86"/>
      <c r="Z12" s="87"/>
      <c r="AA12" s="88"/>
      <c r="AB12" s="59"/>
      <c r="AC12" s="97" t="s">
        <v>280</v>
      </c>
      <c r="AE12" s="86"/>
      <c r="AF12" s="87"/>
      <c r="AG12" s="88"/>
      <c r="AI12" s="71" t="s">
        <v>270</v>
      </c>
      <c r="AJ12" s="149">
        <v>0.15</v>
      </c>
      <c r="AK12" s="141" t="s">
        <v>279</v>
      </c>
    </row>
    <row r="13" spans="3:37" x14ac:dyDescent="0.2">
      <c r="C13" s="72"/>
      <c r="D13" s="72"/>
      <c r="E13" s="85" t="s">
        <v>281</v>
      </c>
      <c r="G13" s="86">
        <f>AJ9</f>
        <v>53206.566400000003</v>
      </c>
      <c r="H13" s="87">
        <v>7</v>
      </c>
      <c r="I13" s="88">
        <f>G13*H13</f>
        <v>372445.96480000002</v>
      </c>
      <c r="K13" s="85" t="s">
        <v>281</v>
      </c>
      <c r="M13" s="86">
        <f>G13</f>
        <v>53206.566400000003</v>
      </c>
      <c r="N13" s="87">
        <v>7</v>
      </c>
      <c r="O13" s="88">
        <f>M13*N13</f>
        <v>372445.96480000002</v>
      </c>
      <c r="Q13" s="85" t="s">
        <v>281</v>
      </c>
      <c r="R13" s="58"/>
      <c r="S13" s="86">
        <f>G13</f>
        <v>53206.566400000003</v>
      </c>
      <c r="T13" s="87">
        <v>7</v>
      </c>
      <c r="U13" s="88">
        <f t="shared" si="1"/>
        <v>372445.96480000002</v>
      </c>
      <c r="W13" s="85" t="s">
        <v>281</v>
      </c>
      <c r="Y13" s="86">
        <f>S13</f>
        <v>53206.566400000003</v>
      </c>
      <c r="Z13" s="87">
        <v>7</v>
      </c>
      <c r="AA13" s="88">
        <f t="shared" si="2"/>
        <v>372445.96480000002</v>
      </c>
      <c r="AB13" s="59"/>
      <c r="AC13" s="85" t="s">
        <v>281</v>
      </c>
      <c r="AE13" s="86">
        <f>S13</f>
        <v>53206.566400000003</v>
      </c>
      <c r="AF13" s="87">
        <v>7</v>
      </c>
      <c r="AG13" s="88">
        <f t="shared" ref="AG13" si="4">AF13*AE13</f>
        <v>372445.96480000002</v>
      </c>
      <c r="AI13" s="71" t="s">
        <v>272</v>
      </c>
      <c r="AJ13" s="149">
        <f>[22]RawContractData!BO9</f>
        <v>1</v>
      </c>
      <c r="AK13" s="141" t="s">
        <v>279</v>
      </c>
    </row>
    <row r="14" spans="3:37" x14ac:dyDescent="0.2">
      <c r="C14" s="72"/>
      <c r="D14" s="72"/>
      <c r="E14" s="85"/>
      <c r="G14" s="86"/>
      <c r="H14" s="87"/>
      <c r="I14" s="88"/>
      <c r="K14" s="85"/>
      <c r="M14" s="86"/>
      <c r="N14" s="87"/>
      <c r="O14" s="88"/>
      <c r="Q14" s="85"/>
      <c r="R14" s="58"/>
      <c r="S14" s="86"/>
      <c r="T14" s="87"/>
      <c r="U14" s="88"/>
      <c r="W14" s="85"/>
      <c r="Y14" s="86"/>
      <c r="Z14" s="87"/>
      <c r="AA14" s="88"/>
      <c r="AB14" s="59"/>
      <c r="AC14" s="85"/>
      <c r="AE14" s="86"/>
      <c r="AF14" s="87"/>
      <c r="AG14" s="88"/>
      <c r="AI14" s="71" t="s">
        <v>273</v>
      </c>
      <c r="AJ14" s="149">
        <v>1</v>
      </c>
      <c r="AK14" s="141" t="s">
        <v>279</v>
      </c>
    </row>
    <row r="15" spans="3:37" x14ac:dyDescent="0.2">
      <c r="C15" s="72"/>
      <c r="D15" s="72"/>
      <c r="E15" s="589" t="s">
        <v>538</v>
      </c>
      <c r="F15" s="585"/>
      <c r="G15" s="586"/>
      <c r="H15" s="587">
        <f>SUM(H8:H13)</f>
        <v>10.15</v>
      </c>
      <c r="I15" s="588">
        <f>SUM(I8:I14)</f>
        <v>645763.25760000013</v>
      </c>
      <c r="K15" s="589" t="s">
        <v>538</v>
      </c>
      <c r="L15" s="585"/>
      <c r="M15" s="586"/>
      <c r="N15" s="587">
        <f>SUM(N8:N13)</f>
        <v>10.15</v>
      </c>
      <c r="O15" s="588">
        <f>SUM(O8:O14)</f>
        <v>645763.25760000013</v>
      </c>
      <c r="Q15" s="589" t="s">
        <v>538</v>
      </c>
      <c r="R15" s="585"/>
      <c r="S15" s="586"/>
      <c r="T15" s="587">
        <f>SUM(T8:T13)</f>
        <v>10.15</v>
      </c>
      <c r="U15" s="588">
        <f>SUM(U8:U14)</f>
        <v>645763.25760000013</v>
      </c>
      <c r="W15" s="589" t="s">
        <v>538</v>
      </c>
      <c r="X15" s="585"/>
      <c r="Y15" s="586"/>
      <c r="Z15" s="587">
        <f>SUM(Z8:Z13)</f>
        <v>10.15</v>
      </c>
      <c r="AA15" s="588">
        <f>SUM(AA8:AA14)</f>
        <v>645763.25760000013</v>
      </c>
      <c r="AB15" s="59"/>
      <c r="AC15" s="589" t="s">
        <v>538</v>
      </c>
      <c r="AD15" s="585"/>
      <c r="AE15" s="586"/>
      <c r="AF15" s="587">
        <f>SUM(AF8:AF13)</f>
        <v>10.15</v>
      </c>
      <c r="AG15" s="588">
        <f>SUM(AG8:AG14)</f>
        <v>645763.25760000013</v>
      </c>
      <c r="AI15" s="71" t="s">
        <v>275</v>
      </c>
      <c r="AJ15" s="149">
        <v>1</v>
      </c>
      <c r="AK15" s="141" t="s">
        <v>279</v>
      </c>
    </row>
    <row r="16" spans="3:37" ht="14.25" x14ac:dyDescent="0.2">
      <c r="C16" s="72"/>
      <c r="D16" s="72"/>
      <c r="E16" s="604" t="s">
        <v>80</v>
      </c>
      <c r="F16" s="38"/>
      <c r="G16" s="239"/>
      <c r="H16" s="265">
        <f>AJ23</f>
        <v>0.27379999999999999</v>
      </c>
      <c r="I16" s="307">
        <f>I15*H16</f>
        <v>176809.97993088001</v>
      </c>
      <c r="K16" s="604" t="s">
        <v>80</v>
      </c>
      <c r="L16" s="38"/>
      <c r="M16" s="239"/>
      <c r="N16" s="265">
        <f>H16</f>
        <v>0.27379999999999999</v>
      </c>
      <c r="O16" s="307">
        <f>O15*N16</f>
        <v>176809.97993088001</v>
      </c>
      <c r="Q16" s="604" t="s">
        <v>80</v>
      </c>
      <c r="R16" s="38"/>
      <c r="S16" s="239"/>
      <c r="T16" s="265">
        <f>N16</f>
        <v>0.27379999999999999</v>
      </c>
      <c r="U16" s="307">
        <f>U15*T16</f>
        <v>176809.97993088001</v>
      </c>
      <c r="W16" s="604" t="s">
        <v>80</v>
      </c>
      <c r="X16" s="38"/>
      <c r="Y16" s="239"/>
      <c r="Z16" s="265">
        <f>T16</f>
        <v>0.27379999999999999</v>
      </c>
      <c r="AA16" s="307">
        <f>AA15*Z16</f>
        <v>176809.97993088001</v>
      </c>
      <c r="AB16" s="59"/>
      <c r="AC16" s="604" t="s">
        <v>80</v>
      </c>
      <c r="AD16" s="38"/>
      <c r="AE16" s="239"/>
      <c r="AF16" s="265">
        <f>Z16</f>
        <v>0.27379999999999999</v>
      </c>
      <c r="AG16" s="307">
        <f>AG15*AF16</f>
        <v>176809.97993088001</v>
      </c>
      <c r="AI16" s="100" t="s">
        <v>282</v>
      </c>
      <c r="AJ16" s="150">
        <v>1</v>
      </c>
      <c r="AK16" s="142" t="s">
        <v>279</v>
      </c>
    </row>
    <row r="17" spans="1:37" ht="17.25" customHeight="1" thickBot="1" x14ac:dyDescent="0.3">
      <c r="C17" s="72"/>
      <c r="D17" s="72"/>
      <c r="E17" s="590" t="s">
        <v>539</v>
      </c>
      <c r="F17" s="584"/>
      <c r="G17" s="584"/>
      <c r="H17" s="584"/>
      <c r="I17" s="605">
        <f>SUM(I15:I16)</f>
        <v>822573.23753088014</v>
      </c>
      <c r="K17" s="590" t="s">
        <v>539</v>
      </c>
      <c r="L17" s="584"/>
      <c r="M17" s="584"/>
      <c r="N17" s="584"/>
      <c r="O17" s="605">
        <f>SUM(O15:O16)</f>
        <v>822573.23753088014</v>
      </c>
      <c r="Q17" s="590" t="s">
        <v>539</v>
      </c>
      <c r="R17" s="584"/>
      <c r="S17" s="584"/>
      <c r="T17" s="584"/>
      <c r="U17" s="605">
        <f>SUM(U15:U16)</f>
        <v>822573.23753088014</v>
      </c>
      <c r="W17" s="590" t="s">
        <v>539</v>
      </c>
      <c r="X17" s="584"/>
      <c r="Y17" s="584"/>
      <c r="Z17" s="584"/>
      <c r="AA17" s="605">
        <f>SUM(AA15:AA16)</f>
        <v>822573.23753088014</v>
      </c>
      <c r="AB17" s="59"/>
      <c r="AC17" s="590" t="s">
        <v>539</v>
      </c>
      <c r="AD17" s="584"/>
      <c r="AE17" s="584"/>
      <c r="AF17" s="584"/>
      <c r="AG17" s="605">
        <f>SUM(AG15:AG16)</f>
        <v>822573.23753088014</v>
      </c>
      <c r="AI17" s="104" t="s">
        <v>283</v>
      </c>
      <c r="AJ17" s="146"/>
      <c r="AK17" s="144"/>
    </row>
    <row r="18" spans="1:37" ht="17.25" customHeight="1" thickTop="1" x14ac:dyDescent="0.2">
      <c r="C18" s="72"/>
      <c r="D18" s="72"/>
      <c r="E18" s="73"/>
      <c r="F18" s="82"/>
      <c r="G18" s="82"/>
      <c r="H18" s="109"/>
      <c r="I18" s="640"/>
      <c r="K18" s="73"/>
      <c r="L18" s="82"/>
      <c r="M18" s="82"/>
      <c r="N18" s="109"/>
      <c r="O18" s="640"/>
      <c r="Q18" s="73"/>
      <c r="R18" s="82"/>
      <c r="S18" s="82"/>
      <c r="T18" s="109"/>
      <c r="U18" s="640"/>
      <c r="W18" s="73"/>
      <c r="X18" s="82"/>
      <c r="Y18" s="82"/>
      <c r="Z18" s="109"/>
      <c r="AA18" s="640"/>
      <c r="AB18" s="59"/>
      <c r="AC18" s="73"/>
      <c r="AD18" s="82"/>
      <c r="AE18" s="82"/>
      <c r="AF18" s="109"/>
      <c r="AG18" s="640"/>
      <c r="AI18" s="107" t="s">
        <v>284</v>
      </c>
      <c r="AJ18" s="151">
        <f>'FY21 UFR CSN'!M35*(1.06%+1)</f>
        <v>11.419779999999999</v>
      </c>
      <c r="AK18" s="141" t="s">
        <v>405</v>
      </c>
    </row>
    <row r="19" spans="1:37" ht="17.25" customHeight="1" x14ac:dyDescent="0.25">
      <c r="C19" s="72"/>
      <c r="D19" s="72"/>
      <c r="E19" s="583" t="s">
        <v>540</v>
      </c>
      <c r="F19" s="82"/>
      <c r="G19" s="82"/>
      <c r="H19" s="109"/>
      <c r="I19" s="640"/>
      <c r="K19" s="583" t="s">
        <v>540</v>
      </c>
      <c r="L19" s="82"/>
      <c r="M19" s="82"/>
      <c r="N19" s="109"/>
      <c r="O19" s="640"/>
      <c r="Q19" s="583" t="s">
        <v>540</v>
      </c>
      <c r="R19" s="82"/>
      <c r="S19" s="82"/>
      <c r="T19" s="109"/>
      <c r="U19" s="640"/>
      <c r="W19" s="583" t="s">
        <v>540</v>
      </c>
      <c r="X19" s="82"/>
      <c r="Y19" s="82"/>
      <c r="Z19" s="109"/>
      <c r="AA19" s="640"/>
      <c r="AB19" s="59"/>
      <c r="AC19" s="583" t="s">
        <v>540</v>
      </c>
      <c r="AD19" s="82"/>
      <c r="AE19" s="82"/>
      <c r="AF19" s="109"/>
      <c r="AG19" s="640"/>
      <c r="AI19" s="107" t="s">
        <v>285</v>
      </c>
      <c r="AJ19" s="151">
        <f>'FY21 UFR CSN'!I36</f>
        <v>4.2640135599694426</v>
      </c>
      <c r="AK19" s="141" t="s">
        <v>405</v>
      </c>
    </row>
    <row r="20" spans="1:37" s="59" customFormat="1" x14ac:dyDescent="0.2">
      <c r="A20" s="58"/>
      <c r="C20" s="72"/>
      <c r="D20" s="72"/>
      <c r="E20" s="108" t="s">
        <v>83</v>
      </c>
      <c r="F20" s="82"/>
      <c r="G20" s="82"/>
      <c r="H20" s="109"/>
      <c r="I20" s="88">
        <f>I4*AJ18</f>
        <v>478351.74463999999</v>
      </c>
      <c r="J20" s="58"/>
      <c r="K20" s="108" t="s">
        <v>83</v>
      </c>
      <c r="L20" s="82"/>
      <c r="M20" s="82"/>
      <c r="N20" s="109"/>
      <c r="O20" s="88">
        <f>O4*AJ19</f>
        <v>183250.24675324676</v>
      </c>
      <c r="Q20" s="108" t="s">
        <v>83</v>
      </c>
      <c r="R20" s="82"/>
      <c r="S20" s="82"/>
      <c r="T20" s="109"/>
      <c r="U20" s="88">
        <f>U4*AJ20</f>
        <v>231602.84015999999</v>
      </c>
      <c r="V20" s="58"/>
      <c r="W20" s="108" t="s">
        <v>83</v>
      </c>
      <c r="X20" s="82"/>
      <c r="Y20" s="82"/>
      <c r="Z20" s="109"/>
      <c r="AA20" s="134">
        <f>AA4*AJ22</f>
        <v>627948.62337662338</v>
      </c>
      <c r="AC20" s="108" t="s">
        <v>83</v>
      </c>
      <c r="AD20" s="82"/>
      <c r="AE20" s="82"/>
      <c r="AF20" s="109"/>
      <c r="AG20" s="88">
        <f>AG4*AJ21</f>
        <v>166813.09090909091</v>
      </c>
      <c r="AI20" s="107" t="s">
        <v>287</v>
      </c>
      <c r="AJ20" s="151">
        <f>'FY21 UFR CSN'!M37*(1.06%+1)</f>
        <v>6.2151899999999998</v>
      </c>
      <c r="AK20" s="141" t="s">
        <v>405</v>
      </c>
    </row>
    <row r="21" spans="1:37" s="59" customFormat="1" x14ac:dyDescent="0.2">
      <c r="A21" s="58"/>
      <c r="C21" s="72"/>
      <c r="D21" s="72"/>
      <c r="E21" s="108" t="s">
        <v>286</v>
      </c>
      <c r="F21" s="58"/>
      <c r="G21" s="58"/>
      <c r="H21" s="110"/>
      <c r="I21" s="88">
        <f>H15*AJ24</f>
        <v>5845.7465265528699</v>
      </c>
      <c r="J21" s="58"/>
      <c r="K21" s="108" t="s">
        <v>286</v>
      </c>
      <c r="L21" s="58"/>
      <c r="M21" s="58"/>
      <c r="N21" s="110"/>
      <c r="O21" s="88">
        <f t="shared" ref="O21:O26" si="5">I21</f>
        <v>5845.7465265528699</v>
      </c>
      <c r="Q21" s="108" t="s">
        <v>286</v>
      </c>
      <c r="R21" s="58"/>
      <c r="S21" s="58"/>
      <c r="T21" s="110"/>
      <c r="U21" s="88">
        <f t="shared" ref="U21:U26" si="6">I21</f>
        <v>5845.7465265528699</v>
      </c>
      <c r="V21" s="58"/>
      <c r="W21" s="108" t="s">
        <v>286</v>
      </c>
      <c r="X21" s="58"/>
      <c r="Y21" s="58"/>
      <c r="Z21" s="110"/>
      <c r="AA21" s="88">
        <f>U21</f>
        <v>5845.7465265528699</v>
      </c>
      <c r="AC21" s="108" t="s">
        <v>286</v>
      </c>
      <c r="AD21" s="58"/>
      <c r="AE21" s="58"/>
      <c r="AF21" s="110"/>
      <c r="AG21" s="160">
        <f>AA21</f>
        <v>5845.7465265528699</v>
      </c>
      <c r="AI21" s="107" t="s">
        <v>289</v>
      </c>
      <c r="AJ21" s="151">
        <f>'FY21 UFR CSN'!I38</f>
        <v>5.3796791443850269</v>
      </c>
      <c r="AK21" s="141" t="s">
        <v>405</v>
      </c>
    </row>
    <row r="22" spans="1:37" s="59" customFormat="1" x14ac:dyDescent="0.2">
      <c r="A22" s="58"/>
      <c r="C22" s="72"/>
      <c r="D22" s="72"/>
      <c r="E22" s="108" t="s">
        <v>288</v>
      </c>
      <c r="F22" s="58"/>
      <c r="G22" s="58"/>
      <c r="H22" s="110"/>
      <c r="I22" s="88">
        <f>AJ25*12</f>
        <v>15664.151077098282</v>
      </c>
      <c r="J22" s="58"/>
      <c r="K22" s="108" t="s">
        <v>288</v>
      </c>
      <c r="L22" s="58"/>
      <c r="M22" s="58"/>
      <c r="N22" s="110"/>
      <c r="O22" s="88">
        <f t="shared" si="5"/>
        <v>15664.151077098282</v>
      </c>
      <c r="Q22" s="108" t="s">
        <v>288</v>
      </c>
      <c r="R22" s="58"/>
      <c r="S22" s="58"/>
      <c r="T22" s="110"/>
      <c r="U22" s="88">
        <f t="shared" si="6"/>
        <v>15664.151077098282</v>
      </c>
      <c r="V22" s="58"/>
      <c r="W22" s="108" t="s">
        <v>288</v>
      </c>
      <c r="X22" s="58"/>
      <c r="Y22" s="58"/>
      <c r="Z22" s="110"/>
      <c r="AA22" s="88">
        <f t="shared" ref="AA22:AA26" si="7">U22</f>
        <v>15664.151077098282</v>
      </c>
      <c r="AC22" s="108" t="s">
        <v>288</v>
      </c>
      <c r="AD22" s="58"/>
      <c r="AE22" s="58"/>
      <c r="AF22" s="110"/>
      <c r="AG22" s="88">
        <f>U22</f>
        <v>15664.151077098282</v>
      </c>
      <c r="AI22" s="107" t="s">
        <v>291</v>
      </c>
      <c r="AJ22" s="151">
        <f>'FY21 UFR CSN'!I39</f>
        <v>20.798510313216195</v>
      </c>
      <c r="AK22" s="141" t="s">
        <v>405</v>
      </c>
    </row>
    <row r="23" spans="1:37" s="59" customFormat="1" ht="17.25" customHeight="1" x14ac:dyDescent="0.2">
      <c r="A23" s="58"/>
      <c r="C23" s="72"/>
      <c r="D23" s="72"/>
      <c r="E23" s="108" t="s">
        <v>290</v>
      </c>
      <c r="F23" s="58"/>
      <c r="G23" s="58"/>
      <c r="H23" s="110"/>
      <c r="I23" s="88">
        <f>AJ26*3</f>
        <v>37195.173145381625</v>
      </c>
      <c r="J23" s="58"/>
      <c r="K23" s="108" t="s">
        <v>290</v>
      </c>
      <c r="L23" s="58"/>
      <c r="M23" s="58"/>
      <c r="N23" s="110"/>
      <c r="O23" s="88">
        <f t="shared" si="5"/>
        <v>37195.173145381625</v>
      </c>
      <c r="Q23" s="108" t="s">
        <v>290</v>
      </c>
      <c r="R23" s="58"/>
      <c r="S23" s="58"/>
      <c r="T23" s="110"/>
      <c r="U23" s="88">
        <f t="shared" si="6"/>
        <v>37195.173145381625</v>
      </c>
      <c r="V23" s="58"/>
      <c r="W23" s="108" t="s">
        <v>290</v>
      </c>
      <c r="X23" s="58"/>
      <c r="Y23" s="58"/>
      <c r="Z23" s="110"/>
      <c r="AA23" s="88">
        <f t="shared" si="7"/>
        <v>37195.173145381625</v>
      </c>
      <c r="AC23" s="108" t="s">
        <v>290</v>
      </c>
      <c r="AD23" s="58"/>
      <c r="AE23" s="58"/>
      <c r="AF23" s="110"/>
      <c r="AG23" s="88">
        <f>U23</f>
        <v>37195.173145381625</v>
      </c>
      <c r="AI23" s="107" t="s">
        <v>80</v>
      </c>
      <c r="AJ23" s="152">
        <f>'M2022 BLS  (53_PCT)'!C38</f>
        <v>0.27379999999999999</v>
      </c>
      <c r="AK23" s="57" t="s">
        <v>355</v>
      </c>
    </row>
    <row r="24" spans="1:37" s="59" customFormat="1" x14ac:dyDescent="0.2">
      <c r="A24" s="58"/>
      <c r="C24" s="72"/>
      <c r="D24" s="72"/>
      <c r="E24" s="108" t="s">
        <v>292</v>
      </c>
      <c r="F24" s="58"/>
      <c r="G24" s="58"/>
      <c r="H24" s="110"/>
      <c r="I24" s="88">
        <f>AJ27*F4</f>
        <v>34614.255064992583</v>
      </c>
      <c r="J24" s="58"/>
      <c r="K24" s="108" t="s">
        <v>292</v>
      </c>
      <c r="L24" s="58"/>
      <c r="M24" s="58"/>
      <c r="N24" s="110"/>
      <c r="O24" s="88">
        <f t="shared" si="5"/>
        <v>34614.255064992583</v>
      </c>
      <c r="Q24" s="108" t="s">
        <v>292</v>
      </c>
      <c r="R24" s="58"/>
      <c r="S24" s="58"/>
      <c r="T24" s="110"/>
      <c r="U24" s="88">
        <f t="shared" si="6"/>
        <v>34614.255064992583</v>
      </c>
      <c r="V24" s="58"/>
      <c r="W24" s="108" t="s">
        <v>292</v>
      </c>
      <c r="X24" s="58"/>
      <c r="Y24" s="58"/>
      <c r="Z24" s="110"/>
      <c r="AA24" s="88">
        <f t="shared" si="7"/>
        <v>34614.255064992583</v>
      </c>
      <c r="AC24" s="108" t="s">
        <v>292</v>
      </c>
      <c r="AD24" s="58"/>
      <c r="AE24" s="58"/>
      <c r="AF24" s="110"/>
      <c r="AG24" s="88">
        <f>U24</f>
        <v>34614.255064992583</v>
      </c>
      <c r="AI24" s="107" t="s">
        <v>286</v>
      </c>
      <c r="AJ24" s="153">
        <f>'[24]Below the line'!$O$5</f>
        <v>575.93561837959305</v>
      </c>
      <c r="AK24" s="141" t="s">
        <v>380</v>
      </c>
    </row>
    <row r="25" spans="1:37" s="59" customFormat="1" ht="17.25" customHeight="1" x14ac:dyDescent="0.2">
      <c r="A25" s="58"/>
      <c r="C25" s="72"/>
      <c r="D25" s="72"/>
      <c r="E25" s="108" t="s">
        <v>293</v>
      </c>
      <c r="F25" s="58"/>
      <c r="G25" s="58"/>
      <c r="H25" s="110"/>
      <c r="I25" s="88">
        <f>AJ28*F4</f>
        <v>17433.215935096257</v>
      </c>
      <c r="J25" s="58"/>
      <c r="K25" s="108" t="s">
        <v>293</v>
      </c>
      <c r="L25" s="58"/>
      <c r="M25" s="58"/>
      <c r="N25" s="110"/>
      <c r="O25" s="88">
        <f t="shared" si="5"/>
        <v>17433.215935096257</v>
      </c>
      <c r="Q25" s="108" t="s">
        <v>293</v>
      </c>
      <c r="R25" s="58"/>
      <c r="S25" s="58"/>
      <c r="T25" s="110"/>
      <c r="U25" s="88">
        <f t="shared" si="6"/>
        <v>17433.215935096257</v>
      </c>
      <c r="V25" s="58"/>
      <c r="W25" s="108" t="s">
        <v>293</v>
      </c>
      <c r="X25" s="58"/>
      <c r="Y25" s="58"/>
      <c r="Z25" s="110"/>
      <c r="AA25" s="88">
        <f t="shared" si="7"/>
        <v>17433.215935096257</v>
      </c>
      <c r="AC25" s="108" t="s">
        <v>293</v>
      </c>
      <c r="AD25" s="58"/>
      <c r="AE25" s="58"/>
      <c r="AF25" s="110"/>
      <c r="AG25" s="88">
        <f>U25</f>
        <v>17433.215935096257</v>
      </c>
      <c r="AI25" s="107" t="s">
        <v>295</v>
      </c>
      <c r="AJ25" s="153">
        <f>'[25]2022 Model Budgets '!$C$25*(1.06%+1)</f>
        <v>1305.3459230915234</v>
      </c>
      <c r="AK25" s="141" t="s">
        <v>404</v>
      </c>
    </row>
    <row r="26" spans="1:37" s="59" customFormat="1" ht="18.75" customHeight="1" thickBot="1" x14ac:dyDescent="0.25">
      <c r="A26" s="58"/>
      <c r="C26" s="72"/>
      <c r="D26" s="72"/>
      <c r="E26" s="101" t="s">
        <v>294</v>
      </c>
      <c r="F26" s="102"/>
      <c r="G26" s="102"/>
      <c r="H26" s="111"/>
      <c r="I26" s="103">
        <f>AJ29*F4</f>
        <v>87166.079675481276</v>
      </c>
      <c r="J26" s="58"/>
      <c r="K26" s="101" t="s">
        <v>294</v>
      </c>
      <c r="L26" s="102"/>
      <c r="M26" s="102"/>
      <c r="N26" s="111"/>
      <c r="O26" s="103">
        <f t="shared" si="5"/>
        <v>87166.079675481276</v>
      </c>
      <c r="Q26" s="101" t="s">
        <v>294</v>
      </c>
      <c r="R26" s="102"/>
      <c r="S26" s="102"/>
      <c r="T26" s="111"/>
      <c r="U26" s="103">
        <f t="shared" si="6"/>
        <v>87166.079675481276</v>
      </c>
      <c r="V26" s="58"/>
      <c r="W26" s="101" t="s">
        <v>294</v>
      </c>
      <c r="X26" s="102"/>
      <c r="Y26" s="102"/>
      <c r="Z26" s="111"/>
      <c r="AA26" s="103">
        <f t="shared" si="7"/>
        <v>87166.079675481276</v>
      </c>
      <c r="AC26" s="101" t="s">
        <v>294</v>
      </c>
      <c r="AD26" s="102"/>
      <c r="AE26" s="102"/>
      <c r="AF26" s="111"/>
      <c r="AG26" s="103">
        <f>U26</f>
        <v>87166.079675481276</v>
      </c>
      <c r="AI26" s="107" t="s">
        <v>290</v>
      </c>
      <c r="AJ26" s="153">
        <f>'[25]2022 Model Budgets '!$C$26*(1.06%+1)</f>
        <v>12398.391048460542</v>
      </c>
      <c r="AK26" s="141" t="s">
        <v>379</v>
      </c>
    </row>
    <row r="27" spans="1:37" s="59" customFormat="1" ht="16.5" thickTop="1" thickBot="1" x14ac:dyDescent="0.3">
      <c r="A27" s="58"/>
      <c r="C27" s="72"/>
      <c r="D27" s="72"/>
      <c r="E27" s="1045" t="s">
        <v>541</v>
      </c>
      <c r="F27" s="1025"/>
      <c r="G27" s="105"/>
      <c r="H27" s="112"/>
      <c r="I27" s="106">
        <f>SUM(I20:I26)</f>
        <v>676270.36606460297</v>
      </c>
      <c r="J27" s="58"/>
      <c r="K27" s="1045" t="s">
        <v>541</v>
      </c>
      <c r="L27" s="1025"/>
      <c r="M27" s="105"/>
      <c r="N27" s="112"/>
      <c r="O27" s="106">
        <f>SUM(O20:O26)</f>
        <v>381168.86817784968</v>
      </c>
      <c r="Q27" s="1045" t="s">
        <v>541</v>
      </c>
      <c r="R27" s="1025"/>
      <c r="S27" s="105"/>
      <c r="T27" s="112"/>
      <c r="U27" s="106">
        <f>SUM(U20:U26)</f>
        <v>429521.46158460283</v>
      </c>
      <c r="V27" s="58"/>
      <c r="W27" s="1045" t="s">
        <v>541</v>
      </c>
      <c r="X27" s="1025"/>
      <c r="Y27" s="105"/>
      <c r="Z27" s="112"/>
      <c r="AA27" s="132">
        <f>SUM(AA20:AA26)</f>
        <v>825867.2448012263</v>
      </c>
      <c r="AC27" s="1045" t="s">
        <v>541</v>
      </c>
      <c r="AD27" s="1025"/>
      <c r="AE27" s="105"/>
      <c r="AF27" s="112"/>
      <c r="AG27" s="106">
        <f>SUM(AG20:AG26)</f>
        <v>364731.71233369375</v>
      </c>
      <c r="AI27" s="107" t="s">
        <v>296</v>
      </c>
      <c r="AJ27" s="153">
        <f>'[25]2022 Model Budgets '!$C$27*(1.06%+1)</f>
        <v>224.76789003241939</v>
      </c>
      <c r="AK27" s="141" t="s">
        <v>403</v>
      </c>
    </row>
    <row r="28" spans="1:37" s="59" customFormat="1" ht="15.75" thickTop="1" x14ac:dyDescent="0.25">
      <c r="A28" s="58"/>
      <c r="C28" s="72"/>
      <c r="D28" s="72"/>
      <c r="E28" s="607"/>
      <c r="F28" s="44"/>
      <c r="G28" s="82"/>
      <c r="H28" s="83"/>
      <c r="I28" s="640"/>
      <c r="J28" s="58"/>
      <c r="K28" s="607"/>
      <c r="L28" s="44"/>
      <c r="M28" s="82"/>
      <c r="N28" s="83"/>
      <c r="O28" s="640"/>
      <c r="Q28" s="607"/>
      <c r="R28" s="44"/>
      <c r="S28" s="82"/>
      <c r="T28" s="83"/>
      <c r="U28" s="640"/>
      <c r="V28" s="58"/>
      <c r="W28" s="607"/>
      <c r="X28" s="44"/>
      <c r="Y28" s="82"/>
      <c r="Z28" s="83"/>
      <c r="AA28" s="641"/>
      <c r="AC28" s="607"/>
      <c r="AD28" s="44"/>
      <c r="AE28" s="82"/>
      <c r="AF28" s="83"/>
      <c r="AG28" s="640"/>
      <c r="AI28" s="107" t="s">
        <v>298</v>
      </c>
      <c r="AJ28" s="153">
        <f>'[25]2022 Model Budgets '!$C$28*(1.06%+1)</f>
        <v>113.20270087724843</v>
      </c>
      <c r="AK28" s="141" t="s">
        <v>403</v>
      </c>
    </row>
    <row r="29" spans="1:37" s="59" customFormat="1" ht="15" x14ac:dyDescent="0.25">
      <c r="A29" s="58"/>
      <c r="C29" s="72"/>
      <c r="D29" s="72"/>
      <c r="E29" s="1061" t="s">
        <v>357</v>
      </c>
      <c r="F29" s="1027"/>
      <c r="G29" s="422"/>
      <c r="H29" s="423"/>
      <c r="I29" s="424">
        <f>I17+I27</f>
        <v>1498843.6035954831</v>
      </c>
      <c r="J29" s="58"/>
      <c r="K29" s="1061" t="s">
        <v>357</v>
      </c>
      <c r="L29" s="1027"/>
      <c r="M29" s="422"/>
      <c r="N29" s="423"/>
      <c r="O29" s="424">
        <f>O27+O17</f>
        <v>1203742.1057087299</v>
      </c>
      <c r="Q29" s="1061" t="s">
        <v>357</v>
      </c>
      <c r="R29" s="1027"/>
      <c r="S29" s="422"/>
      <c r="T29" s="423"/>
      <c r="U29" s="424">
        <f>U27+U17</f>
        <v>1252094.6991154831</v>
      </c>
      <c r="V29" s="58"/>
      <c r="W29" s="1061" t="s">
        <v>357</v>
      </c>
      <c r="X29" s="1027"/>
      <c r="Y29" s="422"/>
      <c r="Z29" s="423"/>
      <c r="AA29" s="424">
        <f>AA27+AA17</f>
        <v>1648440.4823321064</v>
      </c>
      <c r="AC29" s="1061" t="s">
        <v>357</v>
      </c>
      <c r="AD29" s="1027"/>
      <c r="AE29" s="422"/>
      <c r="AF29" s="423"/>
      <c r="AG29" s="424">
        <f>AG27+AG17</f>
        <v>1187304.9498645738</v>
      </c>
      <c r="AI29" s="107" t="s">
        <v>299</v>
      </c>
      <c r="AJ29" s="153">
        <f>'[25]2022 Model Budgets '!$C$29*(1.06%+1)</f>
        <v>566.01350438624206</v>
      </c>
      <c r="AK29" s="141" t="s">
        <v>403</v>
      </c>
    </row>
    <row r="30" spans="1:37" s="59" customFormat="1" x14ac:dyDescent="0.2">
      <c r="A30" s="58"/>
      <c r="C30" s="58"/>
      <c r="D30" s="58"/>
      <c r="E30" s="241" t="s">
        <v>89</v>
      </c>
      <c r="F30" s="33"/>
      <c r="G30" s="346">
        <f>AJ30</f>
        <v>0.12</v>
      </c>
      <c r="H30" s="353"/>
      <c r="I30" s="336">
        <f>I29*G30</f>
        <v>179861.23243145796</v>
      </c>
      <c r="J30" s="58"/>
      <c r="K30" s="241" t="s">
        <v>89</v>
      </c>
      <c r="L30" s="33"/>
      <c r="M30" s="346">
        <f>G30</f>
        <v>0.12</v>
      </c>
      <c r="N30" s="353"/>
      <c r="O30" s="336">
        <f>O29*M30</f>
        <v>144449.05268504759</v>
      </c>
      <c r="Q30" s="241" t="s">
        <v>89</v>
      </c>
      <c r="R30" s="33"/>
      <c r="S30" s="346">
        <f>M30</f>
        <v>0.12</v>
      </c>
      <c r="T30" s="353"/>
      <c r="U30" s="336">
        <f>U29*S30</f>
        <v>150251.36389385795</v>
      </c>
      <c r="V30" s="58"/>
      <c r="W30" s="241" t="s">
        <v>89</v>
      </c>
      <c r="X30" s="33"/>
      <c r="Y30" s="346">
        <f>S30</f>
        <v>0.12</v>
      </c>
      <c r="Z30" s="353"/>
      <c r="AA30" s="336">
        <f>AA29*Y30</f>
        <v>197812.85787985276</v>
      </c>
      <c r="AB30" s="58"/>
      <c r="AC30" s="241" t="s">
        <v>89</v>
      </c>
      <c r="AD30" s="33"/>
      <c r="AE30" s="346">
        <f>Y30</f>
        <v>0.12</v>
      </c>
      <c r="AF30" s="353"/>
      <c r="AG30" s="336">
        <f>AG29*AE30</f>
        <v>142476.59398374884</v>
      </c>
      <c r="AI30" s="157" t="s">
        <v>297</v>
      </c>
      <c r="AJ30" s="158">
        <v>0.12</v>
      </c>
      <c r="AK30" s="41" t="s">
        <v>355</v>
      </c>
    </row>
    <row r="31" spans="1:37" s="59" customFormat="1" ht="13.5" thickBot="1" x14ac:dyDescent="0.25">
      <c r="A31" s="58"/>
      <c r="C31" s="58"/>
      <c r="D31" s="58"/>
      <c r="E31" s="241" t="s">
        <v>46</v>
      </c>
      <c r="F31" s="33"/>
      <c r="G31" s="346">
        <f>AJ31</f>
        <v>2.7100379121522307E-2</v>
      </c>
      <c r="H31" s="38"/>
      <c r="I31" s="307">
        <f>G31*(I29+I30)</f>
        <v>45493.537489463037</v>
      </c>
      <c r="J31" s="58"/>
      <c r="K31" s="241" t="s">
        <v>46</v>
      </c>
      <c r="L31" s="33"/>
      <c r="M31" s="346">
        <f>G31</f>
        <v>2.7100379121522307E-2</v>
      </c>
      <c r="N31" s="38"/>
      <c r="O31" s="307">
        <f>M31*(O29+O30)</f>
        <v>36536.491520755699</v>
      </c>
      <c r="Q31" s="241" t="s">
        <v>46</v>
      </c>
      <c r="R31" s="33"/>
      <c r="S31" s="346">
        <f>M31</f>
        <v>2.7100379121522307E-2</v>
      </c>
      <c r="T31" s="38"/>
      <c r="U31" s="307">
        <f>S31*(U29+U30)</f>
        <v>38004.109967127348</v>
      </c>
      <c r="V31" s="58"/>
      <c r="W31" s="241" t="s">
        <v>46</v>
      </c>
      <c r="X31" s="33"/>
      <c r="Y31" s="346">
        <f>S31</f>
        <v>2.7100379121522307E-2</v>
      </c>
      <c r="Z31" s="38"/>
      <c r="AA31" s="307">
        <f>Y31*(AA29+AA30)</f>
        <v>50034.165474120993</v>
      </c>
      <c r="AB31" s="58"/>
      <c r="AC31" s="241" t="s">
        <v>46</v>
      </c>
      <c r="AD31" s="33"/>
      <c r="AE31" s="346">
        <f>Y31</f>
        <v>2.7100379121522307E-2</v>
      </c>
      <c r="AF31" s="38"/>
      <c r="AG31" s="307">
        <f>AE31*(AG29+AG30)</f>
        <v>36037.583987092781</v>
      </c>
      <c r="AI31" s="115" t="s">
        <v>362</v>
      </c>
      <c r="AJ31" s="154">
        <f>'CAF Spring 2023'!CI26</f>
        <v>2.7100379121522307E-2</v>
      </c>
      <c r="AK31" s="145" t="s">
        <v>359</v>
      </c>
    </row>
    <row r="32" spans="1:37" s="59" customFormat="1" ht="17.25" customHeight="1" thickBot="1" x14ac:dyDescent="0.25">
      <c r="A32" s="58"/>
      <c r="C32" s="58"/>
      <c r="D32" s="58"/>
      <c r="E32" s="98" t="s">
        <v>91</v>
      </c>
      <c r="F32" s="113"/>
      <c r="G32" s="113"/>
      <c r="H32" s="114"/>
      <c r="I32" s="99">
        <f>SUM(I29:I31)</f>
        <v>1724198.3735164041</v>
      </c>
      <c r="J32" s="58"/>
      <c r="K32" s="98" t="s">
        <v>91</v>
      </c>
      <c r="L32" s="113"/>
      <c r="M32" s="113"/>
      <c r="N32" s="114"/>
      <c r="O32" s="99">
        <f>SUM(O29:O31)</f>
        <v>1384727.6499145331</v>
      </c>
      <c r="Q32" s="98" t="s">
        <v>91</v>
      </c>
      <c r="R32" s="113"/>
      <c r="S32" s="113"/>
      <c r="T32" s="114"/>
      <c r="U32" s="99">
        <f>SUM(U29:U31)</f>
        <v>1440350.1729764685</v>
      </c>
      <c r="V32" s="58"/>
      <c r="W32" s="98" t="s">
        <v>91</v>
      </c>
      <c r="X32" s="113"/>
      <c r="Y32" s="113"/>
      <c r="Z32" s="114"/>
      <c r="AA32" s="99">
        <f>SUM(AA29:AA31)</f>
        <v>1896287.5056860801</v>
      </c>
      <c r="AB32" s="58"/>
      <c r="AC32" s="98" t="s">
        <v>91</v>
      </c>
      <c r="AD32" s="113"/>
      <c r="AE32" s="113"/>
      <c r="AF32" s="114"/>
      <c r="AG32" s="99">
        <f>SUM(AG29:AG31)</f>
        <v>1365819.1278354155</v>
      </c>
    </row>
    <row r="33" spans="1:37" s="59" customFormat="1" x14ac:dyDescent="0.2">
      <c r="A33" s="58"/>
      <c r="C33" s="58"/>
      <c r="D33" s="58"/>
      <c r="E33" s="108"/>
      <c r="F33" s="58"/>
      <c r="G33" s="58"/>
      <c r="H33" s="60"/>
      <c r="I33" s="116" t="s">
        <v>300</v>
      </c>
      <c r="J33" s="58"/>
      <c r="K33" s="108"/>
      <c r="L33" s="58"/>
      <c r="M33" s="58"/>
      <c r="N33" s="60"/>
      <c r="O33" s="116" t="s">
        <v>301</v>
      </c>
      <c r="Q33" s="108"/>
      <c r="R33" s="58"/>
      <c r="S33" s="58"/>
      <c r="T33" s="60"/>
      <c r="U33" s="116" t="s">
        <v>300</v>
      </c>
      <c r="V33" s="58"/>
      <c r="W33" s="108"/>
      <c r="X33" s="58"/>
      <c r="Y33" s="58"/>
      <c r="Z33" s="60"/>
      <c r="AA33" s="135" t="s">
        <v>300</v>
      </c>
      <c r="AB33" s="69"/>
      <c r="AC33" s="108"/>
      <c r="AD33" s="58"/>
      <c r="AE33" s="58"/>
      <c r="AF33" s="60"/>
      <c r="AG33" s="116" t="s">
        <v>300</v>
      </c>
    </row>
    <row r="34" spans="1:37" s="59" customFormat="1" ht="15" customHeight="1" thickBot="1" x14ac:dyDescent="0.25">
      <c r="A34" s="58"/>
      <c r="C34" s="58"/>
      <c r="D34" s="58"/>
      <c r="E34" s="118" t="s">
        <v>302</v>
      </c>
      <c r="F34" s="119"/>
      <c r="G34" s="119"/>
      <c r="H34" s="120"/>
      <c r="I34" s="121">
        <f>I32/I4</f>
        <v>41.162107847507734</v>
      </c>
      <c r="J34" s="58"/>
      <c r="K34" s="118" t="s">
        <v>302</v>
      </c>
      <c r="L34" s="119"/>
      <c r="M34" s="119"/>
      <c r="N34" s="120"/>
      <c r="O34" s="121">
        <f>O32/O4</f>
        <v>32.220952390044054</v>
      </c>
      <c r="Q34" s="118" t="s">
        <v>302</v>
      </c>
      <c r="R34" s="119"/>
      <c r="S34" s="119"/>
      <c r="T34" s="120"/>
      <c r="U34" s="121">
        <f>U32/U4</f>
        <v>38.652591589106606</v>
      </c>
      <c r="V34" s="58"/>
      <c r="W34" s="118" t="s">
        <v>302</v>
      </c>
      <c r="X34" s="119"/>
      <c r="Y34" s="119"/>
      <c r="Z34" s="120"/>
      <c r="AA34" s="136">
        <f>AA32/AA4</f>
        <v>62.807614788224697</v>
      </c>
      <c r="AB34" s="58"/>
      <c r="AC34" s="118" t="s">
        <v>302</v>
      </c>
      <c r="AD34" s="119"/>
      <c r="AE34" s="119"/>
      <c r="AF34" s="120"/>
      <c r="AG34" s="121">
        <f>AG32/AG4</f>
        <v>44.047314494176199</v>
      </c>
    </row>
    <row r="35" spans="1:37" s="59" customFormat="1" x14ac:dyDescent="0.2">
      <c r="A35" s="58"/>
      <c r="C35" s="58"/>
      <c r="D35" s="58"/>
      <c r="E35" s="58"/>
      <c r="F35" s="58"/>
      <c r="G35" s="123"/>
      <c r="H35" s="124"/>
      <c r="I35" s="125"/>
      <c r="J35" s="156"/>
      <c r="K35" s="58"/>
      <c r="L35" s="58"/>
      <c r="M35" s="123"/>
      <c r="N35" s="124"/>
      <c r="O35" s="127"/>
      <c r="P35" s="159"/>
      <c r="Q35" s="60"/>
      <c r="R35" s="61"/>
      <c r="S35" s="61"/>
      <c r="T35" s="58"/>
      <c r="U35" s="58"/>
      <c r="V35" s="58"/>
      <c r="W35" s="58"/>
      <c r="X35" s="58"/>
      <c r="Y35" s="58"/>
      <c r="Z35" s="58"/>
      <c r="AA35" s="58"/>
      <c r="AB35" s="58"/>
      <c r="AC35" s="58"/>
      <c r="AD35" s="58"/>
      <c r="AE35" s="58"/>
      <c r="AF35" s="58"/>
      <c r="AG35" s="58"/>
      <c r="AI35" s="58"/>
      <c r="AJ35" s="58"/>
      <c r="AK35" s="58"/>
    </row>
    <row r="36" spans="1:37" s="59" customFormat="1" x14ac:dyDescent="0.2">
      <c r="A36" s="58"/>
      <c r="B36" s="72"/>
      <c r="C36" s="58"/>
      <c r="D36" s="58"/>
      <c r="E36" s="58"/>
      <c r="F36" s="58"/>
      <c r="G36" s="123"/>
      <c r="H36" s="124"/>
      <c r="I36" s="125"/>
      <c r="J36" s="156"/>
      <c r="K36" s="58"/>
      <c r="L36" s="58"/>
      <c r="M36" s="123"/>
      <c r="N36" s="124"/>
      <c r="O36" s="127"/>
      <c r="Q36" s="60"/>
      <c r="R36" s="61"/>
      <c r="S36" s="61"/>
      <c r="T36" s="58"/>
      <c r="U36" s="58"/>
      <c r="V36" s="58"/>
      <c r="W36" s="58"/>
      <c r="X36" s="58"/>
      <c r="Y36" s="58"/>
      <c r="Z36" s="58"/>
      <c r="AA36" s="58"/>
      <c r="AB36" s="58"/>
      <c r="AC36" s="58"/>
      <c r="AD36" s="58"/>
      <c r="AE36" s="58"/>
      <c r="AF36" s="58"/>
      <c r="AG36" s="58"/>
      <c r="AI36" s="58"/>
      <c r="AJ36" s="58"/>
      <c r="AK36" s="58"/>
    </row>
    <row r="37" spans="1:37" s="59" customFormat="1" x14ac:dyDescent="0.2">
      <c r="A37" s="58"/>
      <c r="B37" s="117"/>
      <c r="C37" s="58"/>
      <c r="D37" s="58"/>
      <c r="Q37" s="60"/>
      <c r="R37" s="61"/>
      <c r="S37" s="61"/>
      <c r="T37" s="58"/>
      <c r="U37" s="58"/>
      <c r="V37" s="58"/>
      <c r="W37" s="58"/>
      <c r="X37" s="58"/>
      <c r="Y37" s="58"/>
      <c r="Z37" s="58"/>
      <c r="AA37" s="58"/>
      <c r="AB37" s="58"/>
      <c r="AC37" s="58"/>
      <c r="AD37" s="58"/>
      <c r="AE37" s="58"/>
      <c r="AF37" s="58"/>
      <c r="AG37" s="58"/>
      <c r="AI37" s="58"/>
      <c r="AJ37" s="58"/>
      <c r="AK37" s="58"/>
    </row>
    <row r="38" spans="1:37" x14ac:dyDescent="0.2">
      <c r="B38" s="122"/>
    </row>
    <row r="39" spans="1:37" ht="21.75" customHeight="1" x14ac:dyDescent="0.2">
      <c r="P39" s="128"/>
    </row>
    <row r="40" spans="1:37" ht="23.25" customHeight="1" x14ac:dyDescent="0.2">
      <c r="C40" s="62"/>
      <c r="D40" s="62"/>
    </row>
    <row r="41" spans="1:37" s="69" customFormat="1" ht="18.75" customHeight="1" x14ac:dyDescent="0.2">
      <c r="B41" s="581"/>
      <c r="C41" s="63"/>
      <c r="D41" s="63"/>
      <c r="P41" s="70"/>
      <c r="Q41" s="60"/>
      <c r="R41" s="61"/>
      <c r="S41" s="61"/>
      <c r="T41" s="58"/>
      <c r="U41" s="58"/>
      <c r="V41" s="58"/>
      <c r="W41" s="58"/>
      <c r="X41" s="58"/>
      <c r="Y41" s="58"/>
      <c r="Z41" s="58"/>
      <c r="AA41" s="58"/>
      <c r="AB41" s="58"/>
      <c r="AC41" s="58"/>
      <c r="AD41" s="58"/>
      <c r="AE41" s="58"/>
      <c r="AF41" s="58"/>
      <c r="AG41" s="58"/>
      <c r="AI41" s="58"/>
      <c r="AJ41" s="58"/>
      <c r="AK41" s="58"/>
    </row>
    <row r="42" spans="1:37" x14ac:dyDescent="0.2">
      <c r="B42" s="580"/>
      <c r="C42" s="72"/>
      <c r="D42" s="72"/>
    </row>
    <row r="43" spans="1:37" ht="15" customHeight="1" x14ac:dyDescent="0.2">
      <c r="B43" s="117"/>
      <c r="C43" s="72"/>
      <c r="D43" s="72"/>
    </row>
    <row r="44" spans="1:37" ht="15.75" customHeight="1" x14ac:dyDescent="0.2">
      <c r="B44" s="117"/>
      <c r="C44" s="80"/>
      <c r="D44" s="80"/>
    </row>
    <row r="45" spans="1:37" x14ac:dyDescent="0.2">
      <c r="B45" s="117"/>
      <c r="C45" s="80"/>
      <c r="D45" s="80"/>
    </row>
    <row r="46" spans="1:37" ht="22.9" customHeight="1" x14ac:dyDescent="0.2">
      <c r="B46" s="117"/>
      <c r="C46" s="72"/>
      <c r="D46" s="72"/>
      <c r="T46" s="59"/>
      <c r="U46" s="59"/>
      <c r="V46" s="59"/>
      <c r="W46" s="59"/>
      <c r="X46" s="59"/>
      <c r="Y46" s="59"/>
      <c r="Z46" s="59"/>
      <c r="AA46" s="59"/>
      <c r="AB46" s="59"/>
      <c r="AC46" s="59"/>
      <c r="AD46" s="59"/>
      <c r="AE46" s="59"/>
      <c r="AF46" s="59"/>
      <c r="AG46" s="59"/>
    </row>
    <row r="47" spans="1:37" ht="40.9" customHeight="1" x14ac:dyDescent="0.2">
      <c r="B47" s="117"/>
      <c r="C47" s="72"/>
      <c r="D47" s="72"/>
      <c r="Q47" s="59"/>
      <c r="T47" s="59"/>
      <c r="U47" s="59"/>
      <c r="V47" s="59"/>
      <c r="W47" s="59"/>
      <c r="X47" s="59"/>
      <c r="Y47" s="59"/>
      <c r="Z47" s="59"/>
      <c r="AA47" s="59"/>
      <c r="AB47" s="59"/>
      <c r="AC47" s="59"/>
      <c r="AD47" s="59"/>
      <c r="AE47" s="59"/>
      <c r="AF47" s="59"/>
      <c r="AG47" s="59"/>
    </row>
    <row r="48" spans="1:37" x14ac:dyDescent="0.2">
      <c r="B48" s="130"/>
      <c r="C48" s="72"/>
      <c r="D48" s="72"/>
      <c r="Q48" s="59"/>
      <c r="T48" s="59"/>
      <c r="U48" s="59"/>
      <c r="V48" s="59"/>
      <c r="W48" s="59"/>
      <c r="X48" s="59"/>
      <c r="Y48" s="59"/>
      <c r="Z48" s="59"/>
      <c r="AA48" s="59"/>
      <c r="AB48" s="59"/>
      <c r="AC48" s="59"/>
      <c r="AD48" s="59"/>
      <c r="AE48" s="59"/>
      <c r="AF48" s="59"/>
      <c r="AG48" s="59"/>
    </row>
    <row r="49" spans="1:37" x14ac:dyDescent="0.2">
      <c r="B49" s="131"/>
      <c r="C49" s="72"/>
      <c r="D49" s="72"/>
      <c r="Q49" s="59"/>
      <c r="T49" s="59"/>
      <c r="U49" s="59"/>
      <c r="V49" s="59"/>
      <c r="W49" s="59"/>
      <c r="X49" s="59"/>
      <c r="Y49" s="59"/>
      <c r="Z49" s="59"/>
      <c r="AA49" s="59"/>
      <c r="AB49" s="59"/>
      <c r="AC49" s="59"/>
      <c r="AD49" s="59"/>
      <c r="AE49" s="59"/>
      <c r="AF49" s="59"/>
      <c r="AG49" s="59"/>
    </row>
    <row r="50" spans="1:37" x14ac:dyDescent="0.2">
      <c r="B50" s="117"/>
      <c r="C50" s="72"/>
      <c r="D50" s="72"/>
      <c r="Q50" s="59"/>
      <c r="T50" s="59"/>
      <c r="U50" s="59"/>
      <c r="V50" s="59"/>
      <c r="W50" s="59"/>
      <c r="X50" s="59"/>
      <c r="Y50" s="59"/>
      <c r="Z50" s="59"/>
      <c r="AA50" s="59"/>
      <c r="AB50" s="59"/>
      <c r="AC50" s="59"/>
      <c r="AD50" s="59"/>
      <c r="AE50" s="59"/>
      <c r="AF50" s="59"/>
      <c r="AG50" s="59"/>
    </row>
    <row r="51" spans="1:37" x14ac:dyDescent="0.2">
      <c r="B51" s="117"/>
      <c r="C51" s="72"/>
      <c r="D51" s="72"/>
      <c r="Q51" s="59"/>
      <c r="T51" s="59"/>
      <c r="U51" s="59"/>
      <c r="V51" s="59"/>
      <c r="W51" s="59"/>
      <c r="X51" s="59"/>
      <c r="Y51" s="59"/>
      <c r="Z51" s="59"/>
      <c r="AA51" s="59"/>
      <c r="AB51" s="59"/>
      <c r="AC51" s="59"/>
      <c r="AD51" s="59"/>
      <c r="AE51" s="59"/>
      <c r="AF51" s="59"/>
      <c r="AG51" s="59"/>
    </row>
    <row r="52" spans="1:37" x14ac:dyDescent="0.2">
      <c r="B52" s="117"/>
      <c r="C52" s="72"/>
      <c r="D52" s="72"/>
      <c r="Q52" s="59"/>
      <c r="T52" s="59"/>
      <c r="U52" s="59"/>
      <c r="V52" s="59"/>
      <c r="W52" s="59"/>
      <c r="X52" s="59"/>
      <c r="Y52" s="59"/>
      <c r="Z52" s="59"/>
      <c r="AA52" s="59"/>
      <c r="AB52" s="59"/>
      <c r="AC52" s="59"/>
      <c r="AD52" s="59"/>
      <c r="AE52" s="59"/>
      <c r="AF52" s="59"/>
      <c r="AG52" s="59"/>
    </row>
    <row r="53" spans="1:37" ht="17.25" customHeight="1" x14ac:dyDescent="0.2">
      <c r="B53" s="117"/>
      <c r="C53" s="72"/>
      <c r="D53" s="72"/>
      <c r="Q53" s="59"/>
      <c r="T53" s="59"/>
      <c r="U53" s="59"/>
      <c r="V53" s="59"/>
      <c r="W53" s="59"/>
      <c r="X53" s="59"/>
      <c r="Y53" s="59"/>
      <c r="Z53" s="59"/>
      <c r="AA53" s="59"/>
      <c r="AB53" s="59"/>
      <c r="AC53" s="59"/>
      <c r="AD53" s="59"/>
      <c r="AE53" s="59"/>
      <c r="AF53" s="59"/>
      <c r="AG53" s="59"/>
    </row>
    <row r="54" spans="1:37" s="59" customFormat="1" x14ac:dyDescent="0.2">
      <c r="A54" s="58"/>
      <c r="B54" s="117"/>
      <c r="C54" s="72"/>
      <c r="D54" s="72"/>
      <c r="R54" s="61"/>
      <c r="S54" s="61"/>
      <c r="AI54" s="58"/>
      <c r="AJ54" s="58"/>
      <c r="AK54" s="58"/>
    </row>
    <row r="55" spans="1:37" s="59" customFormat="1" x14ac:dyDescent="0.2">
      <c r="A55" s="58"/>
      <c r="B55" s="133"/>
      <c r="C55" s="72"/>
      <c r="D55" s="72"/>
      <c r="R55" s="61"/>
      <c r="S55" s="61"/>
      <c r="AI55" s="58"/>
      <c r="AJ55" s="58"/>
      <c r="AK55" s="58"/>
    </row>
    <row r="56" spans="1:37" s="59" customFormat="1" x14ac:dyDescent="0.2">
      <c r="A56" s="58"/>
      <c r="B56" s="72"/>
      <c r="C56" s="72"/>
      <c r="D56" s="72"/>
      <c r="R56" s="61"/>
      <c r="S56" s="61"/>
      <c r="AI56" s="58"/>
      <c r="AJ56" s="58"/>
      <c r="AK56" s="58"/>
    </row>
    <row r="57" spans="1:37" s="59" customFormat="1" ht="17.25" customHeight="1" x14ac:dyDescent="0.2">
      <c r="A57" s="58"/>
      <c r="B57" s="72"/>
      <c r="C57" s="72"/>
      <c r="D57" s="72"/>
      <c r="R57" s="61"/>
      <c r="S57" s="61"/>
      <c r="AI57" s="58"/>
      <c r="AJ57" s="58"/>
      <c r="AK57" s="58"/>
    </row>
    <row r="58" spans="1:37" s="59" customFormat="1" ht="15.75" customHeight="1" x14ac:dyDescent="0.2">
      <c r="A58" s="58"/>
      <c r="B58" s="72"/>
      <c r="C58" s="72"/>
      <c r="D58" s="72"/>
      <c r="R58" s="61"/>
      <c r="S58" s="61"/>
      <c r="AI58" s="58"/>
      <c r="AJ58" s="58"/>
      <c r="AK58" s="58"/>
    </row>
    <row r="59" spans="1:37" s="59" customFormat="1" ht="17.25" customHeight="1" x14ac:dyDescent="0.2">
      <c r="A59" s="58"/>
      <c r="B59" s="72"/>
      <c r="C59" s="72"/>
      <c r="D59" s="72"/>
      <c r="R59" s="61"/>
      <c r="S59" s="61"/>
      <c r="AI59" s="58"/>
      <c r="AJ59" s="58"/>
      <c r="AK59" s="58"/>
    </row>
    <row r="60" spans="1:37" s="59" customFormat="1" ht="18.75" customHeight="1" x14ac:dyDescent="0.2">
      <c r="A60" s="58"/>
      <c r="B60" s="72"/>
      <c r="C60" s="72"/>
      <c r="D60" s="72"/>
      <c r="R60" s="61"/>
      <c r="S60" s="61"/>
      <c r="AI60" s="58"/>
      <c r="AJ60" s="58"/>
      <c r="AK60" s="58"/>
    </row>
    <row r="61" spans="1:37" s="59" customFormat="1" x14ac:dyDescent="0.2">
      <c r="A61" s="58"/>
      <c r="B61" s="72"/>
      <c r="C61" s="72"/>
      <c r="D61" s="72"/>
      <c r="R61" s="61"/>
      <c r="S61" s="61"/>
      <c r="AI61" s="58"/>
      <c r="AJ61" s="58"/>
      <c r="AK61" s="58"/>
    </row>
    <row r="62" spans="1:37" s="59" customFormat="1" x14ac:dyDescent="0.2">
      <c r="A62" s="58"/>
      <c r="B62" s="72"/>
      <c r="C62" s="72"/>
      <c r="D62" s="72"/>
      <c r="R62" s="61"/>
      <c r="S62" s="61"/>
      <c r="AI62" s="58"/>
      <c r="AJ62" s="58"/>
      <c r="AK62" s="58"/>
    </row>
    <row r="63" spans="1:37" s="59" customFormat="1" x14ac:dyDescent="0.2">
      <c r="A63" s="58"/>
      <c r="B63" s="72"/>
      <c r="C63" s="58"/>
      <c r="D63" s="58"/>
      <c r="Q63" s="60"/>
      <c r="R63" s="61"/>
      <c r="S63" s="61"/>
      <c r="T63" s="58"/>
      <c r="U63" s="58"/>
      <c r="V63" s="58"/>
      <c r="W63" s="58"/>
      <c r="X63" s="58"/>
      <c r="Y63" s="58"/>
      <c r="Z63" s="58"/>
      <c r="AA63" s="58"/>
      <c r="AB63" s="58"/>
      <c r="AC63" s="58"/>
      <c r="AD63" s="58"/>
      <c r="AE63" s="58"/>
      <c r="AF63" s="58"/>
      <c r="AG63" s="58"/>
      <c r="AI63" s="58"/>
      <c r="AJ63" s="58"/>
      <c r="AK63" s="58"/>
    </row>
    <row r="64" spans="1:37" s="59" customFormat="1" x14ac:dyDescent="0.2">
      <c r="A64" s="58"/>
      <c r="B64" s="72"/>
      <c r="C64" s="58"/>
      <c r="D64" s="58"/>
      <c r="Q64" s="60"/>
      <c r="R64" s="61"/>
      <c r="S64" s="61"/>
      <c r="T64" s="58"/>
      <c r="U64" s="58"/>
      <c r="V64" s="58"/>
      <c r="W64" s="58"/>
      <c r="X64" s="58"/>
      <c r="Y64" s="58"/>
      <c r="Z64" s="58"/>
      <c r="AA64" s="58"/>
      <c r="AB64" s="58"/>
      <c r="AC64" s="58"/>
      <c r="AD64" s="58"/>
      <c r="AE64" s="58"/>
      <c r="AF64" s="58"/>
      <c r="AG64" s="58"/>
      <c r="AI64" s="58"/>
      <c r="AJ64" s="58"/>
      <c r="AK64" s="58"/>
    </row>
    <row r="65" spans="1:37" s="59" customFormat="1" ht="17.25" customHeight="1" x14ac:dyDescent="0.2">
      <c r="A65" s="58"/>
      <c r="B65" s="72"/>
      <c r="C65" s="58"/>
      <c r="D65" s="58"/>
      <c r="E65" s="58"/>
      <c r="F65" s="58"/>
      <c r="G65" s="58"/>
      <c r="H65" s="60"/>
      <c r="I65" s="137"/>
      <c r="J65" s="156"/>
      <c r="K65" s="58"/>
      <c r="L65" s="58"/>
      <c r="Q65" s="60"/>
      <c r="R65" s="61"/>
      <c r="S65" s="61"/>
      <c r="T65" s="58"/>
      <c r="U65" s="58"/>
      <c r="V65" s="58"/>
      <c r="W65" s="58"/>
      <c r="X65" s="58"/>
      <c r="Y65" s="58"/>
      <c r="Z65" s="58"/>
      <c r="AA65" s="58"/>
      <c r="AB65" s="58"/>
      <c r="AC65" s="58"/>
      <c r="AD65" s="58"/>
      <c r="AE65" s="58"/>
      <c r="AF65" s="58"/>
      <c r="AG65" s="58"/>
      <c r="AI65" s="58"/>
      <c r="AJ65" s="58"/>
      <c r="AK65" s="58"/>
    </row>
    <row r="66" spans="1:37" s="59" customFormat="1" x14ac:dyDescent="0.2">
      <c r="A66" s="58"/>
      <c r="B66" s="72"/>
      <c r="C66" s="58"/>
      <c r="D66" s="58"/>
      <c r="E66" s="58"/>
      <c r="F66" s="58"/>
      <c r="G66" s="58"/>
      <c r="H66" s="60"/>
      <c r="I66" s="137"/>
      <c r="J66" s="58"/>
      <c r="K66" s="58"/>
      <c r="L66" s="58"/>
      <c r="Q66" s="60"/>
      <c r="R66" s="61"/>
      <c r="S66" s="61"/>
      <c r="T66" s="58"/>
      <c r="U66" s="58"/>
      <c r="V66" s="58"/>
      <c r="W66" s="58"/>
      <c r="X66" s="58"/>
      <c r="Y66" s="58"/>
      <c r="Z66" s="58"/>
      <c r="AA66" s="58"/>
      <c r="AB66" s="58"/>
      <c r="AC66" s="58"/>
      <c r="AD66" s="58"/>
      <c r="AE66" s="58"/>
      <c r="AF66" s="58"/>
      <c r="AG66" s="58"/>
      <c r="AI66" s="58"/>
      <c r="AJ66" s="58"/>
      <c r="AK66" s="58"/>
    </row>
    <row r="67" spans="1:37" s="59" customFormat="1" x14ac:dyDescent="0.2">
      <c r="A67" s="58"/>
      <c r="B67" s="72"/>
      <c r="C67" s="58"/>
      <c r="D67" s="58"/>
      <c r="J67" s="58"/>
      <c r="K67" s="58"/>
      <c r="L67" s="58"/>
      <c r="Q67" s="60"/>
      <c r="R67" s="61"/>
      <c r="S67" s="61"/>
      <c r="T67" s="58"/>
      <c r="U67" s="58"/>
      <c r="V67" s="58"/>
      <c r="W67" s="58"/>
      <c r="X67" s="58"/>
      <c r="Y67" s="58"/>
      <c r="Z67" s="58"/>
      <c r="AA67" s="58"/>
      <c r="AB67" s="58"/>
      <c r="AC67" s="58"/>
      <c r="AD67" s="58"/>
      <c r="AE67" s="58"/>
      <c r="AF67" s="58"/>
      <c r="AG67" s="58"/>
      <c r="AI67" s="58"/>
      <c r="AJ67" s="58"/>
      <c r="AK67" s="58"/>
    </row>
    <row r="68" spans="1:37" s="59" customFormat="1" ht="15" customHeight="1" x14ac:dyDescent="0.2">
      <c r="A68" s="58"/>
      <c r="B68" s="72"/>
      <c r="C68" s="58"/>
      <c r="D68" s="58"/>
      <c r="J68" s="58"/>
      <c r="K68" s="58"/>
      <c r="L68" s="58"/>
      <c r="Q68" s="60"/>
      <c r="R68" s="61"/>
      <c r="S68" s="61"/>
      <c r="T68" s="58"/>
      <c r="U68" s="58"/>
      <c r="V68" s="58"/>
      <c r="W68" s="58"/>
      <c r="X68" s="58"/>
      <c r="Y68" s="58"/>
      <c r="Z68" s="58"/>
      <c r="AA68" s="58"/>
      <c r="AB68" s="58"/>
      <c r="AC68" s="58"/>
      <c r="AD68" s="58"/>
      <c r="AE68" s="58"/>
      <c r="AF68" s="58"/>
      <c r="AG68" s="58"/>
      <c r="AI68" s="58"/>
      <c r="AJ68" s="58"/>
      <c r="AK68" s="58"/>
    </row>
    <row r="69" spans="1:37" s="59" customFormat="1" x14ac:dyDescent="0.2">
      <c r="A69" s="58"/>
      <c r="B69" s="117"/>
      <c r="C69" s="58"/>
      <c r="D69" s="58"/>
      <c r="J69" s="58"/>
      <c r="K69" s="58"/>
      <c r="L69" s="58"/>
      <c r="Q69" s="60"/>
      <c r="R69" s="61"/>
      <c r="S69" s="61"/>
      <c r="T69" s="58"/>
      <c r="U69" s="58"/>
      <c r="V69" s="58"/>
      <c r="W69" s="58"/>
      <c r="X69" s="58"/>
      <c r="Y69" s="58"/>
      <c r="Z69" s="58"/>
      <c r="AA69" s="58"/>
      <c r="AB69" s="58"/>
      <c r="AC69" s="58"/>
      <c r="AD69" s="58"/>
      <c r="AE69" s="58"/>
      <c r="AF69" s="58"/>
      <c r="AG69" s="58"/>
      <c r="AI69" s="58"/>
      <c r="AJ69" s="58"/>
      <c r="AK69" s="58"/>
    </row>
    <row r="70" spans="1:37" s="59" customFormat="1" x14ac:dyDescent="0.2">
      <c r="A70" s="58"/>
      <c r="B70" s="117"/>
      <c r="C70" s="58"/>
      <c r="D70" s="58"/>
      <c r="J70" s="58"/>
      <c r="K70" s="58"/>
      <c r="L70" s="58"/>
      <c r="Q70" s="60"/>
      <c r="R70" s="61"/>
      <c r="S70" s="61"/>
      <c r="T70" s="58"/>
      <c r="U70" s="58"/>
      <c r="V70" s="58"/>
      <c r="W70" s="58"/>
      <c r="X70" s="58"/>
      <c r="Y70" s="58"/>
      <c r="Z70" s="58"/>
      <c r="AA70" s="58"/>
      <c r="AB70" s="58"/>
      <c r="AC70" s="58"/>
      <c r="AD70" s="58"/>
      <c r="AE70" s="58"/>
      <c r="AF70" s="58"/>
      <c r="AG70" s="58"/>
      <c r="AI70" s="58"/>
      <c r="AJ70" s="58"/>
      <c r="AK70" s="58"/>
    </row>
    <row r="71" spans="1:37" x14ac:dyDescent="0.2">
      <c r="B71" s="122"/>
      <c r="J71" s="126"/>
    </row>
    <row r="72" spans="1:37" ht="28.5" customHeight="1" x14ac:dyDescent="0.2"/>
    <row r="73" spans="1:37" ht="18.75" customHeight="1" x14ac:dyDescent="0.2"/>
    <row r="74" spans="1:37" ht="15" customHeight="1" x14ac:dyDescent="0.2"/>
    <row r="75" spans="1:37" ht="18.600000000000001" customHeight="1" x14ac:dyDescent="0.2"/>
    <row r="77" spans="1:37" ht="19.899999999999999" customHeight="1" x14ac:dyDescent="0.2"/>
    <row r="78" spans="1:37" ht="19.899999999999999" customHeight="1" x14ac:dyDescent="0.2"/>
    <row r="79" spans="1:37" ht="19.899999999999999" customHeight="1" x14ac:dyDescent="0.2"/>
    <row r="80" spans="1:37" ht="38.450000000000003" customHeight="1" x14ac:dyDescent="0.2"/>
    <row r="81" spans="10:10" ht="19.899999999999999" customHeight="1" x14ac:dyDescent="0.2"/>
    <row r="82" spans="10:10" ht="19.899999999999999" customHeight="1" x14ac:dyDescent="0.2"/>
    <row r="83" spans="10:10" ht="19.899999999999999" customHeight="1" x14ac:dyDescent="0.2"/>
    <row r="95" spans="10:10" x14ac:dyDescent="0.2">
      <c r="J95" s="156"/>
    </row>
    <row r="103" spans="10:10" x14ac:dyDescent="0.2">
      <c r="J103" s="126"/>
    </row>
  </sheetData>
  <mergeCells count="17">
    <mergeCell ref="E29:F29"/>
    <mergeCell ref="K29:L29"/>
    <mergeCell ref="Q29:R29"/>
    <mergeCell ref="W29:X29"/>
    <mergeCell ref="AC29:AD29"/>
    <mergeCell ref="AC27:AD27"/>
    <mergeCell ref="AC3:AG3"/>
    <mergeCell ref="AI3:AK3"/>
    <mergeCell ref="AI4:AJ4"/>
    <mergeCell ref="E3:I3"/>
    <mergeCell ref="E27:F27"/>
    <mergeCell ref="W27:X27"/>
    <mergeCell ref="Q27:R27"/>
    <mergeCell ref="K3:O3"/>
    <mergeCell ref="Q3:U3"/>
    <mergeCell ref="W3:AA3"/>
    <mergeCell ref="K27:L27"/>
  </mergeCells>
  <pageMargins left="0.25" right="0.25" top="0.25" bottom="0.25" header="0.3" footer="0.3"/>
  <pageSetup scale="5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AF7A9-749F-4187-B52F-68DAAA04EDC7}">
  <dimension ref="A1:E16"/>
  <sheetViews>
    <sheetView zoomScale="90" zoomScaleNormal="90" workbookViewId="0">
      <selection activeCell="H33" sqref="H33"/>
    </sheetView>
  </sheetViews>
  <sheetFormatPr defaultColWidth="8.75" defaultRowHeight="15" x14ac:dyDescent="0.25"/>
  <cols>
    <col min="1" max="1" width="32.625" style="5" customWidth="1"/>
    <col min="2" max="2" width="18.25" style="5" customWidth="1"/>
    <col min="3" max="3" width="18.125" style="5" customWidth="1"/>
    <col min="4" max="4" width="12.625" style="5" customWidth="1"/>
    <col min="5" max="5" width="16.125" style="5" customWidth="1"/>
    <col min="6" max="16384" width="8.75" style="5"/>
  </cols>
  <sheetData>
    <row r="1" spans="1:5" ht="60.75" thickBot="1" x14ac:dyDescent="0.3">
      <c r="A1" s="4"/>
      <c r="B1" s="18" t="s">
        <v>306</v>
      </c>
      <c r="C1" s="17" t="s">
        <v>307</v>
      </c>
      <c r="E1" s="16" t="s">
        <v>308</v>
      </c>
    </row>
    <row r="2" spans="1:5" x14ac:dyDescent="0.25">
      <c r="A2" s="6" t="s">
        <v>66</v>
      </c>
      <c r="B2" s="19">
        <f>'M2022 BLS  (53_PCT)'!C6</f>
        <v>41600</v>
      </c>
      <c r="C2" s="7">
        <f>'M2022 BLS  (53_PCT)'!C8</f>
        <v>53206.566400000003</v>
      </c>
      <c r="E2" s="164">
        <v>10000</v>
      </c>
    </row>
    <row r="3" spans="1:5" x14ac:dyDescent="0.25">
      <c r="A3" s="8" t="s">
        <v>309</v>
      </c>
      <c r="B3" s="20">
        <f>'M2022 BLS  (53_PCT)'!C38</f>
        <v>0.27379999999999999</v>
      </c>
      <c r="C3" s="9">
        <f>B3</f>
        <v>0.27379999999999999</v>
      </c>
      <c r="D3" s="25"/>
      <c r="E3" s="27"/>
    </row>
    <row r="4" spans="1:5" x14ac:dyDescent="0.25">
      <c r="A4" s="8" t="s">
        <v>310</v>
      </c>
      <c r="B4" s="21">
        <f>B2*B3</f>
        <v>11390.08</v>
      </c>
      <c r="C4" s="10">
        <f>C2*C3</f>
        <v>14567.95788032</v>
      </c>
      <c r="D4" s="25"/>
    </row>
    <row r="5" spans="1:5" x14ac:dyDescent="0.25">
      <c r="A5" s="8" t="s">
        <v>81</v>
      </c>
      <c r="B5" s="21">
        <f>B4+B2</f>
        <v>52990.080000000002</v>
      </c>
      <c r="C5" s="10">
        <f>C4+C2</f>
        <v>67774.524280320009</v>
      </c>
    </row>
    <row r="6" spans="1:5" ht="15.75" thickBot="1" x14ac:dyDescent="0.3">
      <c r="A6" s="8" t="s">
        <v>364</v>
      </c>
      <c r="B6" s="161">
        <f>B5*'CAF Spring 2023'!CI26</f>
        <v>1436.0512576797969</v>
      </c>
      <c r="C6" s="162">
        <f>C5*'CAF Spring 2023'!CI26</f>
        <v>1836.7153027774909</v>
      </c>
      <c r="D6" s="24"/>
      <c r="E6" s="24"/>
    </row>
    <row r="7" spans="1:5" ht="16.5" thickTop="1" thickBot="1" x14ac:dyDescent="0.3">
      <c r="A7" s="11" t="s">
        <v>381</v>
      </c>
      <c r="B7" s="22">
        <f>(B5+B6)/12</f>
        <v>4535.5109381399834</v>
      </c>
      <c r="C7" s="12">
        <f>(C5+C6)/12</f>
        <v>5800.936631924792</v>
      </c>
    </row>
    <row r="8" spans="1:5" ht="15.75" thickBot="1" x14ac:dyDescent="0.3">
      <c r="A8" s="13" t="s">
        <v>382</v>
      </c>
      <c r="B8" s="23">
        <f>B7*0.5</f>
        <v>2267.7554690699917</v>
      </c>
      <c r="C8" s="14">
        <f>C7*0.5</f>
        <v>2900.468315962396</v>
      </c>
    </row>
    <row r="9" spans="1:5" x14ac:dyDescent="0.25">
      <c r="A9" s="28"/>
      <c r="B9" s="29"/>
      <c r="C9" s="29"/>
    </row>
    <row r="10" spans="1:5" x14ac:dyDescent="0.25">
      <c r="A10" s="25"/>
      <c r="B10" s="26"/>
      <c r="C10" s="26"/>
    </row>
    <row r="11" spans="1:5" x14ac:dyDescent="0.25">
      <c r="A11" s="25"/>
      <c r="B11" s="163"/>
      <c r="C11" s="163"/>
    </row>
    <row r="12" spans="1:5" x14ac:dyDescent="0.25">
      <c r="A12" s="25"/>
      <c r="B12" s="26"/>
      <c r="C12" s="26"/>
    </row>
    <row r="13" spans="1:5" x14ac:dyDescent="0.25">
      <c r="A13" s="25"/>
      <c r="B13" s="163"/>
      <c r="C13" s="163"/>
    </row>
    <row r="15" spans="1:5" x14ac:dyDescent="0.25">
      <c r="B15" s="15"/>
    </row>
    <row r="16" spans="1:5" ht="12.75"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C483-CFD0-4FFA-B8DF-93A499F86D14}">
  <sheetPr>
    <pageSetUpPr fitToPage="1"/>
  </sheetPr>
  <dimension ref="A1:M54"/>
  <sheetViews>
    <sheetView topLeftCell="A2" zoomScaleNormal="100" workbookViewId="0">
      <pane ySplit="1" topLeftCell="A3" activePane="bottomLeft" state="frozen"/>
      <selection activeCell="E5" sqref="E5"/>
      <selection pane="bottomLeft" activeCell="D70" sqref="D70"/>
    </sheetView>
  </sheetViews>
  <sheetFormatPr defaultColWidth="8.375" defaultRowHeight="14.25" x14ac:dyDescent="0.2"/>
  <cols>
    <col min="1" max="1" width="4.5" style="922" bestFit="1" customWidth="1"/>
    <col min="2" max="2" width="6.75" style="922" bestFit="1" customWidth="1"/>
    <col min="3" max="3" width="19" style="922" bestFit="1" customWidth="1"/>
    <col min="4" max="4" width="23" style="922" customWidth="1"/>
    <col min="5" max="5" width="22" style="922" bestFit="1" customWidth="1"/>
    <col min="6" max="6" width="10.25" style="922" customWidth="1"/>
    <col min="7" max="7" width="13.375" style="922" customWidth="1"/>
    <col min="8" max="8" width="7.125" style="930" customWidth="1"/>
    <col min="9" max="9" width="13.625" style="921" customWidth="1"/>
    <col min="10" max="10" width="13.625" style="922" customWidth="1"/>
    <col min="11" max="11" width="14.25" style="922" customWidth="1"/>
    <col min="12" max="256" width="8.375" style="922"/>
    <col min="257" max="257" width="4.5" style="922" bestFit="1" customWidth="1"/>
    <col min="258" max="258" width="6.75" style="922" bestFit="1" customWidth="1"/>
    <col min="259" max="259" width="19" style="922" bestFit="1" customWidth="1"/>
    <col min="260" max="260" width="23" style="922" customWidth="1"/>
    <col min="261" max="261" width="22" style="922" bestFit="1" customWidth="1"/>
    <col min="262" max="262" width="10.25" style="922" bestFit="1" customWidth="1"/>
    <col min="263" max="263" width="13.375" style="922" customWidth="1"/>
    <col min="264" max="512" width="8.375" style="922"/>
    <col min="513" max="513" width="4.5" style="922" bestFit="1" customWidth="1"/>
    <col min="514" max="514" width="6.75" style="922" bestFit="1" customWidth="1"/>
    <col min="515" max="515" width="19" style="922" bestFit="1" customWidth="1"/>
    <col min="516" max="516" width="23" style="922" customWidth="1"/>
    <col min="517" max="517" width="22" style="922" bestFit="1" customWidth="1"/>
    <col min="518" max="518" width="10.25" style="922" bestFit="1" customWidth="1"/>
    <col min="519" max="519" width="13.375" style="922" customWidth="1"/>
    <col min="520" max="768" width="8.375" style="922"/>
    <col min="769" max="769" width="4.5" style="922" bestFit="1" customWidth="1"/>
    <col min="770" max="770" width="6.75" style="922" bestFit="1" customWidth="1"/>
    <col min="771" max="771" width="19" style="922" bestFit="1" customWidth="1"/>
    <col min="772" max="772" width="23" style="922" customWidth="1"/>
    <col min="773" max="773" width="22" style="922" bestFit="1" customWidth="1"/>
    <col min="774" max="774" width="10.25" style="922" bestFit="1" customWidth="1"/>
    <col min="775" max="775" width="13.375" style="922" customWidth="1"/>
    <col min="776" max="1024" width="8.375" style="922"/>
    <col min="1025" max="1025" width="4.5" style="922" bestFit="1" customWidth="1"/>
    <col min="1026" max="1026" width="6.75" style="922" bestFit="1" customWidth="1"/>
    <col min="1027" max="1027" width="19" style="922" bestFit="1" customWidth="1"/>
    <col min="1028" max="1028" width="23" style="922" customWidth="1"/>
    <col min="1029" max="1029" width="22" style="922" bestFit="1" customWidth="1"/>
    <col min="1030" max="1030" width="10.25" style="922" bestFit="1" customWidth="1"/>
    <col min="1031" max="1031" width="13.375" style="922" customWidth="1"/>
    <col min="1032" max="1280" width="8.375" style="922"/>
    <col min="1281" max="1281" width="4.5" style="922" bestFit="1" customWidth="1"/>
    <col min="1282" max="1282" width="6.75" style="922" bestFit="1" customWidth="1"/>
    <col min="1283" max="1283" width="19" style="922" bestFit="1" customWidth="1"/>
    <col min="1284" max="1284" width="23" style="922" customWidth="1"/>
    <col min="1285" max="1285" width="22" style="922" bestFit="1" customWidth="1"/>
    <col min="1286" max="1286" width="10.25" style="922" bestFit="1" customWidth="1"/>
    <col min="1287" max="1287" width="13.375" style="922" customWidth="1"/>
    <col min="1288" max="1536" width="8.375" style="922"/>
    <col min="1537" max="1537" width="4.5" style="922" bestFit="1" customWidth="1"/>
    <col min="1538" max="1538" width="6.75" style="922" bestFit="1" customWidth="1"/>
    <col min="1539" max="1539" width="19" style="922" bestFit="1" customWidth="1"/>
    <col min="1540" max="1540" width="23" style="922" customWidth="1"/>
    <col min="1541" max="1541" width="22" style="922" bestFit="1" customWidth="1"/>
    <col min="1542" max="1542" width="10.25" style="922" bestFit="1" customWidth="1"/>
    <col min="1543" max="1543" width="13.375" style="922" customWidth="1"/>
    <col min="1544" max="1792" width="8.375" style="922"/>
    <col min="1793" max="1793" width="4.5" style="922" bestFit="1" customWidth="1"/>
    <col min="1794" max="1794" width="6.75" style="922" bestFit="1" customWidth="1"/>
    <col min="1795" max="1795" width="19" style="922" bestFit="1" customWidth="1"/>
    <col min="1796" max="1796" width="23" style="922" customWidth="1"/>
    <col min="1797" max="1797" width="22" style="922" bestFit="1" customWidth="1"/>
    <col min="1798" max="1798" width="10.25" style="922" bestFit="1" customWidth="1"/>
    <col min="1799" max="1799" width="13.375" style="922" customWidth="1"/>
    <col min="1800" max="2048" width="8.375" style="922"/>
    <col min="2049" max="2049" width="4.5" style="922" bestFit="1" customWidth="1"/>
    <col min="2050" max="2050" width="6.75" style="922" bestFit="1" customWidth="1"/>
    <col min="2051" max="2051" width="19" style="922" bestFit="1" customWidth="1"/>
    <col min="2052" max="2052" width="23" style="922" customWidth="1"/>
    <col min="2053" max="2053" width="22" style="922" bestFit="1" customWidth="1"/>
    <col min="2054" max="2054" width="10.25" style="922" bestFit="1" customWidth="1"/>
    <col min="2055" max="2055" width="13.375" style="922" customWidth="1"/>
    <col min="2056" max="2304" width="8.375" style="922"/>
    <col min="2305" max="2305" width="4.5" style="922" bestFit="1" customWidth="1"/>
    <col min="2306" max="2306" width="6.75" style="922" bestFit="1" customWidth="1"/>
    <col min="2307" max="2307" width="19" style="922" bestFit="1" customWidth="1"/>
    <col min="2308" max="2308" width="23" style="922" customWidth="1"/>
    <col min="2309" max="2309" width="22" style="922" bestFit="1" customWidth="1"/>
    <col min="2310" max="2310" width="10.25" style="922" bestFit="1" customWidth="1"/>
    <col min="2311" max="2311" width="13.375" style="922" customWidth="1"/>
    <col min="2312" max="2560" width="8.375" style="922"/>
    <col min="2561" max="2561" width="4.5" style="922" bestFit="1" customWidth="1"/>
    <col min="2562" max="2562" width="6.75" style="922" bestFit="1" customWidth="1"/>
    <col min="2563" max="2563" width="19" style="922" bestFit="1" customWidth="1"/>
    <col min="2564" max="2564" width="23" style="922" customWidth="1"/>
    <col min="2565" max="2565" width="22" style="922" bestFit="1" customWidth="1"/>
    <col min="2566" max="2566" width="10.25" style="922" bestFit="1" customWidth="1"/>
    <col min="2567" max="2567" width="13.375" style="922" customWidth="1"/>
    <col min="2568" max="2816" width="8.375" style="922"/>
    <col min="2817" max="2817" width="4.5" style="922" bestFit="1" customWidth="1"/>
    <col min="2818" max="2818" width="6.75" style="922" bestFit="1" customWidth="1"/>
    <col min="2819" max="2819" width="19" style="922" bestFit="1" customWidth="1"/>
    <col min="2820" max="2820" width="23" style="922" customWidth="1"/>
    <col min="2821" max="2821" width="22" style="922" bestFit="1" customWidth="1"/>
    <col min="2822" max="2822" width="10.25" style="922" bestFit="1" customWidth="1"/>
    <col min="2823" max="2823" width="13.375" style="922" customWidth="1"/>
    <col min="2824" max="3072" width="8.375" style="922"/>
    <col min="3073" max="3073" width="4.5" style="922" bestFit="1" customWidth="1"/>
    <col min="3074" max="3074" width="6.75" style="922" bestFit="1" customWidth="1"/>
    <col min="3075" max="3075" width="19" style="922" bestFit="1" customWidth="1"/>
    <col min="3076" max="3076" width="23" style="922" customWidth="1"/>
    <col min="3077" max="3077" width="22" style="922" bestFit="1" customWidth="1"/>
    <col min="3078" max="3078" width="10.25" style="922" bestFit="1" customWidth="1"/>
    <col min="3079" max="3079" width="13.375" style="922" customWidth="1"/>
    <col min="3080" max="3328" width="8.375" style="922"/>
    <col min="3329" max="3329" width="4.5" style="922" bestFit="1" customWidth="1"/>
    <col min="3330" max="3330" width="6.75" style="922" bestFit="1" customWidth="1"/>
    <col min="3331" max="3331" width="19" style="922" bestFit="1" customWidth="1"/>
    <col min="3332" max="3332" width="23" style="922" customWidth="1"/>
    <col min="3333" max="3333" width="22" style="922" bestFit="1" customWidth="1"/>
    <col min="3334" max="3334" width="10.25" style="922" bestFit="1" customWidth="1"/>
    <col min="3335" max="3335" width="13.375" style="922" customWidth="1"/>
    <col min="3336" max="3584" width="8.375" style="922"/>
    <col min="3585" max="3585" width="4.5" style="922" bestFit="1" customWidth="1"/>
    <col min="3586" max="3586" width="6.75" style="922" bestFit="1" customWidth="1"/>
    <col min="3587" max="3587" width="19" style="922" bestFit="1" customWidth="1"/>
    <col min="3588" max="3588" width="23" style="922" customWidth="1"/>
    <col min="3589" max="3589" width="22" style="922" bestFit="1" customWidth="1"/>
    <col min="3590" max="3590" width="10.25" style="922" bestFit="1" customWidth="1"/>
    <col min="3591" max="3591" width="13.375" style="922" customWidth="1"/>
    <col min="3592" max="3840" width="8.375" style="922"/>
    <col min="3841" max="3841" width="4.5" style="922" bestFit="1" customWidth="1"/>
    <col min="3842" max="3842" width="6.75" style="922" bestFit="1" customWidth="1"/>
    <col min="3843" max="3843" width="19" style="922" bestFit="1" customWidth="1"/>
    <col min="3844" max="3844" width="23" style="922" customWidth="1"/>
    <col min="3845" max="3845" width="22" style="922" bestFit="1" customWidth="1"/>
    <col min="3846" max="3846" width="10.25" style="922" bestFit="1" customWidth="1"/>
    <col min="3847" max="3847" width="13.375" style="922" customWidth="1"/>
    <col min="3848" max="4096" width="8.375" style="922"/>
    <col min="4097" max="4097" width="4.5" style="922" bestFit="1" customWidth="1"/>
    <col min="4098" max="4098" width="6.75" style="922" bestFit="1" customWidth="1"/>
    <col min="4099" max="4099" width="19" style="922" bestFit="1" customWidth="1"/>
    <col min="4100" max="4100" width="23" style="922" customWidth="1"/>
    <col min="4101" max="4101" width="22" style="922" bestFit="1" customWidth="1"/>
    <col min="4102" max="4102" width="10.25" style="922" bestFit="1" customWidth="1"/>
    <col min="4103" max="4103" width="13.375" style="922" customWidth="1"/>
    <col min="4104" max="4352" width="8.375" style="922"/>
    <col min="4353" max="4353" width="4.5" style="922" bestFit="1" customWidth="1"/>
    <col min="4354" max="4354" width="6.75" style="922" bestFit="1" customWidth="1"/>
    <col min="4355" max="4355" width="19" style="922" bestFit="1" customWidth="1"/>
    <col min="4356" max="4356" width="23" style="922" customWidth="1"/>
    <col min="4357" max="4357" width="22" style="922" bestFit="1" customWidth="1"/>
    <col min="4358" max="4358" width="10.25" style="922" bestFit="1" customWidth="1"/>
    <col min="4359" max="4359" width="13.375" style="922" customWidth="1"/>
    <col min="4360" max="4608" width="8.375" style="922"/>
    <col min="4609" max="4609" width="4.5" style="922" bestFit="1" customWidth="1"/>
    <col min="4610" max="4610" width="6.75" style="922" bestFit="1" customWidth="1"/>
    <col min="4611" max="4611" width="19" style="922" bestFit="1" customWidth="1"/>
    <col min="4612" max="4612" width="23" style="922" customWidth="1"/>
    <col min="4613" max="4613" width="22" style="922" bestFit="1" customWidth="1"/>
    <col min="4614" max="4614" width="10.25" style="922" bestFit="1" customWidth="1"/>
    <col min="4615" max="4615" width="13.375" style="922" customWidth="1"/>
    <col min="4616" max="4864" width="8.375" style="922"/>
    <col min="4865" max="4865" width="4.5" style="922" bestFit="1" customWidth="1"/>
    <col min="4866" max="4866" width="6.75" style="922" bestFit="1" customWidth="1"/>
    <col min="4867" max="4867" width="19" style="922" bestFit="1" customWidth="1"/>
    <col min="4868" max="4868" width="23" style="922" customWidth="1"/>
    <col min="4869" max="4869" width="22" style="922" bestFit="1" customWidth="1"/>
    <col min="4870" max="4870" width="10.25" style="922" bestFit="1" customWidth="1"/>
    <col min="4871" max="4871" width="13.375" style="922" customWidth="1"/>
    <col min="4872" max="5120" width="8.375" style="922"/>
    <col min="5121" max="5121" width="4.5" style="922" bestFit="1" customWidth="1"/>
    <col min="5122" max="5122" width="6.75" style="922" bestFit="1" customWidth="1"/>
    <col min="5123" max="5123" width="19" style="922" bestFit="1" customWidth="1"/>
    <col min="5124" max="5124" width="23" style="922" customWidth="1"/>
    <col min="5125" max="5125" width="22" style="922" bestFit="1" customWidth="1"/>
    <col min="5126" max="5126" width="10.25" style="922" bestFit="1" customWidth="1"/>
    <col min="5127" max="5127" width="13.375" style="922" customWidth="1"/>
    <col min="5128" max="5376" width="8.375" style="922"/>
    <col min="5377" max="5377" width="4.5" style="922" bestFit="1" customWidth="1"/>
    <col min="5378" max="5378" width="6.75" style="922" bestFit="1" customWidth="1"/>
    <col min="5379" max="5379" width="19" style="922" bestFit="1" customWidth="1"/>
    <col min="5380" max="5380" width="23" style="922" customWidth="1"/>
    <col min="5381" max="5381" width="22" style="922" bestFit="1" customWidth="1"/>
    <col min="5382" max="5382" width="10.25" style="922" bestFit="1" customWidth="1"/>
    <col min="5383" max="5383" width="13.375" style="922" customWidth="1"/>
    <col min="5384" max="5632" width="8.375" style="922"/>
    <col min="5633" max="5633" width="4.5" style="922" bestFit="1" customWidth="1"/>
    <col min="5634" max="5634" width="6.75" style="922" bestFit="1" customWidth="1"/>
    <col min="5635" max="5635" width="19" style="922" bestFit="1" customWidth="1"/>
    <col min="5636" max="5636" width="23" style="922" customWidth="1"/>
    <col min="5637" max="5637" width="22" style="922" bestFit="1" customWidth="1"/>
    <col min="5638" max="5638" width="10.25" style="922" bestFit="1" customWidth="1"/>
    <col min="5639" max="5639" width="13.375" style="922" customWidth="1"/>
    <col min="5640" max="5888" width="8.375" style="922"/>
    <col min="5889" max="5889" width="4.5" style="922" bestFit="1" customWidth="1"/>
    <col min="5890" max="5890" width="6.75" style="922" bestFit="1" customWidth="1"/>
    <col min="5891" max="5891" width="19" style="922" bestFit="1" customWidth="1"/>
    <col min="5892" max="5892" width="23" style="922" customWidth="1"/>
    <col min="5893" max="5893" width="22" style="922" bestFit="1" customWidth="1"/>
    <col min="5894" max="5894" width="10.25" style="922" bestFit="1" customWidth="1"/>
    <col min="5895" max="5895" width="13.375" style="922" customWidth="1"/>
    <col min="5896" max="6144" width="8.375" style="922"/>
    <col min="6145" max="6145" width="4.5" style="922" bestFit="1" customWidth="1"/>
    <col min="6146" max="6146" width="6.75" style="922" bestFit="1" customWidth="1"/>
    <col min="6147" max="6147" width="19" style="922" bestFit="1" customWidth="1"/>
    <col min="6148" max="6148" width="23" style="922" customWidth="1"/>
    <col min="6149" max="6149" width="22" style="922" bestFit="1" customWidth="1"/>
    <col min="6150" max="6150" width="10.25" style="922" bestFit="1" customWidth="1"/>
    <col min="6151" max="6151" width="13.375" style="922" customWidth="1"/>
    <col min="6152" max="6400" width="8.375" style="922"/>
    <col min="6401" max="6401" width="4.5" style="922" bestFit="1" customWidth="1"/>
    <col min="6402" max="6402" width="6.75" style="922" bestFit="1" customWidth="1"/>
    <col min="6403" max="6403" width="19" style="922" bestFit="1" customWidth="1"/>
    <col min="6404" max="6404" width="23" style="922" customWidth="1"/>
    <col min="6405" max="6405" width="22" style="922" bestFit="1" customWidth="1"/>
    <col min="6406" max="6406" width="10.25" style="922" bestFit="1" customWidth="1"/>
    <col min="6407" max="6407" width="13.375" style="922" customWidth="1"/>
    <col min="6408" max="6656" width="8.375" style="922"/>
    <col min="6657" max="6657" width="4.5" style="922" bestFit="1" customWidth="1"/>
    <col min="6658" max="6658" width="6.75" style="922" bestFit="1" customWidth="1"/>
    <col min="6659" max="6659" width="19" style="922" bestFit="1" customWidth="1"/>
    <col min="6660" max="6660" width="23" style="922" customWidth="1"/>
    <col min="6661" max="6661" width="22" style="922" bestFit="1" customWidth="1"/>
    <col min="6662" max="6662" width="10.25" style="922" bestFit="1" customWidth="1"/>
    <col min="6663" max="6663" width="13.375" style="922" customWidth="1"/>
    <col min="6664" max="6912" width="8.375" style="922"/>
    <col min="6913" max="6913" width="4.5" style="922" bestFit="1" customWidth="1"/>
    <col min="6914" max="6914" width="6.75" style="922" bestFit="1" customWidth="1"/>
    <col min="6915" max="6915" width="19" style="922" bestFit="1" customWidth="1"/>
    <col min="6916" max="6916" width="23" style="922" customWidth="1"/>
    <col min="6917" max="6917" width="22" style="922" bestFit="1" customWidth="1"/>
    <col min="6918" max="6918" width="10.25" style="922" bestFit="1" customWidth="1"/>
    <col min="6919" max="6919" width="13.375" style="922" customWidth="1"/>
    <col min="6920" max="7168" width="8.375" style="922"/>
    <col min="7169" max="7169" width="4.5" style="922" bestFit="1" customWidth="1"/>
    <col min="7170" max="7170" width="6.75" style="922" bestFit="1" customWidth="1"/>
    <col min="7171" max="7171" width="19" style="922" bestFit="1" customWidth="1"/>
    <col min="7172" max="7172" width="23" style="922" customWidth="1"/>
    <col min="7173" max="7173" width="22" style="922" bestFit="1" customWidth="1"/>
    <col min="7174" max="7174" width="10.25" style="922" bestFit="1" customWidth="1"/>
    <col min="7175" max="7175" width="13.375" style="922" customWidth="1"/>
    <col min="7176" max="7424" width="8.375" style="922"/>
    <col min="7425" max="7425" width="4.5" style="922" bestFit="1" customWidth="1"/>
    <col min="7426" max="7426" width="6.75" style="922" bestFit="1" customWidth="1"/>
    <col min="7427" max="7427" width="19" style="922" bestFit="1" customWidth="1"/>
    <col min="7428" max="7428" width="23" style="922" customWidth="1"/>
    <col min="7429" max="7429" width="22" style="922" bestFit="1" customWidth="1"/>
    <col min="7430" max="7430" width="10.25" style="922" bestFit="1" customWidth="1"/>
    <col min="7431" max="7431" width="13.375" style="922" customWidth="1"/>
    <col min="7432" max="7680" width="8.375" style="922"/>
    <col min="7681" max="7681" width="4.5" style="922" bestFit="1" customWidth="1"/>
    <col min="7682" max="7682" width="6.75" style="922" bestFit="1" customWidth="1"/>
    <col min="7683" max="7683" width="19" style="922" bestFit="1" customWidth="1"/>
    <col min="7684" max="7684" width="23" style="922" customWidth="1"/>
    <col min="7685" max="7685" width="22" style="922" bestFit="1" customWidth="1"/>
    <col min="7686" max="7686" width="10.25" style="922" bestFit="1" customWidth="1"/>
    <col min="7687" max="7687" width="13.375" style="922" customWidth="1"/>
    <col min="7688" max="7936" width="8.375" style="922"/>
    <col min="7937" max="7937" width="4.5" style="922" bestFit="1" customWidth="1"/>
    <col min="7938" max="7938" width="6.75" style="922" bestFit="1" customWidth="1"/>
    <col min="7939" max="7939" width="19" style="922" bestFit="1" customWidth="1"/>
    <col min="7940" max="7940" width="23" style="922" customWidth="1"/>
    <col min="7941" max="7941" width="22" style="922" bestFit="1" customWidth="1"/>
    <col min="7942" max="7942" width="10.25" style="922" bestFit="1" customWidth="1"/>
    <col min="7943" max="7943" width="13.375" style="922" customWidth="1"/>
    <col min="7944" max="8192" width="8.375" style="922"/>
    <col min="8193" max="8193" width="4.5" style="922" bestFit="1" customWidth="1"/>
    <col min="8194" max="8194" width="6.75" style="922" bestFit="1" customWidth="1"/>
    <col min="8195" max="8195" width="19" style="922" bestFit="1" customWidth="1"/>
    <col min="8196" max="8196" width="23" style="922" customWidth="1"/>
    <col min="8197" max="8197" width="22" style="922" bestFit="1" customWidth="1"/>
    <col min="8198" max="8198" width="10.25" style="922" bestFit="1" customWidth="1"/>
    <col min="8199" max="8199" width="13.375" style="922" customWidth="1"/>
    <col min="8200" max="8448" width="8.375" style="922"/>
    <col min="8449" max="8449" width="4.5" style="922" bestFit="1" customWidth="1"/>
    <col min="8450" max="8450" width="6.75" style="922" bestFit="1" customWidth="1"/>
    <col min="8451" max="8451" width="19" style="922" bestFit="1" customWidth="1"/>
    <col min="8452" max="8452" width="23" style="922" customWidth="1"/>
    <col min="8453" max="8453" width="22" style="922" bestFit="1" customWidth="1"/>
    <col min="8454" max="8454" width="10.25" style="922" bestFit="1" customWidth="1"/>
    <col min="8455" max="8455" width="13.375" style="922" customWidth="1"/>
    <col min="8456" max="8704" width="8.375" style="922"/>
    <col min="8705" max="8705" width="4.5" style="922" bestFit="1" customWidth="1"/>
    <col min="8706" max="8706" width="6.75" style="922" bestFit="1" customWidth="1"/>
    <col min="8707" max="8707" width="19" style="922" bestFit="1" customWidth="1"/>
    <col min="8708" max="8708" width="23" style="922" customWidth="1"/>
    <col min="8709" max="8709" width="22" style="922" bestFit="1" customWidth="1"/>
    <col min="8710" max="8710" width="10.25" style="922" bestFit="1" customWidth="1"/>
    <col min="8711" max="8711" width="13.375" style="922" customWidth="1"/>
    <col min="8712" max="8960" width="8.375" style="922"/>
    <col min="8961" max="8961" width="4.5" style="922" bestFit="1" customWidth="1"/>
    <col min="8962" max="8962" width="6.75" style="922" bestFit="1" customWidth="1"/>
    <col min="8963" max="8963" width="19" style="922" bestFit="1" customWidth="1"/>
    <col min="8964" max="8964" width="23" style="922" customWidth="1"/>
    <col min="8965" max="8965" width="22" style="922" bestFit="1" customWidth="1"/>
    <col min="8966" max="8966" width="10.25" style="922" bestFit="1" customWidth="1"/>
    <col min="8967" max="8967" width="13.375" style="922" customWidth="1"/>
    <col min="8968" max="9216" width="8.375" style="922"/>
    <col min="9217" max="9217" width="4.5" style="922" bestFit="1" customWidth="1"/>
    <col min="9218" max="9218" width="6.75" style="922" bestFit="1" customWidth="1"/>
    <col min="9219" max="9219" width="19" style="922" bestFit="1" customWidth="1"/>
    <col min="9220" max="9220" width="23" style="922" customWidth="1"/>
    <col min="9221" max="9221" width="22" style="922" bestFit="1" customWidth="1"/>
    <col min="9222" max="9222" width="10.25" style="922" bestFit="1" customWidth="1"/>
    <col min="9223" max="9223" width="13.375" style="922" customWidth="1"/>
    <col min="9224" max="9472" width="8.375" style="922"/>
    <col min="9473" max="9473" width="4.5" style="922" bestFit="1" customWidth="1"/>
    <col min="9474" max="9474" width="6.75" style="922" bestFit="1" customWidth="1"/>
    <col min="9475" max="9475" width="19" style="922" bestFit="1" customWidth="1"/>
    <col min="9476" max="9476" width="23" style="922" customWidth="1"/>
    <col min="9477" max="9477" width="22" style="922" bestFit="1" customWidth="1"/>
    <col min="9478" max="9478" width="10.25" style="922" bestFit="1" customWidth="1"/>
    <col min="9479" max="9479" width="13.375" style="922" customWidth="1"/>
    <col min="9480" max="9728" width="8.375" style="922"/>
    <col min="9729" max="9729" width="4.5" style="922" bestFit="1" customWidth="1"/>
    <col min="9730" max="9730" width="6.75" style="922" bestFit="1" customWidth="1"/>
    <col min="9731" max="9731" width="19" style="922" bestFit="1" customWidth="1"/>
    <col min="9732" max="9732" width="23" style="922" customWidth="1"/>
    <col min="9733" max="9733" width="22" style="922" bestFit="1" customWidth="1"/>
    <col min="9734" max="9734" width="10.25" style="922" bestFit="1" customWidth="1"/>
    <col min="9735" max="9735" width="13.375" style="922" customWidth="1"/>
    <col min="9736" max="9984" width="8.375" style="922"/>
    <col min="9985" max="9985" width="4.5" style="922" bestFit="1" customWidth="1"/>
    <col min="9986" max="9986" width="6.75" style="922" bestFit="1" customWidth="1"/>
    <col min="9987" max="9987" width="19" style="922" bestFit="1" customWidth="1"/>
    <col min="9988" max="9988" width="23" style="922" customWidth="1"/>
    <col min="9989" max="9989" width="22" style="922" bestFit="1" customWidth="1"/>
    <col min="9990" max="9990" width="10.25" style="922" bestFit="1" customWidth="1"/>
    <col min="9991" max="9991" width="13.375" style="922" customWidth="1"/>
    <col min="9992" max="10240" width="8.375" style="922"/>
    <col min="10241" max="10241" width="4.5" style="922" bestFit="1" customWidth="1"/>
    <col min="10242" max="10242" width="6.75" style="922" bestFit="1" customWidth="1"/>
    <col min="10243" max="10243" width="19" style="922" bestFit="1" customWidth="1"/>
    <col min="10244" max="10244" width="23" style="922" customWidth="1"/>
    <col min="10245" max="10245" width="22" style="922" bestFit="1" customWidth="1"/>
    <col min="10246" max="10246" width="10.25" style="922" bestFit="1" customWidth="1"/>
    <col min="10247" max="10247" width="13.375" style="922" customWidth="1"/>
    <col min="10248" max="10496" width="8.375" style="922"/>
    <col min="10497" max="10497" width="4.5" style="922" bestFit="1" customWidth="1"/>
    <col min="10498" max="10498" width="6.75" style="922" bestFit="1" customWidth="1"/>
    <col min="10499" max="10499" width="19" style="922" bestFit="1" customWidth="1"/>
    <col min="10500" max="10500" width="23" style="922" customWidth="1"/>
    <col min="10501" max="10501" width="22" style="922" bestFit="1" customWidth="1"/>
    <col min="10502" max="10502" width="10.25" style="922" bestFit="1" customWidth="1"/>
    <col min="10503" max="10503" width="13.375" style="922" customWidth="1"/>
    <col min="10504" max="10752" width="8.375" style="922"/>
    <col min="10753" max="10753" width="4.5" style="922" bestFit="1" customWidth="1"/>
    <col min="10754" max="10754" width="6.75" style="922" bestFit="1" customWidth="1"/>
    <col min="10755" max="10755" width="19" style="922" bestFit="1" customWidth="1"/>
    <col min="10756" max="10756" width="23" style="922" customWidth="1"/>
    <col min="10757" max="10757" width="22" style="922" bestFit="1" customWidth="1"/>
    <col min="10758" max="10758" width="10.25" style="922" bestFit="1" customWidth="1"/>
    <col min="10759" max="10759" width="13.375" style="922" customWidth="1"/>
    <col min="10760" max="11008" width="8.375" style="922"/>
    <col min="11009" max="11009" width="4.5" style="922" bestFit="1" customWidth="1"/>
    <col min="11010" max="11010" width="6.75" style="922" bestFit="1" customWidth="1"/>
    <col min="11011" max="11011" width="19" style="922" bestFit="1" customWidth="1"/>
    <col min="11012" max="11012" width="23" style="922" customWidth="1"/>
    <col min="11013" max="11013" width="22" style="922" bestFit="1" customWidth="1"/>
    <col min="11014" max="11014" width="10.25" style="922" bestFit="1" customWidth="1"/>
    <col min="11015" max="11015" width="13.375" style="922" customWidth="1"/>
    <col min="11016" max="11264" width="8.375" style="922"/>
    <col min="11265" max="11265" width="4.5" style="922" bestFit="1" customWidth="1"/>
    <col min="11266" max="11266" width="6.75" style="922" bestFit="1" customWidth="1"/>
    <col min="11267" max="11267" width="19" style="922" bestFit="1" customWidth="1"/>
    <col min="11268" max="11268" width="23" style="922" customWidth="1"/>
    <col min="11269" max="11269" width="22" style="922" bestFit="1" customWidth="1"/>
    <col min="11270" max="11270" width="10.25" style="922" bestFit="1" customWidth="1"/>
    <col min="11271" max="11271" width="13.375" style="922" customWidth="1"/>
    <col min="11272" max="11520" width="8.375" style="922"/>
    <col min="11521" max="11521" width="4.5" style="922" bestFit="1" customWidth="1"/>
    <col min="11522" max="11522" width="6.75" style="922" bestFit="1" customWidth="1"/>
    <col min="11523" max="11523" width="19" style="922" bestFit="1" customWidth="1"/>
    <col min="11524" max="11524" width="23" style="922" customWidth="1"/>
    <col min="11525" max="11525" width="22" style="922" bestFit="1" customWidth="1"/>
    <col min="11526" max="11526" width="10.25" style="922" bestFit="1" customWidth="1"/>
    <col min="11527" max="11527" width="13.375" style="922" customWidth="1"/>
    <col min="11528" max="11776" width="8.375" style="922"/>
    <col min="11777" max="11777" width="4.5" style="922" bestFit="1" customWidth="1"/>
    <col min="11778" max="11778" width="6.75" style="922" bestFit="1" customWidth="1"/>
    <col min="11779" max="11779" width="19" style="922" bestFit="1" customWidth="1"/>
    <col min="11780" max="11780" width="23" style="922" customWidth="1"/>
    <col min="11781" max="11781" width="22" style="922" bestFit="1" customWidth="1"/>
    <col min="11782" max="11782" width="10.25" style="922" bestFit="1" customWidth="1"/>
    <col min="11783" max="11783" width="13.375" style="922" customWidth="1"/>
    <col min="11784" max="12032" width="8.375" style="922"/>
    <col min="12033" max="12033" width="4.5" style="922" bestFit="1" customWidth="1"/>
    <col min="12034" max="12034" width="6.75" style="922" bestFit="1" customWidth="1"/>
    <col min="12035" max="12035" width="19" style="922" bestFit="1" customWidth="1"/>
    <col min="12036" max="12036" width="23" style="922" customWidth="1"/>
    <col min="12037" max="12037" width="22" style="922" bestFit="1" customWidth="1"/>
    <col min="12038" max="12038" width="10.25" style="922" bestFit="1" customWidth="1"/>
    <col min="12039" max="12039" width="13.375" style="922" customWidth="1"/>
    <col min="12040" max="12288" width="8.375" style="922"/>
    <col min="12289" max="12289" width="4.5" style="922" bestFit="1" customWidth="1"/>
    <col min="12290" max="12290" width="6.75" style="922" bestFit="1" customWidth="1"/>
    <col min="12291" max="12291" width="19" style="922" bestFit="1" customWidth="1"/>
    <col min="12292" max="12292" width="23" style="922" customWidth="1"/>
    <col min="12293" max="12293" width="22" style="922" bestFit="1" customWidth="1"/>
    <col min="12294" max="12294" width="10.25" style="922" bestFit="1" customWidth="1"/>
    <col min="12295" max="12295" width="13.375" style="922" customWidth="1"/>
    <col min="12296" max="12544" width="8.375" style="922"/>
    <col min="12545" max="12545" width="4.5" style="922" bestFit="1" customWidth="1"/>
    <col min="12546" max="12546" width="6.75" style="922" bestFit="1" customWidth="1"/>
    <col min="12547" max="12547" width="19" style="922" bestFit="1" customWidth="1"/>
    <col min="12548" max="12548" width="23" style="922" customWidth="1"/>
    <col min="12549" max="12549" width="22" style="922" bestFit="1" customWidth="1"/>
    <col min="12550" max="12550" width="10.25" style="922" bestFit="1" customWidth="1"/>
    <col min="12551" max="12551" width="13.375" style="922" customWidth="1"/>
    <col min="12552" max="12800" width="8.375" style="922"/>
    <col min="12801" max="12801" width="4.5" style="922" bestFit="1" customWidth="1"/>
    <col min="12802" max="12802" width="6.75" style="922" bestFit="1" customWidth="1"/>
    <col min="12803" max="12803" width="19" style="922" bestFit="1" customWidth="1"/>
    <col min="12804" max="12804" width="23" style="922" customWidth="1"/>
    <col min="12805" max="12805" width="22" style="922" bestFit="1" customWidth="1"/>
    <col min="12806" max="12806" width="10.25" style="922" bestFit="1" customWidth="1"/>
    <col min="12807" max="12807" width="13.375" style="922" customWidth="1"/>
    <col min="12808" max="13056" width="8.375" style="922"/>
    <col min="13057" max="13057" width="4.5" style="922" bestFit="1" customWidth="1"/>
    <col min="13058" max="13058" width="6.75" style="922" bestFit="1" customWidth="1"/>
    <col min="13059" max="13059" width="19" style="922" bestFit="1" customWidth="1"/>
    <col min="13060" max="13060" width="23" style="922" customWidth="1"/>
    <col min="13061" max="13061" width="22" style="922" bestFit="1" customWidth="1"/>
    <col min="13062" max="13062" width="10.25" style="922" bestFit="1" customWidth="1"/>
    <col min="13063" max="13063" width="13.375" style="922" customWidth="1"/>
    <col min="13064" max="13312" width="8.375" style="922"/>
    <col min="13313" max="13313" width="4.5" style="922" bestFit="1" customWidth="1"/>
    <col min="13314" max="13314" width="6.75" style="922" bestFit="1" customWidth="1"/>
    <col min="13315" max="13315" width="19" style="922" bestFit="1" customWidth="1"/>
    <col min="13316" max="13316" width="23" style="922" customWidth="1"/>
    <col min="13317" max="13317" width="22" style="922" bestFit="1" customWidth="1"/>
    <col min="13318" max="13318" width="10.25" style="922" bestFit="1" customWidth="1"/>
    <col min="13319" max="13319" width="13.375" style="922" customWidth="1"/>
    <col min="13320" max="13568" width="8.375" style="922"/>
    <col min="13569" max="13569" width="4.5" style="922" bestFit="1" customWidth="1"/>
    <col min="13570" max="13570" width="6.75" style="922" bestFit="1" customWidth="1"/>
    <col min="13571" max="13571" width="19" style="922" bestFit="1" customWidth="1"/>
    <col min="13572" max="13572" width="23" style="922" customWidth="1"/>
    <col min="13573" max="13573" width="22" style="922" bestFit="1" customWidth="1"/>
    <col min="13574" max="13574" width="10.25" style="922" bestFit="1" customWidth="1"/>
    <col min="13575" max="13575" width="13.375" style="922" customWidth="1"/>
    <col min="13576" max="13824" width="8.375" style="922"/>
    <col min="13825" max="13825" width="4.5" style="922" bestFit="1" customWidth="1"/>
    <col min="13826" max="13826" width="6.75" style="922" bestFit="1" customWidth="1"/>
    <col min="13827" max="13827" width="19" style="922" bestFit="1" customWidth="1"/>
    <col min="13828" max="13828" width="23" style="922" customWidth="1"/>
    <col min="13829" max="13829" width="22" style="922" bestFit="1" customWidth="1"/>
    <col min="13830" max="13830" width="10.25" style="922" bestFit="1" customWidth="1"/>
    <col min="13831" max="13831" width="13.375" style="922" customWidth="1"/>
    <col min="13832" max="14080" width="8.375" style="922"/>
    <col min="14081" max="14081" width="4.5" style="922" bestFit="1" customWidth="1"/>
    <col min="14082" max="14082" width="6.75" style="922" bestFit="1" customWidth="1"/>
    <col min="14083" max="14083" width="19" style="922" bestFit="1" customWidth="1"/>
    <col min="14084" max="14084" width="23" style="922" customWidth="1"/>
    <col min="14085" max="14085" width="22" style="922" bestFit="1" customWidth="1"/>
    <col min="14086" max="14086" width="10.25" style="922" bestFit="1" customWidth="1"/>
    <col min="14087" max="14087" width="13.375" style="922" customWidth="1"/>
    <col min="14088" max="14336" width="8.375" style="922"/>
    <col min="14337" max="14337" width="4.5" style="922" bestFit="1" customWidth="1"/>
    <col min="14338" max="14338" width="6.75" style="922" bestFit="1" customWidth="1"/>
    <col min="14339" max="14339" width="19" style="922" bestFit="1" customWidth="1"/>
    <col min="14340" max="14340" width="23" style="922" customWidth="1"/>
    <col min="14341" max="14341" width="22" style="922" bestFit="1" customWidth="1"/>
    <col min="14342" max="14342" width="10.25" style="922" bestFit="1" customWidth="1"/>
    <col min="14343" max="14343" width="13.375" style="922" customWidth="1"/>
    <col min="14344" max="14592" width="8.375" style="922"/>
    <col min="14593" max="14593" width="4.5" style="922" bestFit="1" customWidth="1"/>
    <col min="14594" max="14594" width="6.75" style="922" bestFit="1" customWidth="1"/>
    <col min="14595" max="14595" width="19" style="922" bestFit="1" customWidth="1"/>
    <col min="14596" max="14596" width="23" style="922" customWidth="1"/>
    <col min="14597" max="14597" width="22" style="922" bestFit="1" customWidth="1"/>
    <col min="14598" max="14598" width="10.25" style="922" bestFit="1" customWidth="1"/>
    <col min="14599" max="14599" width="13.375" style="922" customWidth="1"/>
    <col min="14600" max="14848" width="8.375" style="922"/>
    <col min="14849" max="14849" width="4.5" style="922" bestFit="1" customWidth="1"/>
    <col min="14850" max="14850" width="6.75" style="922" bestFit="1" customWidth="1"/>
    <col min="14851" max="14851" width="19" style="922" bestFit="1" customWidth="1"/>
    <col min="14852" max="14852" width="23" style="922" customWidth="1"/>
    <col min="14853" max="14853" width="22" style="922" bestFit="1" customWidth="1"/>
    <col min="14854" max="14854" width="10.25" style="922" bestFit="1" customWidth="1"/>
    <col min="14855" max="14855" width="13.375" style="922" customWidth="1"/>
    <col min="14856" max="15104" width="8.375" style="922"/>
    <col min="15105" max="15105" width="4.5" style="922" bestFit="1" customWidth="1"/>
    <col min="15106" max="15106" width="6.75" style="922" bestFit="1" customWidth="1"/>
    <col min="15107" max="15107" width="19" style="922" bestFit="1" customWidth="1"/>
    <col min="15108" max="15108" width="23" style="922" customWidth="1"/>
    <col min="15109" max="15109" width="22" style="922" bestFit="1" customWidth="1"/>
    <col min="15110" max="15110" width="10.25" style="922" bestFit="1" customWidth="1"/>
    <col min="15111" max="15111" width="13.375" style="922" customWidth="1"/>
    <col min="15112" max="15360" width="8.375" style="922"/>
    <col min="15361" max="15361" width="4.5" style="922" bestFit="1" customWidth="1"/>
    <col min="15362" max="15362" width="6.75" style="922" bestFit="1" customWidth="1"/>
    <col min="15363" max="15363" width="19" style="922" bestFit="1" customWidth="1"/>
    <col min="15364" max="15364" width="23" style="922" customWidth="1"/>
    <col min="15365" max="15365" width="22" style="922" bestFit="1" customWidth="1"/>
    <col min="15366" max="15366" width="10.25" style="922" bestFit="1" customWidth="1"/>
    <col min="15367" max="15367" width="13.375" style="922" customWidth="1"/>
    <col min="15368" max="15616" width="8.375" style="922"/>
    <col min="15617" max="15617" width="4.5" style="922" bestFit="1" customWidth="1"/>
    <col min="15618" max="15618" width="6.75" style="922" bestFit="1" customWidth="1"/>
    <col min="15619" max="15619" width="19" style="922" bestFit="1" customWidth="1"/>
    <col min="15620" max="15620" width="23" style="922" customWidth="1"/>
    <col min="15621" max="15621" width="22" style="922" bestFit="1" customWidth="1"/>
    <col min="15622" max="15622" width="10.25" style="922" bestFit="1" customWidth="1"/>
    <col min="15623" max="15623" width="13.375" style="922" customWidth="1"/>
    <col min="15624" max="15872" width="8.375" style="922"/>
    <col min="15873" max="15873" width="4.5" style="922" bestFit="1" customWidth="1"/>
    <col min="15874" max="15874" width="6.75" style="922" bestFit="1" customWidth="1"/>
    <col min="15875" max="15875" width="19" style="922" bestFit="1" customWidth="1"/>
    <col min="15876" max="15876" width="23" style="922" customWidth="1"/>
    <col min="15877" max="15877" width="22" style="922" bestFit="1" customWidth="1"/>
    <col min="15878" max="15878" width="10.25" style="922" bestFit="1" customWidth="1"/>
    <col min="15879" max="15879" width="13.375" style="922" customWidth="1"/>
    <col min="15880" max="16128" width="8.375" style="922"/>
    <col min="16129" max="16129" width="4.5" style="922" bestFit="1" customWidth="1"/>
    <col min="16130" max="16130" width="6.75" style="922" bestFit="1" customWidth="1"/>
    <col min="16131" max="16131" width="19" style="922" bestFit="1" customWidth="1"/>
    <col min="16132" max="16132" width="23" style="922" customWidth="1"/>
    <col min="16133" max="16133" width="22" style="922" bestFit="1" customWidth="1"/>
    <col min="16134" max="16134" width="10.25" style="922" bestFit="1" customWidth="1"/>
    <col min="16135" max="16135" width="13.375" style="922" customWidth="1"/>
    <col min="16136" max="16384" width="8.375" style="922"/>
  </cols>
  <sheetData>
    <row r="1" spans="1:11" x14ac:dyDescent="0.2">
      <c r="A1" s="917"/>
      <c r="B1" s="917"/>
      <c r="C1" s="917"/>
      <c r="D1" s="917"/>
      <c r="E1" s="918"/>
      <c r="F1" s="917"/>
      <c r="G1" s="919"/>
      <c r="H1" s="920"/>
    </row>
    <row r="2" spans="1:11" x14ac:dyDescent="0.2">
      <c r="A2" s="911"/>
      <c r="B2" s="911"/>
      <c r="C2" s="911"/>
      <c r="D2" s="911"/>
      <c r="E2" s="911"/>
      <c r="F2" s="911"/>
      <c r="G2" s="910"/>
      <c r="H2" s="912"/>
      <c r="I2" s="518"/>
      <c r="J2" s="911"/>
      <c r="K2" s="518"/>
    </row>
    <row r="3" spans="1:11" x14ac:dyDescent="0.2">
      <c r="A3" s="914"/>
      <c r="B3" s="914"/>
      <c r="C3" s="913"/>
      <c r="D3" s="913"/>
      <c r="E3" s="914"/>
      <c r="F3" s="917"/>
      <c r="G3" s="923"/>
      <c r="H3" s="924"/>
      <c r="J3" s="925"/>
      <c r="K3" s="925"/>
    </row>
    <row r="4" spans="1:11" x14ac:dyDescent="0.2">
      <c r="A4" s="914"/>
      <c r="B4" s="914"/>
      <c r="C4" s="913"/>
      <c r="D4" s="913"/>
      <c r="E4" s="914"/>
      <c r="F4" s="917"/>
      <c r="G4" s="923"/>
      <c r="H4" s="924"/>
      <c r="J4" s="925"/>
      <c r="K4" s="925"/>
    </row>
    <row r="5" spans="1:11" x14ac:dyDescent="0.2">
      <c r="A5" s="914"/>
      <c r="B5" s="914"/>
      <c r="C5" s="913"/>
      <c r="D5" s="913"/>
      <c r="E5" s="914"/>
      <c r="F5" s="917"/>
      <c r="G5" s="923"/>
      <c r="H5" s="924"/>
      <c r="J5" s="925"/>
      <c r="K5" s="925"/>
    </row>
    <row r="6" spans="1:11" x14ac:dyDescent="0.2">
      <c r="A6" s="914"/>
      <c r="B6" s="914"/>
      <c r="C6" s="913"/>
      <c r="D6" s="913"/>
      <c r="E6" s="914"/>
      <c r="F6" s="917"/>
      <c r="G6" s="923"/>
      <c r="H6" s="924"/>
      <c r="J6" s="925"/>
      <c r="K6" s="925"/>
    </row>
    <row r="7" spans="1:11" x14ac:dyDescent="0.2">
      <c r="A7" s="914"/>
      <c r="B7" s="914"/>
      <c r="C7" s="913"/>
      <c r="D7" s="913"/>
      <c r="E7" s="914"/>
      <c r="F7" s="917"/>
      <c r="G7" s="923"/>
      <c r="H7" s="924"/>
      <c r="J7" s="925"/>
      <c r="K7" s="925"/>
    </row>
    <row r="8" spans="1:11" x14ac:dyDescent="0.2">
      <c r="A8" s="914"/>
      <c r="B8" s="914"/>
      <c r="C8" s="913"/>
      <c r="D8" s="913"/>
      <c r="E8" s="914"/>
      <c r="F8" s="917"/>
      <c r="G8" s="919"/>
      <c r="H8" s="924"/>
      <c r="J8" s="925"/>
      <c r="K8" s="925"/>
    </row>
    <row r="9" spans="1:11" s="926" customFormat="1" ht="15" x14ac:dyDescent="0.25">
      <c r="A9" s="916"/>
      <c r="B9" s="916"/>
      <c r="C9" s="915"/>
      <c r="D9" s="915"/>
      <c r="E9" s="916"/>
      <c r="G9" s="927"/>
      <c r="H9" s="928"/>
      <c r="I9" s="929"/>
      <c r="J9" s="929"/>
      <c r="K9" s="929"/>
    </row>
    <row r="10" spans="1:11" x14ac:dyDescent="0.2">
      <c r="A10" s="914"/>
      <c r="B10" s="914"/>
      <c r="C10" s="913"/>
      <c r="D10" s="913"/>
      <c r="E10" s="914"/>
      <c r="F10" s="917"/>
      <c r="G10" s="919"/>
      <c r="H10" s="920"/>
      <c r="J10" s="925"/>
      <c r="K10" s="925"/>
    </row>
    <row r="11" spans="1:11" x14ac:dyDescent="0.2">
      <c r="A11" s="914"/>
      <c r="B11" s="914"/>
      <c r="C11" s="913"/>
      <c r="D11" s="913"/>
      <c r="E11" s="914"/>
      <c r="F11" s="917"/>
      <c r="G11" s="923"/>
      <c r="H11" s="924"/>
      <c r="J11" s="925"/>
      <c r="K11" s="925"/>
    </row>
    <row r="12" spans="1:11" x14ac:dyDescent="0.2">
      <c r="A12" s="914"/>
      <c r="B12" s="914"/>
      <c r="C12" s="913"/>
      <c r="D12" s="913"/>
      <c r="E12" s="914"/>
      <c r="F12" s="917"/>
      <c r="G12" s="923"/>
      <c r="H12" s="924"/>
      <c r="J12" s="925"/>
      <c r="K12" s="925"/>
    </row>
    <row r="13" spans="1:11" x14ac:dyDescent="0.2">
      <c r="A13" s="914"/>
      <c r="B13" s="914"/>
      <c r="C13" s="913"/>
      <c r="D13" s="913"/>
      <c r="E13" s="914"/>
      <c r="F13" s="917"/>
      <c r="G13" s="923"/>
      <c r="H13" s="924"/>
      <c r="J13" s="925"/>
      <c r="K13" s="925"/>
    </row>
    <row r="14" spans="1:11" x14ac:dyDescent="0.2">
      <c r="A14" s="914"/>
      <c r="B14" s="914"/>
      <c r="C14" s="913"/>
      <c r="D14" s="913"/>
      <c r="E14" s="914"/>
      <c r="F14" s="917"/>
      <c r="G14" s="923"/>
      <c r="H14" s="924"/>
      <c r="J14" s="925"/>
      <c r="K14" s="925"/>
    </row>
    <row r="15" spans="1:11" x14ac:dyDescent="0.2">
      <c r="A15" s="914"/>
      <c r="B15" s="914"/>
      <c r="C15" s="913"/>
      <c r="D15" s="917"/>
      <c r="E15" s="914"/>
      <c r="F15" s="917"/>
      <c r="G15" s="923"/>
      <c r="H15" s="924"/>
      <c r="J15" s="925"/>
      <c r="K15" s="925"/>
    </row>
    <row r="16" spans="1:11" x14ac:dyDescent="0.2">
      <c r="A16" s="914"/>
      <c r="B16" s="914"/>
      <c r="C16" s="913"/>
      <c r="D16" s="917"/>
      <c r="E16" s="914"/>
      <c r="F16" s="917"/>
      <c r="G16" s="923"/>
      <c r="H16" s="924"/>
      <c r="J16" s="925"/>
      <c r="K16" s="925"/>
    </row>
    <row r="17" spans="1:11" x14ac:dyDescent="0.2">
      <c r="A17" s="914"/>
      <c r="B17" s="914"/>
      <c r="C17" s="913"/>
      <c r="D17" s="913"/>
      <c r="E17" s="914"/>
      <c r="F17" s="917"/>
      <c r="G17" s="923"/>
      <c r="H17" s="924"/>
      <c r="J17" s="925"/>
      <c r="K17" s="925"/>
    </row>
    <row r="18" spans="1:11" x14ac:dyDescent="0.2">
      <c r="A18" s="914"/>
      <c r="B18" s="914"/>
      <c r="C18" s="913"/>
      <c r="D18" s="913"/>
      <c r="E18" s="914"/>
      <c r="F18" s="917"/>
      <c r="G18" s="923"/>
      <c r="H18" s="924"/>
      <c r="J18" s="925"/>
      <c r="K18" s="925"/>
    </row>
    <row r="19" spans="1:11" x14ac:dyDescent="0.2">
      <c r="A19" s="914"/>
      <c r="B19" s="914"/>
      <c r="C19" s="913"/>
      <c r="D19" s="913"/>
      <c r="E19" s="914"/>
      <c r="F19" s="917"/>
      <c r="G19" s="923"/>
      <c r="H19" s="924"/>
      <c r="J19" s="925"/>
      <c r="K19" s="925"/>
    </row>
    <row r="20" spans="1:11" x14ac:dyDescent="0.2">
      <c r="A20" s="914"/>
      <c r="B20" s="914"/>
      <c r="C20" s="913"/>
      <c r="D20" s="913"/>
      <c r="E20" s="914"/>
      <c r="F20" s="917"/>
      <c r="G20" s="923"/>
      <c r="H20" s="924"/>
      <c r="J20" s="925"/>
      <c r="K20" s="925"/>
    </row>
    <row r="21" spans="1:11" x14ac:dyDescent="0.2">
      <c r="A21" s="914"/>
      <c r="B21" s="914"/>
      <c r="C21" s="913"/>
      <c r="D21" s="913"/>
      <c r="E21" s="914"/>
      <c r="F21" s="917"/>
      <c r="G21" s="923"/>
      <c r="H21" s="924"/>
      <c r="J21" s="925"/>
      <c r="K21" s="925"/>
    </row>
    <row r="22" spans="1:11" x14ac:dyDescent="0.2">
      <c r="A22" s="914"/>
      <c r="B22" s="914"/>
      <c r="C22" s="913"/>
      <c r="D22" s="913"/>
      <c r="E22" s="914"/>
      <c r="F22" s="917"/>
      <c r="G22" s="923"/>
      <c r="H22" s="924"/>
      <c r="J22" s="925"/>
      <c r="K22" s="925"/>
    </row>
    <row r="23" spans="1:11" x14ac:dyDescent="0.2">
      <c r="A23" s="914"/>
      <c r="B23" s="914"/>
      <c r="C23" s="913"/>
      <c r="D23" s="913"/>
      <c r="E23" s="914"/>
      <c r="F23" s="917"/>
      <c r="G23" s="923"/>
      <c r="H23" s="924"/>
      <c r="J23" s="925"/>
      <c r="K23" s="925"/>
    </row>
    <row r="24" spans="1:11" x14ac:dyDescent="0.2">
      <c r="A24" s="914"/>
      <c r="B24" s="914"/>
      <c r="C24" s="913"/>
      <c r="D24" s="913"/>
      <c r="E24" s="914"/>
      <c r="F24" s="917"/>
      <c r="G24" s="919"/>
      <c r="H24" s="924"/>
      <c r="J24" s="925"/>
      <c r="K24" s="925"/>
    </row>
    <row r="25" spans="1:11" s="926" customFormat="1" ht="15" x14ac:dyDescent="0.25">
      <c r="A25" s="916"/>
      <c r="B25" s="916"/>
      <c r="C25" s="915"/>
      <c r="D25" s="915"/>
      <c r="E25" s="916"/>
      <c r="G25" s="927"/>
      <c r="H25" s="928"/>
      <c r="I25" s="929"/>
      <c r="J25" s="929"/>
      <c r="K25" s="929"/>
    </row>
    <row r="26" spans="1:11" x14ac:dyDescent="0.2">
      <c r="A26" s="914"/>
      <c r="B26" s="914"/>
      <c r="C26" s="913"/>
      <c r="D26" s="913"/>
      <c r="E26" s="914"/>
      <c r="F26" s="917"/>
      <c r="G26" s="919"/>
      <c r="J26" s="925"/>
      <c r="K26" s="925"/>
    </row>
    <row r="27" spans="1:11" x14ac:dyDescent="0.2">
      <c r="A27" s="914"/>
      <c r="B27" s="914"/>
      <c r="C27" s="913"/>
      <c r="D27" s="913"/>
      <c r="E27" s="914"/>
      <c r="F27" s="917"/>
      <c r="G27" s="919"/>
      <c r="J27" s="925"/>
      <c r="K27" s="925"/>
    </row>
    <row r="28" spans="1:11" x14ac:dyDescent="0.2">
      <c r="A28" s="914"/>
      <c r="B28" s="914"/>
      <c r="C28" s="913"/>
      <c r="D28" s="913"/>
      <c r="E28" s="914"/>
      <c r="F28" s="917"/>
      <c r="G28" s="923"/>
      <c r="H28" s="931"/>
      <c r="J28" s="925"/>
      <c r="K28" s="925"/>
    </row>
    <row r="29" spans="1:11" x14ac:dyDescent="0.2">
      <c r="A29" s="914"/>
      <c r="B29" s="914"/>
      <c r="C29" s="913"/>
      <c r="D29" s="913"/>
      <c r="E29" s="914"/>
      <c r="F29" s="917"/>
      <c r="G29" s="923"/>
      <c r="H29" s="931"/>
      <c r="J29" s="925"/>
      <c r="K29" s="925"/>
    </row>
    <row r="30" spans="1:11" x14ac:dyDescent="0.2">
      <c r="A30" s="914"/>
      <c r="B30" s="914"/>
      <c r="C30" s="913"/>
      <c r="D30" s="913"/>
      <c r="E30" s="914"/>
      <c r="F30" s="917"/>
      <c r="G30" s="923"/>
      <c r="H30" s="931"/>
      <c r="J30" s="925"/>
      <c r="K30" s="925"/>
    </row>
    <row r="31" spans="1:11" x14ac:dyDescent="0.2">
      <c r="A31" s="914"/>
      <c r="B31" s="914"/>
      <c r="C31" s="913"/>
      <c r="D31" s="917"/>
      <c r="E31" s="914"/>
      <c r="F31" s="917"/>
      <c r="G31" s="923"/>
      <c r="H31" s="931"/>
      <c r="J31" s="925"/>
      <c r="K31" s="925"/>
    </row>
    <row r="32" spans="1:11" x14ac:dyDescent="0.2">
      <c r="A32" s="914"/>
      <c r="B32" s="914"/>
      <c r="C32" s="913"/>
      <c r="D32" s="913"/>
      <c r="E32" s="914"/>
      <c r="F32" s="917"/>
      <c r="G32" s="923"/>
      <c r="H32" s="931"/>
      <c r="J32" s="925"/>
      <c r="K32" s="925"/>
    </row>
    <row r="33" spans="1:13" x14ac:dyDescent="0.2">
      <c r="A33" s="914"/>
      <c r="B33" s="914"/>
      <c r="C33" s="913"/>
      <c r="D33" s="913"/>
      <c r="E33" s="914"/>
      <c r="F33" s="917"/>
      <c r="G33" s="923"/>
      <c r="H33" s="931"/>
      <c r="J33" s="925"/>
      <c r="K33" s="925"/>
    </row>
    <row r="34" spans="1:13" x14ac:dyDescent="0.2">
      <c r="A34" s="914"/>
      <c r="B34" s="914"/>
      <c r="C34" s="913"/>
      <c r="D34" s="913"/>
      <c r="E34" s="914"/>
      <c r="F34" s="917"/>
      <c r="G34" s="923"/>
      <c r="H34" s="931"/>
      <c r="J34" s="925"/>
      <c r="K34" s="925"/>
    </row>
    <row r="35" spans="1:13" x14ac:dyDescent="0.2">
      <c r="A35" s="914"/>
      <c r="B35" s="914"/>
      <c r="C35" s="913"/>
      <c r="D35" s="913"/>
      <c r="E35" s="914"/>
      <c r="F35" s="917"/>
      <c r="G35" s="923"/>
      <c r="H35" s="931"/>
      <c r="J35" s="925"/>
      <c r="K35" s="925"/>
    </row>
    <row r="36" spans="1:13" s="926" customFormat="1" ht="15" x14ac:dyDescent="0.25">
      <c r="A36" s="916"/>
      <c r="B36" s="916"/>
      <c r="C36" s="915"/>
      <c r="D36" s="915"/>
      <c r="E36" s="916"/>
      <c r="G36" s="927"/>
      <c r="H36" s="928"/>
      <c r="I36" s="929"/>
      <c r="J36" s="929"/>
      <c r="K36" s="929"/>
    </row>
    <row r="37" spans="1:13" x14ac:dyDescent="0.2">
      <c r="A37" s="914"/>
      <c r="B37" s="914"/>
      <c r="C37" s="913"/>
      <c r="D37" s="913"/>
      <c r="E37" s="914"/>
      <c r="F37" s="917"/>
      <c r="G37" s="919"/>
      <c r="H37" s="920"/>
      <c r="J37" s="925"/>
      <c r="K37" s="925"/>
    </row>
    <row r="38" spans="1:13" x14ac:dyDescent="0.2">
      <c r="A38" s="914"/>
      <c r="B38" s="914"/>
      <c r="C38" s="913"/>
      <c r="D38" s="913"/>
      <c r="E38" s="914"/>
      <c r="F38" s="917"/>
      <c r="G38" s="923"/>
      <c r="H38" s="924"/>
      <c r="J38" s="925"/>
      <c r="K38" s="925"/>
    </row>
    <row r="39" spans="1:13" x14ac:dyDescent="0.2">
      <c r="A39" s="914"/>
      <c r="B39" s="914"/>
      <c r="C39" s="913"/>
      <c r="D39" s="913"/>
      <c r="E39" s="914"/>
      <c r="F39" s="917"/>
      <c r="G39" s="919"/>
      <c r="H39" s="924"/>
      <c r="J39" s="925"/>
      <c r="K39" s="925"/>
    </row>
    <row r="40" spans="1:13" s="926" customFormat="1" ht="15" x14ac:dyDescent="0.25">
      <c r="A40" s="916"/>
      <c r="B40" s="916"/>
      <c r="C40" s="915"/>
      <c r="D40" s="915"/>
      <c r="E40" s="916"/>
      <c r="G40" s="927"/>
      <c r="H40" s="928"/>
      <c r="I40" s="929"/>
      <c r="J40" s="929"/>
      <c r="K40" s="929"/>
    </row>
    <row r="41" spans="1:13" x14ac:dyDescent="0.2">
      <c r="A41" s="914"/>
      <c r="B41" s="914"/>
      <c r="C41" s="913"/>
      <c r="D41" s="913"/>
      <c r="E41" s="914"/>
      <c r="F41" s="917"/>
      <c r="G41" s="919"/>
      <c r="H41" s="920"/>
      <c r="J41" s="925"/>
      <c r="K41" s="925"/>
    </row>
    <row r="42" spans="1:13" s="917" customFormat="1" x14ac:dyDescent="0.2">
      <c r="A42" s="914"/>
      <c r="B42" s="914"/>
      <c r="C42" s="913"/>
      <c r="D42" s="913"/>
      <c r="E42" s="914"/>
      <c r="G42" s="919"/>
      <c r="H42" s="930"/>
      <c r="I42" s="921"/>
      <c r="J42" s="925"/>
      <c r="K42" s="925"/>
    </row>
    <row r="43" spans="1:13" s="917" customFormat="1" x14ac:dyDescent="0.2">
      <c r="A43" s="932"/>
      <c r="B43" s="932"/>
      <c r="C43" s="932"/>
      <c r="D43" s="932"/>
      <c r="E43" s="914"/>
      <c r="G43" s="923"/>
      <c r="H43" s="931"/>
      <c r="I43" s="921"/>
      <c r="J43" s="925"/>
      <c r="K43" s="925"/>
    </row>
    <row r="44" spans="1:13" s="917" customFormat="1" x14ac:dyDescent="0.2">
      <c r="A44" s="932"/>
      <c r="B44" s="932"/>
      <c r="C44" s="932"/>
      <c r="D44" s="932"/>
      <c r="E44" s="914"/>
      <c r="G44" s="923"/>
      <c r="H44" s="931"/>
      <c r="I44" s="921"/>
      <c r="J44" s="925"/>
      <c r="K44" s="925"/>
    </row>
    <row r="45" spans="1:13" s="917" customFormat="1" x14ac:dyDescent="0.2">
      <c r="A45" s="932"/>
      <c r="B45" s="932"/>
      <c r="C45" s="932"/>
      <c r="D45" s="932"/>
      <c r="E45" s="914"/>
      <c r="G45" s="923"/>
      <c r="H45" s="931"/>
      <c r="I45" s="921"/>
      <c r="J45" s="925"/>
      <c r="K45" s="925"/>
    </row>
    <row r="46" spans="1:13" s="917" customFormat="1" x14ac:dyDescent="0.2">
      <c r="A46" s="932"/>
      <c r="B46" s="932"/>
      <c r="C46" s="932"/>
      <c r="D46" s="932"/>
      <c r="E46" s="914"/>
      <c r="G46" s="923"/>
      <c r="H46" s="931"/>
      <c r="I46" s="921"/>
      <c r="J46" s="925"/>
      <c r="K46" s="925"/>
    </row>
    <row r="47" spans="1:13" s="926" customFormat="1" x14ac:dyDescent="0.2">
      <c r="A47" s="932"/>
      <c r="B47" s="932"/>
      <c r="C47" s="932"/>
      <c r="D47" s="932"/>
      <c r="E47" s="914"/>
      <c r="F47" s="917"/>
      <c r="G47" s="923"/>
      <c r="H47" s="931"/>
      <c r="I47" s="921"/>
      <c r="J47" s="925"/>
      <c r="K47" s="925"/>
    </row>
    <row r="48" spans="1:13" s="917" customFormat="1" x14ac:dyDescent="0.2">
      <c r="A48" s="932"/>
      <c r="B48" s="932"/>
      <c r="C48" s="932"/>
      <c r="D48" s="932"/>
      <c r="E48" s="914"/>
      <c r="G48" s="923"/>
      <c r="H48" s="931"/>
      <c r="I48" s="921"/>
      <c r="J48" s="925"/>
      <c r="K48" s="925"/>
      <c r="M48" s="926"/>
    </row>
    <row r="49" spans="1:13" s="917" customFormat="1" x14ac:dyDescent="0.2">
      <c r="A49" s="932"/>
      <c r="B49" s="932"/>
      <c r="C49" s="932"/>
      <c r="D49" s="932"/>
      <c r="E49" s="914"/>
      <c r="G49" s="923"/>
      <c r="H49" s="931"/>
      <c r="I49" s="921"/>
      <c r="J49" s="925"/>
      <c r="K49" s="925"/>
      <c r="M49" s="926"/>
    </row>
    <row r="50" spans="1:13" s="917" customFormat="1" x14ac:dyDescent="0.2">
      <c r="A50" s="932"/>
      <c r="B50" s="932"/>
      <c r="C50" s="933"/>
      <c r="D50" s="932"/>
      <c r="E50" s="914"/>
      <c r="G50" s="934"/>
      <c r="H50" s="930"/>
      <c r="I50" s="935"/>
      <c r="J50" s="935"/>
      <c r="K50" s="935"/>
      <c r="L50" s="936"/>
      <c r="M50" s="926"/>
    </row>
    <row r="51" spans="1:13" s="917" customFormat="1" x14ac:dyDescent="0.2">
      <c r="A51" s="914"/>
      <c r="B51" s="914"/>
      <c r="C51" s="913"/>
      <c r="D51" s="913"/>
      <c r="E51" s="914"/>
      <c r="G51" s="919"/>
      <c r="H51" s="930"/>
      <c r="I51" s="937"/>
      <c r="L51" s="922"/>
      <c r="M51" s="926"/>
    </row>
    <row r="52" spans="1:13" s="917" customFormat="1" x14ac:dyDescent="0.2">
      <c r="A52" s="914"/>
      <c r="B52" s="914"/>
      <c r="C52" s="913"/>
      <c r="D52" s="913"/>
      <c r="E52" s="914"/>
      <c r="G52" s="919"/>
      <c r="H52" s="930"/>
      <c r="I52" s="937"/>
      <c r="L52" s="922"/>
      <c r="M52" s="926"/>
    </row>
    <row r="53" spans="1:13" s="917" customFormat="1" x14ac:dyDescent="0.2">
      <c r="E53" s="918"/>
      <c r="G53" s="910"/>
      <c r="H53" s="930"/>
      <c r="I53" s="518"/>
      <c r="J53" s="911"/>
      <c r="K53" s="518"/>
      <c r="L53" s="922"/>
    </row>
    <row r="54" spans="1:13" x14ac:dyDescent="0.2">
      <c r="G54" s="925"/>
      <c r="H54" s="938"/>
      <c r="I54" s="925"/>
      <c r="J54" s="925"/>
      <c r="K54" s="925"/>
      <c r="L54" s="939"/>
    </row>
  </sheetData>
  <printOptions horizontalCentered="1" verticalCentered="1"/>
  <pageMargins left="0" right="0" top="0.75" bottom="0.75" header="0.25" footer="0.25"/>
  <pageSetup fitToHeight="2" orientation="landscape" r:id="rId1"/>
  <headerFooter alignWithMargins="0">
    <oddHeader>&amp;CFY20 POS CONTRACT VALUES</oddHeader>
    <oddFooter>&amp;RDYS CONFIDENTIAL 
ATTORNEY-CLIENT PRIVILEGED COMMUNICATION
DO NOT DISTRIBUTE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7BFC-30DE-4DB7-804C-E4E2E3009280}">
  <dimension ref="A1:O40"/>
  <sheetViews>
    <sheetView topLeftCell="A10" zoomScale="90" zoomScaleNormal="90" workbookViewId="0">
      <selection activeCell="K36" sqref="K36"/>
    </sheetView>
  </sheetViews>
  <sheetFormatPr defaultRowHeight="15" x14ac:dyDescent="0.25"/>
  <cols>
    <col min="1" max="1" width="30.75" style="42" bestFit="1" customWidth="1"/>
    <col min="2" max="2" width="11.875" style="42" bestFit="1" customWidth="1"/>
    <col min="3" max="3" width="9" style="42"/>
    <col min="4" max="4" width="12.25" style="42" bestFit="1" customWidth="1"/>
    <col min="5" max="5" width="12.125" style="42" customWidth="1"/>
    <col min="6" max="6" width="9" style="42"/>
    <col min="7" max="7" width="18.125" style="42" bestFit="1" customWidth="1"/>
    <col min="8" max="8" width="14.75" style="42" bestFit="1" customWidth="1"/>
    <col min="9" max="9" width="11.5" style="42" bestFit="1" customWidth="1"/>
    <col min="10" max="10" width="6.375" style="42" bestFit="1" customWidth="1"/>
    <col min="11" max="11" width="12.375" style="42" bestFit="1" customWidth="1"/>
    <col min="12" max="12" width="11.75" style="42" bestFit="1" customWidth="1"/>
    <col min="13" max="16384" width="9" style="42"/>
  </cols>
  <sheetData>
    <row r="1" spans="1:12" x14ac:dyDescent="0.25">
      <c r="A1" s="31">
        <v>7</v>
      </c>
      <c r="C1" s="3" t="s">
        <v>365</v>
      </c>
      <c r="E1" s="32">
        <f>AVERAGE(E12:E19)</f>
        <v>16770.165720301778</v>
      </c>
      <c r="H1" s="31"/>
      <c r="I1"/>
      <c r="J1" s="3"/>
      <c r="K1"/>
      <c r="L1" s="2"/>
    </row>
    <row r="2" spans="1:12" x14ac:dyDescent="0.25">
      <c r="C2" s="3" t="s">
        <v>134</v>
      </c>
      <c r="E2" s="32">
        <v>-12436.35</v>
      </c>
      <c r="H2"/>
      <c r="I2"/>
      <c r="J2" s="3"/>
      <c r="K2"/>
      <c r="L2" s="2"/>
    </row>
    <row r="3" spans="1:12" x14ac:dyDescent="0.25">
      <c r="A3" s="1092" t="s">
        <v>366</v>
      </c>
      <c r="C3" s="3" t="s">
        <v>135</v>
      </c>
      <c r="E3" s="32">
        <f ca="1">IF(COUNT(E12:E300)=0,"-",E1+(2*_xlfn.STDEV.P(E12:OFFSET(E12,$A$1-1,0))))</f>
        <v>46713.679974304861</v>
      </c>
      <c r="H3" s="1092"/>
      <c r="I3"/>
      <c r="J3" s="3"/>
      <c r="K3"/>
      <c r="L3" s="2"/>
    </row>
    <row r="4" spans="1:12" x14ac:dyDescent="0.25">
      <c r="A4" s="1092"/>
      <c r="C4" s="3" t="s">
        <v>136</v>
      </c>
      <c r="E4" s="511">
        <f ca="1">IF(COUNT(E12:E300)=0,"-",AVERAGEIFS(E12:E300, E12:E300, "&gt;="&amp;E2,E12:E300,"&lt;="&amp;E3))</f>
        <v>16770.165720301778</v>
      </c>
      <c r="H4" s="1092"/>
      <c r="I4"/>
      <c r="J4" s="3"/>
      <c r="K4"/>
      <c r="L4" s="2"/>
    </row>
    <row r="5" spans="1:12" x14ac:dyDescent="0.25">
      <c r="A5" s="1092"/>
      <c r="C5" s="3" t="s">
        <v>137</v>
      </c>
      <c r="E5" s="512">
        <f ca="1">IF(COUNT(E12:E300)=0,"-",SUMIFS(D12:D300,E12:E300,"&gt;="&amp;E2,E12:E300,"&lt;="&amp;E3)/SUMIFS($B12:$B300,E12:E300,"&gt;="&amp;E2,E12:E300,"&lt;="&amp;E3))</f>
        <v>26968.140841583358</v>
      </c>
      <c r="H5" s="1092"/>
      <c r="I5"/>
      <c r="J5" s="3"/>
      <c r="K5"/>
      <c r="L5" s="2"/>
    </row>
    <row r="6" spans="1:12" x14ac:dyDescent="0.25">
      <c r="A6" s="1092"/>
      <c r="C6" s="3" t="s">
        <v>367</v>
      </c>
      <c r="E6" s="513">
        <f>AVERAGE(E12:E19)</f>
        <v>16770.165720301778</v>
      </c>
      <c r="H6" s="1092"/>
      <c r="I6"/>
      <c r="J6" s="3"/>
      <c r="K6"/>
      <c r="L6" s="2"/>
    </row>
    <row r="7" spans="1:12" x14ac:dyDescent="0.25">
      <c r="H7"/>
      <c r="I7"/>
      <c r="J7"/>
      <c r="K7"/>
      <c r="L7"/>
    </row>
    <row r="8" spans="1:12" x14ac:dyDescent="0.25">
      <c r="H8"/>
      <c r="I8"/>
      <c r="J8"/>
      <c r="K8"/>
      <c r="L8"/>
    </row>
    <row r="9" spans="1:12" x14ac:dyDescent="0.25">
      <c r="D9" s="42" t="s">
        <v>138</v>
      </c>
      <c r="E9" s="43"/>
      <c r="H9"/>
      <c r="I9"/>
      <c r="J9"/>
      <c r="K9"/>
      <c r="L9"/>
    </row>
    <row r="10" spans="1:12" ht="45" x14ac:dyDescent="0.25">
      <c r="A10" s="44"/>
      <c r="B10" s="44"/>
      <c r="D10" s="44" t="s">
        <v>145</v>
      </c>
      <c r="E10" s="45" t="str">
        <f>D10&amp;"
per FTE"</f>
        <v>Total Occupancy
per FTE</v>
      </c>
      <c r="H10" s="514"/>
      <c r="I10" s="514"/>
      <c r="J10"/>
      <c r="K10" s="514"/>
      <c r="L10" s="514"/>
    </row>
    <row r="11" spans="1:12" x14ac:dyDescent="0.25">
      <c r="A11" s="33" t="s">
        <v>143</v>
      </c>
      <c r="B11" s="33" t="s">
        <v>144</v>
      </c>
      <c r="C11" s="271"/>
      <c r="D11" s="507" t="s">
        <v>151</v>
      </c>
      <c r="E11" s="508"/>
      <c r="H11"/>
      <c r="I11"/>
      <c r="J11"/>
      <c r="K11"/>
      <c r="L11"/>
    </row>
    <row r="12" spans="1:12" x14ac:dyDescent="0.25">
      <c r="A12" s="33" t="s">
        <v>377</v>
      </c>
      <c r="B12" s="33">
        <v>10.34</v>
      </c>
      <c r="C12" s="33"/>
      <c r="D12" s="37">
        <v>185113.96</v>
      </c>
      <c r="E12" s="56">
        <f>IF(OR($B12=0,D12=0),"",D12/$B12)</f>
        <v>17902.704061895551</v>
      </c>
      <c r="F12" s="42" t="s">
        <v>406</v>
      </c>
      <c r="H12"/>
      <c r="I12"/>
      <c r="J12"/>
      <c r="K12" s="515"/>
      <c r="L12" s="515"/>
    </row>
    <row r="13" spans="1:12" x14ac:dyDescent="0.25">
      <c r="A13" s="33"/>
      <c r="B13" s="33">
        <v>1.73</v>
      </c>
      <c r="C13" s="33"/>
      <c r="D13" s="37">
        <v>1373.62</v>
      </c>
      <c r="E13" s="56">
        <f t="shared" ref="E13:E19" si="0">IF(OR($B13=0,D13=0),"",D13/$B13)</f>
        <v>794</v>
      </c>
      <c r="H13"/>
      <c r="I13"/>
      <c r="J13"/>
      <c r="K13" s="515"/>
      <c r="L13" s="515"/>
    </row>
    <row r="14" spans="1:12" x14ac:dyDescent="0.25">
      <c r="A14" s="33"/>
      <c r="B14" s="33">
        <v>2.0099999999999998</v>
      </c>
      <c r="C14" s="33"/>
      <c r="D14" s="37">
        <v>443.27</v>
      </c>
      <c r="E14" s="56">
        <f t="shared" si="0"/>
        <v>220.53233830845772</v>
      </c>
      <c r="H14"/>
      <c r="I14"/>
      <c r="J14"/>
      <c r="K14" s="515"/>
      <c r="L14" s="515"/>
    </row>
    <row r="15" spans="1:12" x14ac:dyDescent="0.25">
      <c r="A15" s="33" t="s">
        <v>150</v>
      </c>
      <c r="B15" s="33">
        <v>11.25</v>
      </c>
      <c r="C15" s="33"/>
      <c r="D15" s="37">
        <v>178611</v>
      </c>
      <c r="E15" s="56">
        <f t="shared" si="0"/>
        <v>15876.533333333333</v>
      </c>
      <c r="H15"/>
      <c r="I15"/>
      <c r="J15"/>
      <c r="K15" s="515"/>
      <c r="L15" s="515"/>
    </row>
    <row r="16" spans="1:12" x14ac:dyDescent="0.25">
      <c r="A16" s="33" t="s">
        <v>152</v>
      </c>
      <c r="B16" s="33">
        <v>8.5202961592403401</v>
      </c>
      <c r="C16" s="33"/>
      <c r="D16" s="37">
        <v>240825</v>
      </c>
      <c r="E16" s="56">
        <f t="shared" si="0"/>
        <v>28264.862570395871</v>
      </c>
      <c r="H16"/>
      <c r="I16"/>
      <c r="J16"/>
      <c r="K16" s="515"/>
      <c r="L16" s="515"/>
    </row>
    <row r="17" spans="1:14" x14ac:dyDescent="0.25">
      <c r="A17" s="33"/>
      <c r="B17" s="33">
        <v>0.73667779000963296</v>
      </c>
      <c r="C17" s="366"/>
      <c r="D17" s="509">
        <v>577</v>
      </c>
      <c r="E17" s="510">
        <f t="shared" si="0"/>
        <v>783.2460918802168</v>
      </c>
      <c r="H17"/>
      <c r="I17"/>
      <c r="J17"/>
      <c r="K17" s="515"/>
      <c r="L17" s="515"/>
    </row>
    <row r="18" spans="1:14" x14ac:dyDescent="0.25">
      <c r="A18" s="33" t="s">
        <v>153</v>
      </c>
      <c r="B18" s="33">
        <v>20.45</v>
      </c>
      <c r="C18" s="33"/>
      <c r="D18" s="37">
        <v>871208</v>
      </c>
      <c r="E18" s="56">
        <f t="shared" si="0"/>
        <v>42601.858190709048</v>
      </c>
      <c r="H18"/>
      <c r="I18"/>
      <c r="J18"/>
      <c r="K18" s="515"/>
      <c r="L18" s="515"/>
    </row>
    <row r="19" spans="1:14" x14ac:dyDescent="0.25">
      <c r="A19" s="33" t="s">
        <v>154</v>
      </c>
      <c r="B19" s="33">
        <v>8.1300000000000008</v>
      </c>
      <c r="C19" s="366"/>
      <c r="D19" s="509">
        <v>225344</v>
      </c>
      <c r="E19" s="510">
        <f t="shared" si="0"/>
        <v>27717.589175891757</v>
      </c>
      <c r="H19"/>
      <c r="I19"/>
      <c r="J19"/>
      <c r="K19" s="515"/>
      <c r="L19" s="515"/>
    </row>
    <row r="20" spans="1:14" x14ac:dyDescent="0.25">
      <c r="E20" s="46" t="str">
        <f t="shared" ref="E20" si="1">IF(OR($B20=0,D20=0),"",D20/$B20)</f>
        <v/>
      </c>
    </row>
    <row r="23" spans="1:14" x14ac:dyDescent="0.25">
      <c r="G23"/>
      <c r="H23"/>
      <c r="I23"/>
      <c r="J23"/>
      <c r="K23" s="47"/>
      <c r="L23"/>
      <c r="M23"/>
      <c r="N23"/>
    </row>
    <row r="24" spans="1:14" x14ac:dyDescent="0.25">
      <c r="G24"/>
      <c r="H24"/>
      <c r="I24" t="s">
        <v>368</v>
      </c>
      <c r="J24" s="48">
        <f>'CSN Models 2024'!I4</f>
        <v>41888</v>
      </c>
      <c r="K24" s="55"/>
      <c r="L24"/>
      <c r="M24"/>
      <c r="N24"/>
    </row>
    <row r="25" spans="1:14" x14ac:dyDescent="0.25">
      <c r="G25"/>
      <c r="H25"/>
      <c r="I25" t="s">
        <v>277</v>
      </c>
      <c r="J25" s="49">
        <f>'CSN Models 2024'!H17</f>
        <v>0</v>
      </c>
      <c r="K25" s="47"/>
      <c r="L25"/>
      <c r="M25"/>
      <c r="N25"/>
    </row>
    <row r="26" spans="1:14" x14ac:dyDescent="0.25">
      <c r="G26"/>
      <c r="H26"/>
      <c r="I26" s="1" t="s">
        <v>376</v>
      </c>
      <c r="J26" s="50">
        <f>'CAF Spring 2023'!CI26</f>
        <v>2.7100379121522307E-2</v>
      </c>
      <c r="K26" s="47"/>
      <c r="L26"/>
      <c r="M26"/>
      <c r="N26"/>
    </row>
    <row r="27" spans="1:14" x14ac:dyDescent="0.25">
      <c r="G27"/>
      <c r="H27"/>
      <c r="I27" t="s">
        <v>54</v>
      </c>
      <c r="J27">
        <f>'CSN Models 2024'!F5</f>
        <v>272</v>
      </c>
      <c r="K27" s="47"/>
      <c r="L27"/>
      <c r="M27"/>
      <c r="N27"/>
    </row>
    <row r="28" spans="1:14" x14ac:dyDescent="0.25">
      <c r="G28"/>
      <c r="H28"/>
      <c r="I28"/>
      <c r="J28"/>
      <c r="K28" s="47"/>
      <c r="L28"/>
      <c r="M28"/>
      <c r="N28"/>
    </row>
    <row r="29" spans="1:14" x14ac:dyDescent="0.25">
      <c r="G29"/>
      <c r="H29"/>
      <c r="I29"/>
      <c r="J29"/>
      <c r="K29" s="47"/>
      <c r="L29"/>
      <c r="M29"/>
      <c r="N29"/>
    </row>
    <row r="30" spans="1:14" x14ac:dyDescent="0.25">
      <c r="G30"/>
      <c r="H30"/>
      <c r="I30"/>
      <c r="J30"/>
      <c r="K30" s="47"/>
      <c r="L30"/>
      <c r="M30"/>
      <c r="N30"/>
    </row>
    <row r="31" spans="1:14" x14ac:dyDescent="0.25">
      <c r="G31"/>
      <c r="H31"/>
      <c r="I31"/>
      <c r="J31"/>
      <c r="K31" s="47"/>
      <c r="L31"/>
      <c r="M31"/>
      <c r="N31"/>
    </row>
    <row r="32" spans="1:14" x14ac:dyDescent="0.25">
      <c r="G32"/>
      <c r="H32" t="s">
        <v>369</v>
      </c>
      <c r="I32"/>
      <c r="J32"/>
      <c r="K32" s="47"/>
      <c r="L32"/>
      <c r="M32"/>
      <c r="N32"/>
    </row>
    <row r="33" spans="7:15" x14ac:dyDescent="0.25">
      <c r="G33"/>
      <c r="H33"/>
      <c r="I33"/>
      <c r="J33"/>
      <c r="K33" s="47"/>
      <c r="L33"/>
      <c r="M33" s="1" t="s">
        <v>378</v>
      </c>
      <c r="N33" s="1"/>
    </row>
    <row r="34" spans="7:15" x14ac:dyDescent="0.25">
      <c r="G34"/>
      <c r="H34" t="s">
        <v>370</v>
      </c>
      <c r="I34" t="s">
        <v>371</v>
      </c>
      <c r="J34" s="51" t="s">
        <v>372</v>
      </c>
      <c r="K34" s="47"/>
      <c r="L34"/>
      <c r="M34" t="s">
        <v>373</v>
      </c>
      <c r="N34"/>
    </row>
    <row r="35" spans="7:15" x14ac:dyDescent="0.25">
      <c r="G35" t="s">
        <v>264</v>
      </c>
      <c r="H35" s="2">
        <f>SUM(D12:D14)</f>
        <v>186930.84999999998</v>
      </c>
      <c r="I35" s="52">
        <f>H35/J24</f>
        <v>4.4626348834988532</v>
      </c>
      <c r="J35" s="53">
        <f>'CSN Models 2024'!F4</f>
        <v>154</v>
      </c>
      <c r="K35" s="54">
        <f>J27*J35</f>
        <v>41888</v>
      </c>
      <c r="L35" s="52"/>
      <c r="M35" s="52">
        <f>'[26]raw data'!$H$14</f>
        <v>11.3</v>
      </c>
      <c r="N35" s="52"/>
      <c r="O35" s="138"/>
    </row>
    <row r="36" spans="7:15" x14ac:dyDescent="0.25">
      <c r="G36" t="s">
        <v>265</v>
      </c>
      <c r="H36" s="2">
        <f>D15</f>
        <v>178611</v>
      </c>
      <c r="I36" s="52">
        <f>H36/J24</f>
        <v>4.2640135599694426</v>
      </c>
      <c r="J36" s="53">
        <f>'CSN Models 2024'!L4</f>
        <v>158</v>
      </c>
      <c r="K36" s="54">
        <f>J27*J36</f>
        <v>42976</v>
      </c>
      <c r="L36" s="52"/>
      <c r="M36" s="52">
        <f>'[26]raw data'!$H$15</f>
        <v>4.1500000000000004</v>
      </c>
      <c r="N36" s="52"/>
    </row>
    <row r="37" spans="7:15" x14ac:dyDescent="0.25">
      <c r="G37" t="s">
        <v>303</v>
      </c>
      <c r="H37" s="2">
        <f>(D18+D19)</f>
        <v>1096552</v>
      </c>
      <c r="I37" s="52">
        <f>H37/J24</f>
        <v>26.178189457601221</v>
      </c>
      <c r="J37" s="53">
        <f>'CSN Models 2024'!R4</f>
        <v>137</v>
      </c>
      <c r="K37" s="54">
        <f>J27*J37</f>
        <v>37264</v>
      </c>
      <c r="L37" s="52"/>
      <c r="M37" s="52">
        <f>'[26]raw data'!$H$16</f>
        <v>6.15</v>
      </c>
      <c r="N37" s="52"/>
    </row>
    <row r="38" spans="7:15" x14ac:dyDescent="0.25">
      <c r="G38" t="s">
        <v>374</v>
      </c>
      <c r="H38" s="2">
        <f>D19</f>
        <v>225344</v>
      </c>
      <c r="I38" s="52">
        <f>H38/J24</f>
        <v>5.3796791443850269</v>
      </c>
      <c r="J38" s="53">
        <f>'CSN Models 2024'!AD4</f>
        <v>114</v>
      </c>
      <c r="K38" s="54">
        <f>J27*J38</f>
        <v>31008</v>
      </c>
      <c r="L38" s="52"/>
      <c r="M38" s="52">
        <f>'[26]raw data'!$H$17</f>
        <v>2.62</v>
      </c>
      <c r="N38" s="52"/>
    </row>
    <row r="39" spans="7:15" x14ac:dyDescent="0.25">
      <c r="G39" t="s">
        <v>375</v>
      </c>
      <c r="H39" s="2">
        <f>D18</f>
        <v>871208</v>
      </c>
      <c r="I39" s="52">
        <f>H39/J24</f>
        <v>20.798510313216195</v>
      </c>
      <c r="J39" s="53">
        <f>'CSN Models 2024'!X4</f>
        <v>111</v>
      </c>
      <c r="K39" s="54">
        <f>J27*J39</f>
        <v>30192</v>
      </c>
      <c r="L39" s="52"/>
      <c r="M39" s="52">
        <f>'[26]raw data'!$H$18</f>
        <v>16.5</v>
      </c>
      <c r="N39" s="52"/>
    </row>
    <row r="40" spans="7:15" x14ac:dyDescent="0.25">
      <c r="G40"/>
      <c r="H40"/>
      <c r="I40"/>
      <c r="J40"/>
      <c r="K40" s="47"/>
      <c r="L40"/>
      <c r="M40"/>
      <c r="N40"/>
    </row>
  </sheetData>
  <mergeCells count="2">
    <mergeCell ref="A3:A6"/>
    <mergeCell ref="H3:H6"/>
  </mergeCells>
  <conditionalFormatting sqref="E12:E20">
    <cfRule type="expression" dxfId="10" priority="2">
      <formula>AND(LEN(E12)&gt;0,OR(E12&lt;E$2,E12&gt;E$3))</formula>
    </cfRule>
  </conditionalFormatting>
  <conditionalFormatting sqref="L12:L19">
    <cfRule type="expression" dxfId="9" priority="1">
      <formula>AND(LEN(L12)&gt;0,OR(L12&lt;L$2,L12&gt;L$3))</formula>
    </cfRule>
  </conditionalFormatting>
  <pageMargins left="0.7" right="0.7" top="0.75" bottom="0.75" header="0.3" footer="0.3"/>
  <pageSetup orientation="portrait" horizontalDpi="360" verticalDpi="36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B416-BDFC-44A1-9CC8-9A127C941AFF}">
  <sheetPr>
    <pageSetUpPr fitToPage="1"/>
  </sheetPr>
  <dimension ref="B1:L36"/>
  <sheetViews>
    <sheetView zoomScale="90" zoomScaleNormal="90" workbookViewId="0">
      <pane activePane="bottomRight" state="frozen"/>
      <selection activeCell="K22" sqref="K22"/>
    </sheetView>
  </sheetViews>
  <sheetFormatPr defaultColWidth="8" defaultRowHeight="12.75" x14ac:dyDescent="0.2"/>
  <cols>
    <col min="1" max="1" width="8" style="165"/>
    <col min="2" max="2" width="11.125" style="165" customWidth="1"/>
    <col min="3" max="3" width="38" style="165" customWidth="1"/>
    <col min="4" max="4" width="4.5" style="165" customWidth="1"/>
    <col min="5" max="5" width="6.5" style="165" bestFit="1" customWidth="1"/>
    <col min="6" max="6" width="10.25" style="166" bestFit="1" customWidth="1"/>
    <col min="7" max="7" width="10.625" style="165" customWidth="1"/>
    <col min="8" max="8" width="3.875" style="165" customWidth="1"/>
    <col min="9" max="9" width="40.125" style="165" customWidth="1"/>
    <col min="10" max="10" width="6.5" style="166" bestFit="1" customWidth="1"/>
    <col min="11" max="11" width="50.125" style="165" bestFit="1" customWidth="1"/>
    <col min="12" max="16384" width="8" style="165"/>
  </cols>
  <sheetData>
    <row r="1" spans="2:12" ht="18" customHeight="1" x14ac:dyDescent="0.2"/>
    <row r="2" spans="2:12" ht="21" customHeight="1" thickBot="1" x14ac:dyDescent="0.25"/>
    <row r="3" spans="2:12" ht="34.9" customHeight="1" thickBot="1" x14ac:dyDescent="0.25">
      <c r="B3" s="168"/>
      <c r="C3" s="1076" t="s">
        <v>311</v>
      </c>
      <c r="D3" s="1077"/>
      <c r="E3" s="1077"/>
      <c r="F3" s="1077"/>
      <c r="G3" s="1078"/>
      <c r="I3" s="1079" t="s">
        <v>266</v>
      </c>
      <c r="J3" s="1080"/>
      <c r="K3" s="1081"/>
    </row>
    <row r="4" spans="2:12" s="172" customFormat="1" x14ac:dyDescent="0.2">
      <c r="B4" s="169"/>
      <c r="C4" s="170" t="s">
        <v>312</v>
      </c>
      <c r="D4" s="454">
        <v>20</v>
      </c>
      <c r="E4" s="455"/>
      <c r="F4" s="456" t="s">
        <v>269</v>
      </c>
      <c r="G4" s="171">
        <f>D4*D5</f>
        <v>5200</v>
      </c>
      <c r="I4" s="442"/>
      <c r="J4" s="443"/>
      <c r="K4" s="444"/>
    </row>
    <row r="5" spans="2:12" ht="15.6" customHeight="1" x14ac:dyDescent="0.2">
      <c r="B5" s="173"/>
      <c r="C5" s="174" t="s">
        <v>271</v>
      </c>
      <c r="D5" s="74">
        <v>260</v>
      </c>
      <c r="E5" s="457"/>
      <c r="F5" s="458"/>
      <c r="G5" s="175"/>
      <c r="I5" s="442" t="s">
        <v>313</v>
      </c>
      <c r="J5" s="443">
        <f>'M2022 BLS  (53_PCT)'!C12</f>
        <v>58616.063999999998</v>
      </c>
      <c r="K5" s="139" t="s">
        <v>519</v>
      </c>
    </row>
    <row r="6" spans="2:12" x14ac:dyDescent="0.2">
      <c r="B6" s="173"/>
      <c r="C6" s="179"/>
      <c r="D6" s="176"/>
      <c r="E6" s="177" t="s">
        <v>66</v>
      </c>
      <c r="F6" s="177" t="s">
        <v>67</v>
      </c>
      <c r="G6" s="178" t="s">
        <v>68</v>
      </c>
      <c r="I6" s="1082" t="s">
        <v>314</v>
      </c>
      <c r="J6" s="1083"/>
      <c r="K6" s="1084"/>
    </row>
    <row r="7" spans="2:12" ht="19.149999999999999" customHeight="1" x14ac:dyDescent="0.2">
      <c r="B7" s="180"/>
      <c r="C7" s="442" t="s">
        <v>313</v>
      </c>
      <c r="D7" s="459"/>
      <c r="E7" s="460">
        <f>J5</f>
        <v>58616.063999999998</v>
      </c>
      <c r="F7" s="87">
        <f>J7</f>
        <v>1</v>
      </c>
      <c r="G7" s="181">
        <f>E7*F7</f>
        <v>58616.063999999998</v>
      </c>
      <c r="I7" s="442" t="str">
        <f>I5</f>
        <v>Substance Abuse Case Worker (BA Level Social Work)</v>
      </c>
      <c r="J7" s="445">
        <v>1</v>
      </c>
      <c r="K7" s="444" t="s">
        <v>315</v>
      </c>
    </row>
    <row r="8" spans="2:12" ht="19.149999999999999" customHeight="1" x14ac:dyDescent="0.2">
      <c r="B8" s="180"/>
      <c r="C8" s="442"/>
      <c r="D8" s="459"/>
      <c r="E8" s="460"/>
      <c r="F8" s="87"/>
      <c r="G8" s="181"/>
      <c r="I8" s="1082" t="s">
        <v>283</v>
      </c>
      <c r="J8" s="1083"/>
      <c r="K8" s="1084"/>
    </row>
    <row r="9" spans="2:12" x14ac:dyDescent="0.2">
      <c r="B9" s="180"/>
      <c r="C9" s="589" t="s">
        <v>538</v>
      </c>
      <c r="D9" s="585"/>
      <c r="E9" s="586"/>
      <c r="F9" s="639">
        <f>SUM(F7)</f>
        <v>1</v>
      </c>
      <c r="G9" s="588">
        <f>SUM(G7:G8)</f>
        <v>58616.063999999998</v>
      </c>
      <c r="I9" s="442" t="s">
        <v>316</v>
      </c>
      <c r="J9" s="446">
        <f>'M2022 BLS  (53_PCT)'!C38</f>
        <v>0.27379999999999999</v>
      </c>
      <c r="K9" s="441" t="s">
        <v>355</v>
      </c>
    </row>
    <row r="10" spans="2:12" ht="25.5" x14ac:dyDescent="0.2">
      <c r="B10" s="180"/>
      <c r="C10" s="604" t="s">
        <v>80</v>
      </c>
      <c r="D10" s="38"/>
      <c r="E10" s="239"/>
      <c r="F10" s="265">
        <f>J9</f>
        <v>0.27379999999999999</v>
      </c>
      <c r="G10" s="307">
        <f>G9*F10</f>
        <v>16049.078323199999</v>
      </c>
      <c r="I10" s="447" t="s">
        <v>318</v>
      </c>
      <c r="J10" s="448">
        <v>14000</v>
      </c>
      <c r="K10" s="453" t="s">
        <v>317</v>
      </c>
    </row>
    <row r="11" spans="2:12" ht="15.75" thickBot="1" x14ac:dyDescent="0.3">
      <c r="B11" s="173"/>
      <c r="C11" s="590" t="s">
        <v>539</v>
      </c>
      <c r="D11" s="584"/>
      <c r="E11" s="584"/>
      <c r="F11" s="584"/>
      <c r="G11" s="605">
        <f>SUM(G9:G10)</f>
        <v>74665.142323199994</v>
      </c>
      <c r="I11" s="449" t="s">
        <v>320</v>
      </c>
      <c r="J11" s="182">
        <f>'M2022 BLS  (53_PCT)'!C41</f>
        <v>0.12</v>
      </c>
      <c r="K11" s="41" t="s">
        <v>355</v>
      </c>
    </row>
    <row r="12" spans="2:12" ht="16.5" thickTop="1" thickBot="1" x14ac:dyDescent="0.3">
      <c r="B12" s="173"/>
      <c r="C12" s="583"/>
      <c r="D12" s="242"/>
      <c r="E12" s="242"/>
      <c r="F12" s="242"/>
      <c r="G12" s="336"/>
      <c r="I12" s="450" t="s">
        <v>362</v>
      </c>
      <c r="J12" s="451">
        <f>'CAF Spring 2023'!CI26</f>
        <v>2.7100379121522307E-2</v>
      </c>
      <c r="K12" s="452" t="s">
        <v>359</v>
      </c>
    </row>
    <row r="13" spans="2:12" ht="15" x14ac:dyDescent="0.25">
      <c r="B13" s="173"/>
      <c r="C13" s="583" t="s">
        <v>540</v>
      </c>
      <c r="D13" s="242"/>
      <c r="E13" s="195" t="s">
        <v>78</v>
      </c>
      <c r="F13" s="294"/>
      <c r="G13" s="336"/>
    </row>
    <row r="14" spans="2:12" ht="19.5" customHeight="1" x14ac:dyDescent="0.2">
      <c r="B14" s="173"/>
      <c r="C14" s="461" t="s">
        <v>319</v>
      </c>
      <c r="D14" s="462"/>
      <c r="E14" s="463">
        <f>J10</f>
        <v>14000</v>
      </c>
      <c r="F14" s="464"/>
      <c r="G14" s="465">
        <f>E14*F9</f>
        <v>14000</v>
      </c>
    </row>
    <row r="15" spans="2:12" s="167" customFormat="1" ht="15.75" thickBot="1" x14ac:dyDescent="0.3">
      <c r="B15" s="173"/>
      <c r="C15" s="1045" t="s">
        <v>541</v>
      </c>
      <c r="D15" s="1025"/>
      <c r="E15" s="592"/>
      <c r="F15" s="593"/>
      <c r="G15" s="594">
        <f>SUM(G13:G14)</f>
        <v>14000</v>
      </c>
      <c r="H15" s="165"/>
      <c r="L15" s="165"/>
    </row>
    <row r="16" spans="2:12" s="167" customFormat="1" ht="15.75" thickTop="1" x14ac:dyDescent="0.25">
      <c r="B16" s="173"/>
      <c r="C16" s="1061" t="s">
        <v>357</v>
      </c>
      <c r="D16" s="1027"/>
      <c r="E16" s="422"/>
      <c r="F16" s="423"/>
      <c r="G16" s="424">
        <f>G11+G15</f>
        <v>88665.142323199994</v>
      </c>
      <c r="H16" s="165"/>
      <c r="I16" s="165"/>
      <c r="J16" s="166"/>
      <c r="K16" s="165"/>
      <c r="L16" s="165"/>
    </row>
    <row r="17" spans="2:12" s="167" customFormat="1" x14ac:dyDescent="0.2">
      <c r="B17" s="173"/>
      <c r="C17" s="241" t="s">
        <v>89</v>
      </c>
      <c r="D17" s="33"/>
      <c r="E17" s="346">
        <f>J11</f>
        <v>0.12</v>
      </c>
      <c r="F17" s="353"/>
      <c r="G17" s="336">
        <f>G16*E17</f>
        <v>10639.817078783999</v>
      </c>
      <c r="H17" s="165"/>
      <c r="I17" s="165"/>
      <c r="J17" s="166"/>
      <c r="K17" s="165"/>
      <c r="L17" s="165"/>
    </row>
    <row r="18" spans="2:12" s="167" customFormat="1" x14ac:dyDescent="0.2">
      <c r="B18" s="165"/>
      <c r="C18" s="241" t="s">
        <v>46</v>
      </c>
      <c r="D18" s="33"/>
      <c r="E18" s="346">
        <f>J12</f>
        <v>2.7100379121522307E-2</v>
      </c>
      <c r="F18" s="38"/>
      <c r="G18" s="307">
        <f>E18*(G16+G17)</f>
        <v>2691.2020484411473</v>
      </c>
      <c r="H18" s="165"/>
      <c r="I18" s="165"/>
      <c r="J18" s="166"/>
      <c r="K18" s="165"/>
      <c r="L18" s="165"/>
    </row>
    <row r="19" spans="2:12" s="167" customFormat="1" ht="13.5" thickBot="1" x14ac:dyDescent="0.25">
      <c r="B19" s="165"/>
      <c r="C19" s="348" t="s">
        <v>91</v>
      </c>
      <c r="D19" s="349"/>
      <c r="E19" s="350"/>
      <c r="F19" s="351"/>
      <c r="G19" s="352">
        <f>SUM(G16:G18)</f>
        <v>101996.16145042515</v>
      </c>
      <c r="H19" s="165"/>
      <c r="I19" s="165"/>
      <c r="J19" s="166"/>
      <c r="K19" s="165"/>
      <c r="L19" s="165"/>
    </row>
    <row r="20" spans="2:12" s="167" customFormat="1" ht="14.25" thickTop="1" thickBot="1" x14ac:dyDescent="0.25">
      <c r="B20" s="165"/>
      <c r="C20" s="183" t="s">
        <v>302</v>
      </c>
      <c r="D20" s="184"/>
      <c r="E20" s="184"/>
      <c r="F20" s="185">
        <f>G16/G4</f>
        <v>17.050988908307691</v>
      </c>
      <c r="G20" s="466">
        <f>G19/G4</f>
        <v>19.614646432774066</v>
      </c>
      <c r="H20" s="165"/>
      <c r="I20" s="165"/>
      <c r="J20" s="166"/>
      <c r="K20" s="165"/>
      <c r="L20" s="165"/>
    </row>
    <row r="21" spans="2:12" s="167" customFormat="1" ht="15" customHeight="1" x14ac:dyDescent="0.2">
      <c r="B21" s="165"/>
      <c r="C21" s="165"/>
      <c r="D21" s="165"/>
      <c r="E21" s="186"/>
      <c r="F21" s="187"/>
      <c r="G21" s="188"/>
      <c r="H21" s="165"/>
      <c r="I21" s="165"/>
      <c r="J21" s="166"/>
      <c r="K21" s="165"/>
      <c r="L21" s="165"/>
    </row>
    <row r="22" spans="2:12" s="167" customFormat="1" x14ac:dyDescent="0.2">
      <c r="B22" s="165"/>
      <c r="C22" s="165"/>
      <c r="D22" s="165"/>
      <c r="E22" s="186"/>
      <c r="F22" s="187"/>
      <c r="G22" s="189"/>
      <c r="H22" s="165"/>
      <c r="L22" s="165"/>
    </row>
    <row r="23" spans="2:12" s="167" customFormat="1" x14ac:dyDescent="0.2">
      <c r="B23" s="165"/>
      <c r="C23" s="165"/>
      <c r="D23" s="165"/>
      <c r="E23" s="165"/>
      <c r="F23" s="166"/>
      <c r="G23" s="165"/>
      <c r="H23" s="165"/>
      <c r="L23" s="165"/>
    </row>
    <row r="24" spans="2:12" x14ac:dyDescent="0.2">
      <c r="E24" s="188"/>
      <c r="F24" s="188"/>
      <c r="G24" s="188"/>
      <c r="J24" s="165"/>
    </row>
    <row r="25" spans="2:12" x14ac:dyDescent="0.2">
      <c r="J25" s="165"/>
    </row>
    <row r="26" spans="2:12" x14ac:dyDescent="0.2">
      <c r="J26" s="165"/>
    </row>
    <row r="27" spans="2:12" x14ac:dyDescent="0.2">
      <c r="J27" s="165"/>
    </row>
    <row r="28" spans="2:12" x14ac:dyDescent="0.2">
      <c r="J28" s="165"/>
    </row>
    <row r="29" spans="2:12" s="167" customFormat="1" x14ac:dyDescent="0.2">
      <c r="B29" s="165"/>
      <c r="C29" s="165"/>
      <c r="D29" s="165"/>
      <c r="E29" s="165"/>
      <c r="F29" s="166"/>
      <c r="G29" s="165"/>
      <c r="H29" s="165"/>
      <c r="L29" s="165"/>
    </row>
    <row r="30" spans="2:12" s="167" customFormat="1" x14ac:dyDescent="0.2">
      <c r="B30" s="165"/>
      <c r="C30" s="165"/>
      <c r="D30" s="165"/>
      <c r="E30" s="165"/>
      <c r="F30" s="166"/>
      <c r="G30" s="165"/>
      <c r="H30" s="165"/>
      <c r="L30" s="165"/>
    </row>
    <row r="31" spans="2:12" x14ac:dyDescent="0.2">
      <c r="J31" s="165"/>
    </row>
    <row r="36" spans="9:9" x14ac:dyDescent="0.2">
      <c r="I36" s="33"/>
    </row>
  </sheetData>
  <mergeCells count="6">
    <mergeCell ref="C16:D16"/>
    <mergeCell ref="C3:G3"/>
    <mergeCell ref="I3:K3"/>
    <mergeCell ref="I6:K6"/>
    <mergeCell ref="I8:K8"/>
    <mergeCell ref="C15:D15"/>
  </mergeCells>
  <pageMargins left="0.25" right="0.25" top="0.75" bottom="0.75" header="0.3" footer="0.3"/>
  <pageSetup scale="5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1D49-2314-4E59-B8B9-0F10ACA95B53}">
  <dimension ref="A1:EWR302"/>
  <sheetViews>
    <sheetView workbookViewId="0">
      <selection activeCell="N23" sqref="N23"/>
    </sheetView>
  </sheetViews>
  <sheetFormatPr defaultRowHeight="11.25" x14ac:dyDescent="0.2"/>
  <cols>
    <col min="1" max="1" width="35.625" style="865" customWidth="1"/>
    <col min="2" max="2" width="16.375" style="865" customWidth="1"/>
    <col min="3" max="3" width="9" style="865"/>
    <col min="4" max="5" width="16.375" style="865" customWidth="1"/>
    <col min="6" max="12" width="16.375" style="865" hidden="1" customWidth="1"/>
    <col min="13" max="13" width="0.125" style="865" customWidth="1"/>
    <col min="14" max="15" width="16.375" style="865" customWidth="1"/>
    <col min="16" max="25" width="16.375" style="865" hidden="1" customWidth="1"/>
    <col min="26" max="27" width="16.375" style="865" customWidth="1"/>
    <col min="28" max="28" width="15.75" style="865" customWidth="1"/>
    <col min="29" max="29" width="16.375" style="865" customWidth="1"/>
    <col min="30" max="35" width="16.375" style="865" hidden="1" customWidth="1"/>
    <col min="36" max="37" width="16.375" style="865" customWidth="1"/>
    <col min="38" max="43" width="16.375" style="865" hidden="1" customWidth="1"/>
    <col min="44" max="44" width="0" style="865" hidden="1" customWidth="1"/>
    <col min="45" max="3636" width="9" style="865"/>
    <col min="3637" max="3676" width="9" style="868"/>
    <col min="3677" max="3876" width="9" style="865"/>
    <col min="3877" max="3996" width="9" style="869"/>
    <col min="3997" max="16384" width="9" style="865"/>
  </cols>
  <sheetData>
    <row r="1" spans="1:43" x14ac:dyDescent="0.2">
      <c r="A1" s="864">
        <v>8</v>
      </c>
      <c r="C1" s="866" t="s">
        <v>365</v>
      </c>
      <c r="E1" s="867">
        <f ca="1">IF(COUNT(E12:E302)=0,"-",AVERAGE(E12:OFFSET(E12,$A$1-1,0)))</f>
        <v>60097.093481062351</v>
      </c>
      <c r="G1" s="867">
        <f ca="1">IF(COUNT(G12:G302)=0,"-",AVERAGE(G12:OFFSET(G12,$A$1-1,0)))</f>
        <v>8020.4062532372418</v>
      </c>
      <c r="I1" s="867" t="str">
        <f ca="1">IF(COUNT(I12:I302)=0,"-",AVERAGE(I12:OFFSET(I12,$A$1-1,0)))</f>
        <v>-</v>
      </c>
      <c r="K1" s="867">
        <f ca="1">IF(COUNT(K12:K302)=0,"-",AVERAGE(K12:OFFSET(K12,$A$1-1,0)))</f>
        <v>1061.2147255303225</v>
      </c>
      <c r="M1" s="867" t="str">
        <f ca="1">IF(COUNT(M12:M302)=0,"-",AVERAGE(M12:OFFSET(M12,$A$1-1,0)))</f>
        <v>-</v>
      </c>
      <c r="O1" s="867">
        <f ca="1">IF(COUNT(O12:O302)=0,"-",AVERAGE(O12:OFFSET(O12,$A$1-1,0)))</f>
        <v>330.33510947197294</v>
      </c>
      <c r="Q1" s="867">
        <f ca="1">IF(COUNT(Q12:Q302)=0,"-",AVERAGE(Q12:OFFSET(Q12,$A$1-1,0)))</f>
        <v>3692.097366611199</v>
      </c>
      <c r="S1" s="867">
        <f ca="1">IF(COUNT(S12:S302)=0,"-",AVERAGE(S12:OFFSET(S12,$A$1-1,0)))</f>
        <v>5042.0759548938868</v>
      </c>
      <c r="U1" s="867">
        <f ca="1">IF(COUNT(U12:U302)=0,"-",AVERAGE(U12:OFFSET(U12,$A$1-1,0)))</f>
        <v>165.89171940453832</v>
      </c>
      <c r="W1" s="867">
        <f ca="1">IF(COUNT(W12:W302)=0,"-",AVERAGE(W12:OFFSET(W12,$A$1-1,0)))</f>
        <v>689.67294891847234</v>
      </c>
      <c r="Y1" s="867">
        <f ca="1">IF(COUNT(Y12:Y302)=0,"-",AVERAGE(Y12:OFFSET(Y12,$A$1-1,0)))</f>
        <v>358.97435897435895</v>
      </c>
      <c r="AA1" s="867" t="str">
        <f ca="1">IF(COUNT(AA12:AA302)=0,"-",AVERAGE(AA12:OFFSET(AA12,$A$1-1,0)))</f>
        <v>-</v>
      </c>
      <c r="AC1" s="867">
        <f ca="1">IF(COUNT(AC12:AC302)=0,"-",AVERAGE(AC12:OFFSET(AC12,$A$1-1,0)))</f>
        <v>2107.043647549061</v>
      </c>
      <c r="AE1" s="867">
        <f ca="1">IF(COUNT(AE12:AE302)=0,"-",AVERAGE(AE12:OFFSET(AE12,$A$1-1,0)))</f>
        <v>7381.5789473684208</v>
      </c>
      <c r="AG1" s="867" t="str">
        <f ca="1">IF(COUNT(AG12:AG302)=0,"-",AVERAGE(AG12:OFFSET(AG12,$A$1-1,0)))</f>
        <v>-</v>
      </c>
      <c r="AI1" s="867" t="str">
        <f ca="1">IF(COUNT(AI12:AI302)=0,"-",AVERAGE(AI12:OFFSET(AI12,$A$1-1,0)))</f>
        <v>-</v>
      </c>
      <c r="AK1" s="867">
        <f ca="1">IF(COUNT(AK12:AK302)=0,"-",AVERAGE(AK12:OFFSET(AK12,$A$1-1,0)))</f>
        <v>3517.4981648764615</v>
      </c>
      <c r="AM1" s="867" t="str">
        <f ca="1">IF(COUNT(AM12:AM302)=0,"-",AVERAGE(AM12:OFFSET(AM12,$A$1-1,0)))</f>
        <v>-</v>
      </c>
      <c r="AO1" s="867">
        <f ca="1">IF(COUNT(AO12:AO302)=0,"-",AVERAGE(AO12:OFFSET(AO12,$A$1-1,0)))</f>
        <v>2743.969298245614</v>
      </c>
      <c r="AQ1" s="867">
        <f ca="1">IF(COUNT(AQ12:AQ302)=0,"-",AVERAGE(AQ12:OFFSET(AQ12,$A$1-1,0)))</f>
        <v>18480.302346403605</v>
      </c>
    </row>
    <row r="2" spans="1:43" x14ac:dyDescent="0.2">
      <c r="C2" s="866" t="s">
        <v>134</v>
      </c>
      <c r="E2" s="867">
        <f ca="1">IF(COUNT(E12:E302)=0,"-",E1-(2*_xlfn.STDEV.P(E12:OFFSET(E12,$A$1-1,0))))</f>
        <v>-59555.45231071837</v>
      </c>
      <c r="G2" s="867">
        <f ca="1">IF(COUNT(G12:G302)=0,"-",G1-(2*_xlfn.STDEV.P(G12:OFFSET(G12,$A$1-1,0))))</f>
        <v>-15748.524078724935</v>
      </c>
      <c r="I2" s="867" t="str">
        <f ca="1">IF(COUNT(I12:I302)=0,"-",I1-(2*_xlfn.STDEV.P(I12:OFFSET(I12,$A$1-1,0))))</f>
        <v>-</v>
      </c>
      <c r="K2" s="867">
        <f ca="1">IF(COUNT(K12:K302)=0,"-",K1-(2*_xlfn.STDEV.P(K12:OFFSET(K12,$A$1-1,0))))</f>
        <v>408.62121974982961</v>
      </c>
      <c r="M2" s="867" t="str">
        <f ca="1">IF(COUNT(M12:M302)=0,"-",M1-(2*_xlfn.STDEV.P(M12:OFFSET(M12,$A$1-1,0))))</f>
        <v>-</v>
      </c>
      <c r="O2" s="867">
        <f ca="1">IF(COUNT(O12:O302)=0,"-",O1-(2*_xlfn.STDEV.P(O12:OFFSET(O12,$A$1-1,0))))</f>
        <v>-194.66269740550763</v>
      </c>
      <c r="Q2" s="867">
        <f ca="1">IF(COUNT(Q12:Q302)=0,"-",Q1-(2*_xlfn.STDEV.P(Q12:OFFSET(Q12,$A$1-1,0))))</f>
        <v>-3848.0169581736241</v>
      </c>
      <c r="S2" s="867">
        <f ca="1">IF(COUNT(S12:S302)=0,"-",S1-(2*_xlfn.STDEV.P(S12:OFFSET(S12,$A$1-1,0))))</f>
        <v>-8304.1478560842952</v>
      </c>
      <c r="U2" s="867">
        <f ca="1">IF(COUNT(U12:U302)=0,"-",U1-(2*_xlfn.STDEV.P(U12:OFFSET(U12,$A$1-1,0))))</f>
        <v>-150.1022457203278</v>
      </c>
      <c r="W2" s="867">
        <f ca="1">IF(COUNT(W12:W302)=0,"-",W1-(2*_xlfn.STDEV.P(W12:OFFSET(W12,$A$1-1,0))))</f>
        <v>110.44661990331224</v>
      </c>
      <c r="Y2" s="867">
        <f ca="1">IF(COUNT(Y12:Y302)=0,"-",Y1-(2*_xlfn.STDEV.P(Y12:OFFSET(Y12,$A$1-1,0))))</f>
        <v>358.97435897435895</v>
      </c>
      <c r="AA2" s="867" t="str">
        <f ca="1">IF(COUNT(AA12:AA302)=0,"-",AA1-(2*_xlfn.STDEV.P(AA12:OFFSET(AA12,$A$1-1,0))))</f>
        <v>-</v>
      </c>
      <c r="AC2" s="867">
        <f ca="1">IF(COUNT(AC12:AC302)=0,"-",AC1-(2*_xlfn.STDEV.P(AC12:OFFSET(AC12,$A$1-1,0))))</f>
        <v>-2404.9267224411119</v>
      </c>
      <c r="AE2" s="867">
        <f ca="1">IF(COUNT(AE12:AE302)=0,"-",AE1-(2*_xlfn.STDEV.P(AE12:OFFSET(AE12,$A$1-1,0))))</f>
        <v>7381.5789473684208</v>
      </c>
      <c r="AG2" s="867" t="str">
        <f ca="1">IF(COUNT(AG12:AG302)=0,"-",AG1-(2*_xlfn.STDEV.P(AG12:OFFSET(AG12,$A$1-1,0))))</f>
        <v>-</v>
      </c>
      <c r="AI2" s="867" t="str">
        <f ca="1">IF(COUNT(AI12:AI302)=0,"-",AI1-(2*_xlfn.STDEV.P(AI12:OFFSET(AI12,$A$1-1,0))))</f>
        <v>-</v>
      </c>
      <c r="AK2" s="867">
        <f ca="1">IF(COUNT(AK12:AK302)=0,"-",AK1-(2*_xlfn.STDEV.P(AK12:OFFSET(AK12,$A$1-1,0))))</f>
        <v>-6973.3375061750367</v>
      </c>
      <c r="AM2" s="867" t="str">
        <f ca="1">IF(COUNT(AM12:AM302)=0,"-",AM1-(2*_xlfn.STDEV.P(AM12:OFFSET(AM12,$A$1-1,0))))</f>
        <v>-</v>
      </c>
      <c r="AO2" s="867">
        <f ca="1">IF(COUNT(AO12:AO302)=0,"-",AO1-(2*_xlfn.STDEV.P(AO12:OFFSET(AO12,$A$1-1,0))))</f>
        <v>-2652.302631578948</v>
      </c>
      <c r="AQ2" s="867">
        <f ca="1">IF(COUNT(AQ12:AQ302)=0,"-",AQ1-(2*_xlfn.STDEV.P(AQ12:OFFSET(AQ12,$A$1-1,0))))</f>
        <v>-11109.9406835634</v>
      </c>
    </row>
    <row r="3" spans="1:43" ht="15" customHeight="1" x14ac:dyDescent="0.2">
      <c r="A3" s="1093" t="s">
        <v>671</v>
      </c>
      <c r="C3" s="866" t="s">
        <v>135</v>
      </c>
      <c r="E3" s="867">
        <f ca="1">IF(COUNT(E12:E302)=0,"-",E1+(2*_xlfn.STDEV.P(E12:OFFSET(E12,$A$1-1,0))))</f>
        <v>179749.63927284308</v>
      </c>
      <c r="G3" s="867">
        <f ca="1">IF(COUNT(G12:G302)=0,"-",G1+(2*_xlfn.STDEV.P(G12:OFFSET(G12,$A$1-1,0))))</f>
        <v>31789.336585199417</v>
      </c>
      <c r="I3" s="867" t="str">
        <f ca="1">IF(COUNT(I12:I302)=0,"-",I1+(2*_xlfn.STDEV.P(I12:OFFSET(I12,$A$1-1,0))))</f>
        <v>-</v>
      </c>
      <c r="K3" s="867">
        <f ca="1">IF(COUNT(K12:K302)=0,"-",K1+(2*_xlfn.STDEV.P(K12:OFFSET(K12,$A$1-1,0))))</f>
        <v>1713.8082313108155</v>
      </c>
      <c r="M3" s="867" t="str">
        <f ca="1">IF(COUNT(M12:M302)=0,"-",M1+(2*_xlfn.STDEV.P(M12:OFFSET(M12,$A$1-1,0))))</f>
        <v>-</v>
      </c>
      <c r="O3" s="867">
        <f ca="1">IF(COUNT(O12:O302)=0,"-",O1+(2*_xlfn.STDEV.P(O12:OFFSET(O12,$A$1-1,0))))</f>
        <v>855.33291634945351</v>
      </c>
      <c r="Q3" s="867">
        <f ca="1">IF(COUNT(Q12:Q302)=0,"-",Q1+(2*_xlfn.STDEV.P(Q12:OFFSET(Q12,$A$1-1,0))))</f>
        <v>11232.211691396022</v>
      </c>
      <c r="S3" s="867">
        <f ca="1">IF(COUNT(S12:S302)=0,"-",S1+(2*_xlfn.STDEV.P(S12:OFFSET(S12,$A$1-1,0))))</f>
        <v>18388.299765872067</v>
      </c>
      <c r="U3" s="867">
        <f ca="1">IF(COUNT(U12:U302)=0,"-",U1+(2*_xlfn.STDEV.P(U12:OFFSET(U12,$A$1-1,0))))</f>
        <v>481.88568452940444</v>
      </c>
      <c r="W3" s="867">
        <f ca="1">IF(COUNT(W12:W302)=0,"-",W1+(2*_xlfn.STDEV.P(W12:OFFSET(W12,$A$1-1,0))))</f>
        <v>1268.8992779336324</v>
      </c>
      <c r="Y3" s="867">
        <f ca="1">IF(COUNT(Y12:Y302)=0,"-",Y1+(2*_xlfn.STDEV.P(Y12:OFFSET(Y12,$A$1-1,0))))</f>
        <v>358.97435897435895</v>
      </c>
      <c r="AA3" s="867" t="str">
        <f ca="1">IF(COUNT(AA12:AA302)=0,"-",AA1+(2*_xlfn.STDEV.P(AA12:OFFSET(AA12,$A$1-1,0))))</f>
        <v>-</v>
      </c>
      <c r="AC3" s="867">
        <f ca="1">IF(COUNT(AC12:AC302)=0,"-",AC1+(2*_xlfn.STDEV.P(AC12:OFFSET(AC12,$A$1-1,0))))</f>
        <v>6619.0140175392335</v>
      </c>
      <c r="AE3" s="867">
        <f ca="1">IF(COUNT(AE12:AE302)=0,"-",AE1+(2*_xlfn.STDEV.P(AE12:OFFSET(AE12,$A$1-1,0))))</f>
        <v>7381.5789473684208</v>
      </c>
      <c r="AG3" s="867" t="str">
        <f ca="1">IF(COUNT(AG12:AG302)=0,"-",AG1+(2*_xlfn.STDEV.P(AG12:OFFSET(AG12,$A$1-1,0))))</f>
        <v>-</v>
      </c>
      <c r="AI3" s="867" t="str">
        <f ca="1">IF(COUNT(AI12:AI302)=0,"-",AI1+(2*_xlfn.STDEV.P(AI12:OFFSET(AI12,$A$1-1,0))))</f>
        <v>-</v>
      </c>
      <c r="AK3" s="867">
        <f ca="1">IF(COUNT(AK12:AK302)=0,"-",AK1+(2*_xlfn.STDEV.P(AK12:OFFSET(AK12,$A$1-1,0))))</f>
        <v>14008.333835927959</v>
      </c>
      <c r="AM3" s="867" t="str">
        <f ca="1">IF(COUNT(AM12:AM302)=0,"-",AM1+(2*_xlfn.STDEV.P(AM12:OFFSET(AM12,$A$1-1,0))))</f>
        <v>-</v>
      </c>
      <c r="AO3" s="867">
        <f ca="1">IF(COUNT(AO12:AO302)=0,"-",AO1+(2*_xlfn.STDEV.P(AO12:OFFSET(AO12,$A$1-1,0))))</f>
        <v>8140.2412280701756</v>
      </c>
      <c r="AQ3" s="867">
        <f ca="1">IF(COUNT(AQ12:AQ302)=0,"-",AQ1+(2*_xlfn.STDEV.P(AQ12:OFFSET(AQ12,$A$1-1,0))))</f>
        <v>48070.54537637061</v>
      </c>
    </row>
    <row r="4" spans="1:43" x14ac:dyDescent="0.2">
      <c r="A4" s="1093"/>
      <c r="C4" s="866" t="s">
        <v>136</v>
      </c>
      <c r="E4" s="870">
        <f ca="1">IF(COUNT(E12:E302)=0,"-",AVERAGEIFS(E12:E302, E12:E302, "&gt;="&amp;E2,E12:E302,"&lt;="&amp;E3))</f>
        <v>60097.093481062351</v>
      </c>
      <c r="G4" s="870">
        <f ca="1">IF(COUNT(G12:G302)=0,"-",AVERAGEIFS(G12:G302, G12:G302, "&gt;="&amp;G2,G12:G302,"&lt;="&amp;G3))</f>
        <v>8020.4062532372418</v>
      </c>
      <c r="I4" s="870" t="str">
        <f>IF(COUNT(I12:I302)=0,"-",AVERAGEIFS(I12:I302, I12:I302, "&gt;="&amp;I2,I12:I302,"&lt;="&amp;I3))</f>
        <v>-</v>
      </c>
      <c r="K4" s="870">
        <f ca="1">IF(COUNT(K12:K302)=0,"-",AVERAGEIFS(K12:K302, K12:K302, "&gt;="&amp;K2,K12:K302,"&lt;="&amp;K3))</f>
        <v>1061.2147255303225</v>
      </c>
      <c r="M4" s="870" t="str">
        <f>IF(COUNT(M12:M302)=0,"-",AVERAGEIFS(M12:M302, M12:M302, "&gt;="&amp;M2,M12:M302,"&lt;="&amp;M3))</f>
        <v>-</v>
      </c>
      <c r="O4" s="870">
        <f ca="1">IF(COUNT(O12:O302)=0,"-",AVERAGEIFS(O12:O302, O12:O302, "&gt;="&amp;O2,O12:O302,"&lt;="&amp;O3))</f>
        <v>330.33510947197294</v>
      </c>
      <c r="Q4" s="870">
        <f ca="1">IF(COUNT(Q12:Q302)=0,"-",AVERAGEIFS(Q12:Q302, Q12:Q302, "&gt;="&amp;Q2,Q12:Q302,"&lt;="&amp;Q3))</f>
        <v>2537.4961967620052</v>
      </c>
      <c r="S4" s="870">
        <f ca="1">IF(COUNT(S12:S302)=0,"-",AVERAGEIFS(S12:S302, S12:S302, "&gt;="&amp;S2,S12:S302,"&lt;="&amp;S3))</f>
        <v>5042.0759548938868</v>
      </c>
      <c r="U4" s="870">
        <f ca="1">IF(COUNT(U12:U302)=0,"-",AVERAGEIFS(U12:U302, U12:U302, "&gt;="&amp;U2,U12:U302,"&lt;="&amp;U3))</f>
        <v>165.89171940453832</v>
      </c>
      <c r="W4" s="870">
        <f ca="1">IF(COUNT(W12:W302)=0,"-",AVERAGEIFS(W12:W302, W12:W302, "&gt;="&amp;W2,W12:W302,"&lt;="&amp;W3))</f>
        <v>689.67294891847234</v>
      </c>
      <c r="Y4" s="870">
        <f ca="1">IF(COUNT(Y12:Y302)=0,"-",AVERAGEIFS(Y12:Y302, Y12:Y302, "&gt;="&amp;Y2,Y12:Y302,"&lt;="&amp;Y3))</f>
        <v>358.97435897435895</v>
      </c>
      <c r="AA4" s="870" t="str">
        <f>IF(COUNT(AA12:AA302)=0,"-",AVERAGEIFS(AA12:AA302, AA12:AA302, "&gt;="&amp;AA2,AA12:AA302,"&lt;="&amp;AA3))</f>
        <v>-</v>
      </c>
      <c r="AC4" s="870">
        <f ca="1">IF(COUNT(AC12:AC302)=0,"-",AVERAGEIFS(AC12:AC302, AC12:AC302, "&gt;="&amp;AC2,AC12:AC302,"&lt;="&amp;AC3))</f>
        <v>2107.043647549061</v>
      </c>
      <c r="AE4" s="870">
        <f ca="1">IF(COUNT(AE12:AE302)=0,"-",AVERAGEIFS(AE12:AE302, AE12:AE302, "&gt;="&amp;AE2,AE12:AE302,"&lt;="&amp;AE3))</f>
        <v>7381.5789473684208</v>
      </c>
      <c r="AG4" s="870" t="str">
        <f>IF(COUNT(AG12:AG302)=0,"-",AVERAGEIFS(AG12:AG302, AG12:AG302, "&gt;="&amp;AG2,AG12:AG302,"&lt;="&amp;AG3))</f>
        <v>-</v>
      </c>
      <c r="AI4" s="870" t="str">
        <f>IF(COUNT(AI12:AI302)=0,"-",AVERAGEIFS(AI12:AI302, AI12:AI302, "&gt;="&amp;AI2,AI12:AI302,"&lt;="&amp;AI3))</f>
        <v>-</v>
      </c>
      <c r="AK4" s="870">
        <f ca="1">IF(COUNT(AK12:AK302)=0,"-",AVERAGEIFS(AK12:AK302, AK12:AK302, "&gt;="&amp;AK2,AK12:AK302,"&lt;="&amp;AK3))</f>
        <v>1867.7085254265792</v>
      </c>
      <c r="AM4" s="870" t="str">
        <f>IF(COUNT(AM12:AM302)=0,"-",AVERAGEIFS(AM12:AM302, AM12:AM302, "&gt;="&amp;AM2,AM12:AM302,"&lt;="&amp;AM3))</f>
        <v>-</v>
      </c>
      <c r="AO4" s="870">
        <f ca="1">IF(COUNT(AO12:AO302)=0,"-",AVERAGEIFS(AO12:AO302, AO12:AO302, "&gt;="&amp;AO2,AO12:AO302,"&lt;="&amp;AO3))</f>
        <v>2743.969298245614</v>
      </c>
      <c r="AQ4" s="870">
        <f ca="1">IF(COUNT(AQ12:AQ302)=0,"-",AVERAGEIFS(AQ12:AQ302, AQ12:AQ302, "&gt;="&amp;AQ2,AQ12:AQ302,"&lt;="&amp;AQ3))</f>
        <v>13747.789147769532</v>
      </c>
    </row>
    <row r="5" spans="1:43" x14ac:dyDescent="0.2">
      <c r="A5" s="1093"/>
      <c r="C5" s="866" t="s">
        <v>137</v>
      </c>
      <c r="E5" s="871" t="e">
        <f ca="1">IF(COUNT(E12:E302)=0,"-",SUMIFS(D12:D302,E12:E302,"&gt;="&amp;E2,E12:E302,"&lt;="&amp;E3)/SUMIFS($B12:$B303,E12:E302,"&gt;="&amp;E2,E12:E302,"&lt;="&amp;E3))</f>
        <v>#VALUE!</v>
      </c>
      <c r="G5" s="871" t="e">
        <f ca="1">IF(COUNT(G12:G302)=0,"-",SUMIFS(F12:F302,G12:G302,"&gt;="&amp;G2,G12:G302,"&lt;="&amp;G3)/SUMIFS($B12:$B303,G12:G302,"&gt;="&amp;G2,G12:G302,"&lt;="&amp;G3))</f>
        <v>#VALUE!</v>
      </c>
      <c r="I5" s="871" t="str">
        <f>IF(COUNT(I12:I302)=0,"-",SUMIFS(H12:H302,I12:I302,"&gt;="&amp;I2,I12:I302,"&lt;="&amp;I3)/SUMIFS($B12:$B303,I12:I302,"&gt;="&amp;I2,I12:I302,"&lt;="&amp;I3))</f>
        <v>-</v>
      </c>
      <c r="K5" s="871" t="e">
        <f ca="1">IF(COUNT(K12:K302)=0,"-",SUMIFS(J12:J302,K12:K302,"&gt;="&amp;K2,K12:K302,"&lt;="&amp;K3)/SUMIFS($B12:$B303,K12:K302,"&gt;="&amp;K2,K12:K302,"&lt;="&amp;K3))</f>
        <v>#VALUE!</v>
      </c>
      <c r="M5" s="871" t="str">
        <f>IF(COUNT(M12:M302)=0,"-",SUMIFS(L12:L302,M12:M302,"&gt;="&amp;M2,M12:M302,"&lt;="&amp;M3)/SUMIFS($B12:$B303,M12:M302,"&gt;="&amp;M2,M12:M302,"&lt;="&amp;M3))</f>
        <v>-</v>
      </c>
      <c r="O5" s="871" t="e">
        <f ca="1">IF(COUNT(O12:O302)=0,"-",SUMIFS(N12:N302,O12:O302,"&gt;="&amp;O2,O12:O302,"&lt;="&amp;O3)/SUMIFS($B12:$B303,O12:O302,"&gt;="&amp;O2,O12:O302,"&lt;="&amp;O3))</f>
        <v>#VALUE!</v>
      </c>
      <c r="Q5" s="871" t="e">
        <f ca="1">IF(COUNT(Q12:Q302)=0,"-",SUMIFS(P12:P302,Q12:Q302,"&gt;="&amp;Q2,Q12:Q302,"&lt;="&amp;Q3)/SUMIFS($B12:$B303,Q12:Q302,"&gt;="&amp;Q2,Q12:Q302,"&lt;="&amp;Q3))</f>
        <v>#VALUE!</v>
      </c>
      <c r="S5" s="871" t="e">
        <f ca="1">IF(COUNT(S12:S302)=0,"-",SUMIFS(R12:R302,S12:S302,"&gt;="&amp;S2,S12:S302,"&lt;="&amp;S3)/SUMIFS($B12:$B303,S12:S302,"&gt;="&amp;S2,S12:S302,"&lt;="&amp;S3))</f>
        <v>#VALUE!</v>
      </c>
      <c r="U5" s="871" t="e">
        <f ca="1">IF(COUNT(U12:U302)=0,"-",SUMIFS(T12:T302,U12:U302,"&gt;="&amp;U2,U12:U302,"&lt;="&amp;U3)/SUMIFS($B12:$B303,U12:U302,"&gt;="&amp;U2,U12:U302,"&lt;="&amp;U3))</f>
        <v>#VALUE!</v>
      </c>
      <c r="W5" s="871" t="e">
        <f ca="1">IF(COUNT(W12:W302)=0,"-",SUMIFS(V12:V302,W12:W302,"&gt;="&amp;W2,W12:W302,"&lt;="&amp;W3)/SUMIFS($B12:$B303,W12:W302,"&gt;="&amp;W2,W12:W302,"&lt;="&amp;W3))</f>
        <v>#VALUE!</v>
      </c>
      <c r="Y5" s="871" t="e">
        <f ca="1">IF(COUNT(Y12:Y302)=0,"-",SUMIFS(X12:X302,Y12:Y302,"&gt;="&amp;Y2,Y12:Y302,"&lt;="&amp;Y3)/SUMIFS($B12:$B303,Y12:Y302,"&gt;="&amp;Y2,Y12:Y302,"&lt;="&amp;Y3))</f>
        <v>#VALUE!</v>
      </c>
      <c r="AA5" s="871" t="str">
        <f>IF(COUNT(AA12:AA302)=0,"-",SUMIFS(Z12:Z303,AA12:AA302,"&gt;="&amp;AA2,AA12:AA302,"&lt;="&amp;AA3)/SUMIFS($B12:$B303,AA12:AA302,"&gt;="&amp;AA2,AA12:AA302,"&lt;="&amp;AA3))</f>
        <v>-</v>
      </c>
      <c r="AC5" s="871" t="e">
        <f ca="1">IF(COUNT(AC12:AC302)=0,"-",SUMIFS(AB12:AB302,AC12:AC302,"&gt;="&amp;AC2,AC12:AC302,"&lt;="&amp;AC3)/SUMIFS($B12:$B303,AC12:AC302,"&gt;="&amp;AC2,AC12:AC302,"&lt;="&amp;AC3))</f>
        <v>#VALUE!</v>
      </c>
      <c r="AE5" s="871" t="e">
        <f ca="1">IF(COUNT(AE12:AE302)=0,"-",SUMIFS(AD12:AD302,AE12:AE302,"&gt;="&amp;AE2,AE12:AE302,"&lt;="&amp;AE3)/SUMIFS($B12:$B303,AE12:AE302,"&gt;="&amp;AE2,AE12:AE302,"&lt;="&amp;AE3))</f>
        <v>#VALUE!</v>
      </c>
      <c r="AG5" s="871" t="str">
        <f>IF(COUNT(AG12:AG302)=0,"-",SUMIFS(AF12:AF302,AG12:AG302,"&gt;="&amp;AG2,AG12:AG302,"&lt;="&amp;AG3)/SUMIFS($B12:$B303,AG12:AG302,"&gt;="&amp;AG2,AG12:AG302,"&lt;="&amp;AG3))</f>
        <v>-</v>
      </c>
      <c r="AI5" s="871" t="str">
        <f>IF(COUNT(AI12:AI302)=0,"-",SUMIFS(AH12:AH302,AI12:AI302,"&gt;="&amp;AI2,AI12:AI302,"&lt;="&amp;AI3)/SUMIFS($B12:$B303,AI12:AI302,"&gt;="&amp;AI2,AI12:AI302,"&lt;="&amp;AI3))</f>
        <v>-</v>
      </c>
      <c r="AK5" s="871" t="e">
        <f ca="1">IF(COUNT(AK12:AK302)=0,"-",SUMIFS(AJ12:AJ302,AK12:AK302,"&gt;="&amp;AK2,AK12:AK302,"&lt;="&amp;AK3)/SUMIFS($B12:$B303,AK12:AK302,"&gt;="&amp;AK2,AK12:AK302,"&lt;="&amp;AK3))</f>
        <v>#VALUE!</v>
      </c>
      <c r="AM5" s="871" t="str">
        <f>IF(COUNT(AM12:AM302)=0,"-",SUMIFS(AL12:AL302,AM12:AM302,"&gt;="&amp;AM2,AM12:AM302,"&lt;="&amp;AM3)/SUMIFS($B12:$B303,AM12:AM302,"&gt;="&amp;AM2,AM12:AM302,"&lt;="&amp;AM3))</f>
        <v>-</v>
      </c>
      <c r="AO5" s="871" t="e">
        <f ca="1">IF(COUNT(AO12:AO302)=0,"-",SUMIFS(AN12:AN302,AO12:AO302,"&gt;="&amp;AO2,AO12:AO302,"&lt;="&amp;AO3)/SUMIFS($B12:$B303,AO12:AO302,"&gt;="&amp;AO2,AO12:AO302,"&lt;="&amp;AO3))</f>
        <v>#VALUE!</v>
      </c>
      <c r="AQ5" s="871" t="e">
        <f ca="1">IF(COUNT(AQ12:AQ302)=0,"-",SUMIFS(AP12:AP302,AQ12:AQ302,"&gt;="&amp;AQ2,AQ12:AQ302,"&lt;="&amp;AQ3)/SUMIFS($B12:$B303,AQ12:AQ302,"&gt;="&amp;AQ2,AQ12:AQ302,"&lt;="&amp;AQ3))</f>
        <v>#VALUE!</v>
      </c>
    </row>
    <row r="6" spans="1:43" x14ac:dyDescent="0.2">
      <c r="A6" s="1093"/>
      <c r="C6" s="866" t="s">
        <v>367</v>
      </c>
      <c r="E6" s="872">
        <f ca="1">IF(COUNT(E12:E302)=0,"-",SUMIFS(E12:E302, E12:E302, "&gt;="&amp;E2,E12:E302,"&lt;="&amp;E3)/($A$1-COUNTIF(E12:E302,"&lt;"&amp;E$2)-COUNTIF(E12:E302,"&gt;"&amp;E$3)))</f>
        <v>60097.093481062351</v>
      </c>
      <c r="G6" s="872">
        <f ca="1">IF(COUNT(G12:G302)=0,"-",SUMIFS(G12:G302, G12:G302, "&gt;="&amp;G2,G12:G302,"&lt;="&amp;G3)/($A$1-COUNTIF(G12:G302,"&lt;"&amp;G$2)-COUNTIF(G12:G302,"&gt;"&amp;G$3)))</f>
        <v>4010.2031266186209</v>
      </c>
      <c r="I6" s="872" t="str">
        <f>IF(COUNT(I12:I302)=0,"-",SUMIFS(I12:I302, I12:I302, "&gt;="&amp;I2,I12:I302,"&lt;="&amp;I3)/($A$1-COUNTIF(I12:I302,"&lt;"&amp;I$2)-COUNTIF(I12:I302,"&gt;"&amp;I$3)))</f>
        <v>-</v>
      </c>
      <c r="K6" s="872">
        <f ca="1">IF(COUNT(K12:K302)=0,"-",SUMIFS(K12:K302, K12:K302, "&gt;="&amp;K2,K12:K302,"&lt;="&amp;K3)/($A$1-COUNTIF(K12:K302,"&lt;"&amp;K$2)-COUNTIF(K12:K302,"&gt;"&amp;K$3)))</f>
        <v>265.30368138258063</v>
      </c>
      <c r="M6" s="872" t="str">
        <f>IF(COUNT(M12:M302)=0,"-",SUMIFS(M12:M302, M12:M302, "&gt;="&amp;M2,M12:M302,"&lt;="&amp;M3)/($A$1-COUNTIF(M12:M302,"&lt;"&amp;M$2)-COUNTIF(M12:M302,"&gt;"&amp;M$3)))</f>
        <v>-</v>
      </c>
      <c r="O6" s="872">
        <f ca="1">IF(COUNT(O12:O302)=0,"-",SUMIFS(O12:O302, O12:O302, "&gt;="&amp;O2,O12:O302,"&lt;="&amp;O3)/($A$1-COUNTIF(O12:O302,"&lt;"&amp;O$2)-COUNTIF(O12:O302,"&gt;"&amp;O$3)))</f>
        <v>206.45944341998307</v>
      </c>
      <c r="Q6" s="872">
        <f ca="1">IF(COUNT(Q12:Q302)=0,"-",SUMIFS(Q12:Q302, Q12:Q302, "&gt;="&amp;Q2,Q12:Q302,"&lt;="&amp;Q3)/($A$1-COUNTIF(Q12:Q302,"&lt;"&amp;Q$2)-COUNTIF(Q12:Q302,"&gt;"&amp;Q$3)))</f>
        <v>2537.4961967620052</v>
      </c>
      <c r="S6" s="872">
        <f ca="1">IF(COUNT(S12:S302)=0,"-",SUMIFS(S12:S302, S12:S302, "&gt;="&amp;S2,S12:S302,"&lt;="&amp;S3)/($A$1-COUNTIF(S12:S302,"&lt;"&amp;S$2)-COUNTIF(S12:S302,"&gt;"&amp;S$3)))</f>
        <v>3781.5569661704149</v>
      </c>
      <c r="U6" s="872">
        <f ca="1">IF(COUNT(U12:U302)=0,"-",SUMIFS(U12:U302, U12:U302, "&gt;="&amp;U2,U12:U302,"&lt;="&amp;U3)/($A$1-COUNTIF(U12:U302,"&lt;"&amp;U$2)-COUNTIF(U12:U302,"&gt;"&amp;U$3)))</f>
        <v>41.47292985113458</v>
      </c>
      <c r="W6" s="872">
        <f ca="1">IF(COUNT(W12:W302)=0,"-",SUMIFS(W12:W302, W12:W302, "&gt;="&amp;W2,W12:W302,"&lt;="&amp;W3)/($A$1-COUNTIF(W12:W302,"&lt;"&amp;W$2)-COUNTIF(W12:W302,"&gt;"&amp;W$3)))</f>
        <v>258.62735584442714</v>
      </c>
      <c r="Y6" s="872">
        <f ca="1">IF(COUNT(Y12:Y302)=0,"-",SUMIFS(Y12:Y302, Y12:Y302, "&gt;="&amp;Y2,Y12:Y302,"&lt;="&amp;Y3)/($A$1-COUNTIF(Y12:Y302,"&lt;"&amp;Y$2)-COUNTIF(Y12:Y302,"&gt;"&amp;Y$3)))</f>
        <v>44.871794871794869</v>
      </c>
      <c r="AA6" s="872" t="str">
        <f>IF(COUNT(AA12:AA302)=0,"-",SUMIFS(AA12:AA302, AA12:AA302, "&gt;="&amp;AA2,AA12:AA302,"&lt;="&amp;AA3)/($A$1-COUNTIF(AA12:AA302,"&lt;"&amp;AA$2)-COUNTIF(AA12:AA302,"&gt;"&amp;AA$3)))</f>
        <v>-</v>
      </c>
      <c r="AC6" s="872">
        <f ca="1">IF(COUNT(AC12:AC302)=0,"-",SUMIFS(AC12:AC302, AC12:AC302, "&gt;="&amp;AC2,AC12:AC302,"&lt;="&amp;AC3)/($A$1-COUNTIF(AC12:AC302,"&lt;"&amp;AC$2)-COUNTIF(AC12:AC302,"&gt;"&amp;AC$3)))</f>
        <v>1053.5218237745305</v>
      </c>
      <c r="AE6" s="872">
        <f ca="1">IF(COUNT(AE12:AE302)=0,"-",SUMIFS(AE12:AE302, AE12:AE302, "&gt;="&amp;AE2,AE12:AE302,"&lt;="&amp;AE3)/($A$1-COUNTIF(AE12:AE302,"&lt;"&amp;AE$2)-COUNTIF(AE12:AE302,"&gt;"&amp;AE$3)))</f>
        <v>922.6973684210526</v>
      </c>
      <c r="AG6" s="872" t="str">
        <f>IF(COUNT(AG12:AG302)=0,"-",SUMIFS(AG12:AG302, AG12:AG302, "&gt;="&amp;AG2,AG12:AG302,"&lt;="&amp;AG3)/($A$1-COUNTIF(AG12:AG302,"&lt;"&amp;AG$2)-COUNTIF(AG12:AG302,"&gt;"&amp;AG$3)))</f>
        <v>-</v>
      </c>
      <c r="AI6" s="872" t="str">
        <f>IF(COUNT(AI12:AI302)=0,"-",SUMIFS(AI12:AI302, AI12:AI302, "&gt;="&amp;AI2,AI12:AI302,"&lt;="&amp;AI3)/($A$1-COUNTIF(AI12:AI302,"&lt;"&amp;AI$2)-COUNTIF(AI12:AI302,"&gt;"&amp;AI$3)))</f>
        <v>-</v>
      </c>
      <c r="AK6" s="872">
        <f ca="1">IF(COUNT(AK12:AK302)=0,"-",SUMIFS(AK12:AK302, AK12:AK302, "&gt;="&amp;AK2,AK12:AK302,"&lt;="&amp;AK3)/($A$1-COUNTIF(AK12:AK302,"&lt;"&amp;AK$2)-COUNTIF(AK12:AK302,"&gt;"&amp;AK$3)))</f>
        <v>1867.7085254265792</v>
      </c>
      <c r="AM6" s="872" t="str">
        <f>IF(COUNT(AM12:AM302)=0,"-",SUMIFS(AM12:AM302, AM12:AM302, "&gt;="&amp;AM2,AM12:AM302,"&lt;="&amp;AM3)/($A$1-COUNTIF(AM12:AM302,"&lt;"&amp;AM$2)-COUNTIF(AM12:AM302,"&gt;"&amp;AM$3)))</f>
        <v>-</v>
      </c>
      <c r="AO6" s="872">
        <f ca="1">IF(COUNT(AO12:AO302)=0,"-",SUMIFS(AO12:AO302, AO12:AO302, "&gt;="&amp;AO2,AO12:AO302,"&lt;="&amp;AO3)/($A$1-COUNTIF(AO12:AO302,"&lt;"&amp;AO$2)-COUNTIF(AO12:AO302,"&gt;"&amp;AO$3)))</f>
        <v>685.99232456140351</v>
      </c>
      <c r="AQ6" s="872">
        <f ca="1">IF(COUNT(AQ12:AQ302)=0,"-",SUMIFS(AQ12:AQ302, AQ12:AQ302, "&gt;="&amp;AQ2,AQ12:AQ302,"&lt;="&amp;AQ3)/($A$1-COUNTIF(AQ12:AQ302,"&lt;"&amp;AQ$2)-COUNTIF(AQ12:AQ302,"&gt;"&amp;AQ$3)))</f>
        <v>13747.789147769532</v>
      </c>
    </row>
    <row r="9" spans="1:43" x14ac:dyDescent="0.2">
      <c r="D9" s="873" t="s">
        <v>138</v>
      </c>
      <c r="E9" s="874"/>
      <c r="F9" s="873" t="s">
        <v>456</v>
      </c>
      <c r="G9" s="874"/>
      <c r="H9" s="873" t="s">
        <v>457</v>
      </c>
      <c r="I9" s="874"/>
      <c r="J9" s="873" t="s">
        <v>458</v>
      </c>
      <c r="K9" s="874"/>
      <c r="L9" s="873" t="s">
        <v>459</v>
      </c>
      <c r="M9" s="874"/>
      <c r="N9" s="873" t="s">
        <v>139</v>
      </c>
      <c r="O9" s="874"/>
      <c r="P9" s="873" t="s">
        <v>460</v>
      </c>
      <c r="Q9" s="874"/>
      <c r="R9" s="873" t="s">
        <v>461</v>
      </c>
      <c r="S9" s="874"/>
      <c r="T9" s="873" t="s">
        <v>462</v>
      </c>
      <c r="U9" s="874"/>
      <c r="V9" s="873" t="s">
        <v>463</v>
      </c>
      <c r="W9" s="874"/>
      <c r="X9" s="873" t="s">
        <v>464</v>
      </c>
      <c r="Y9" s="874"/>
      <c r="Z9" s="873" t="s">
        <v>140</v>
      </c>
      <c r="AA9" s="874"/>
      <c r="AB9" s="873" t="s">
        <v>141</v>
      </c>
      <c r="AC9" s="874"/>
      <c r="AD9" s="873" t="s">
        <v>465</v>
      </c>
      <c r="AE9" s="874"/>
      <c r="AF9" s="873" t="s">
        <v>466</v>
      </c>
      <c r="AG9" s="874"/>
      <c r="AH9" s="873" t="s">
        <v>467</v>
      </c>
      <c r="AI9" s="874"/>
      <c r="AJ9" s="873" t="s">
        <v>142</v>
      </c>
      <c r="AK9" s="874"/>
      <c r="AL9" s="873" t="s">
        <v>468</v>
      </c>
      <c r="AM9" s="874"/>
      <c r="AN9" s="873" t="s">
        <v>469</v>
      </c>
      <c r="AO9" s="874"/>
      <c r="AP9" s="873" t="s">
        <v>470</v>
      </c>
      <c r="AQ9" s="874"/>
    </row>
    <row r="10" spans="1:43" ht="360" x14ac:dyDescent="0.2">
      <c r="A10" s="875"/>
      <c r="B10" s="876"/>
      <c r="D10" s="877" t="s">
        <v>145</v>
      </c>
      <c r="E10" s="878" t="str">
        <f>D10&amp;"
per FTE"</f>
        <v>Total Occupancy
per FTE</v>
      </c>
      <c r="F10" s="877" t="s">
        <v>471</v>
      </c>
      <c r="G10" s="878" t="str">
        <f>F10&amp;"
per FTE"</f>
        <v>Direct Care Consultant 201
per FTE</v>
      </c>
      <c r="H10" s="877" t="s">
        <v>472</v>
      </c>
      <c r="I10" s="878" t="str">
        <f>H10&amp;"
per FTE"</f>
        <v>Temporary Help 202
per FTE</v>
      </c>
      <c r="J10" s="877" t="s">
        <v>473</v>
      </c>
      <c r="K10" s="878" t="str">
        <f>J10&amp;"
per FTE"</f>
        <v>Clients and Caregivers Reimb./Stipends 203
per FTE</v>
      </c>
      <c r="L10" s="877" t="s">
        <v>474</v>
      </c>
      <c r="M10" s="878" t="str">
        <f>L10&amp;"
per FTE"</f>
        <v>Subcontracted Direct Care 206
per FTE</v>
      </c>
      <c r="N10" s="877" t="s">
        <v>146</v>
      </c>
      <c r="O10" s="878" t="str">
        <f>N10&amp;"
per FTE"</f>
        <v>Staff Training 204
per FTE</v>
      </c>
      <c r="P10" s="877" t="s">
        <v>475</v>
      </c>
      <c r="Q10" s="878" t="str">
        <f>P10&amp;"
per FTE"</f>
        <v>Staff Mileage / Travel 205
per FTE</v>
      </c>
      <c r="R10" s="877" t="s">
        <v>476</v>
      </c>
      <c r="S10" s="878" t="str">
        <f>R10&amp;"
per FTE"</f>
        <v>Meals 207
per FTE</v>
      </c>
      <c r="T10" s="877" t="s">
        <v>477</v>
      </c>
      <c r="U10" s="878" t="str">
        <f>T10&amp;"
per FTE"</f>
        <v>Client Transportation 208
per FTE</v>
      </c>
      <c r="V10" s="877" t="s">
        <v>478</v>
      </c>
      <c r="W10" s="878" t="str">
        <f>V10&amp;"
per FTE"</f>
        <v>Vehicle Expenses 208
per FTE</v>
      </c>
      <c r="X10" s="877" t="s">
        <v>479</v>
      </c>
      <c r="Y10" s="878" t="str">
        <f>X10&amp;"
per FTE"</f>
        <v>Vehicle Depreciation 208
per FTE</v>
      </c>
      <c r="Z10" s="877" t="s">
        <v>147</v>
      </c>
      <c r="AA10" s="878" t="str">
        <f>Z10&amp;"
per FTE"</f>
        <v>Incidental Medical /Medicine/Pharmacy 209
per FTE</v>
      </c>
      <c r="AB10" s="877" t="s">
        <v>148</v>
      </c>
      <c r="AC10" s="878" t="str">
        <f>AB10&amp;"
per FTE"</f>
        <v>Client Personal Allowances 211
per FTE</v>
      </c>
      <c r="AD10" s="877" t="s">
        <v>480</v>
      </c>
      <c r="AE10" s="878" t="str">
        <f>AD10&amp;"
per FTE"</f>
        <v>Provision Material Goods/Svs./Benefits 212
per FTE</v>
      </c>
      <c r="AF10" s="877" t="s">
        <v>481</v>
      </c>
      <c r="AG10" s="878" t="str">
        <f>AF10&amp;"
per FTE"</f>
        <v>Direct Client Wages 214
per FTE</v>
      </c>
      <c r="AH10" s="877" t="s">
        <v>482</v>
      </c>
      <c r="AI10" s="878" t="str">
        <f>AH10&amp;"
per FTE"</f>
        <v>Other Commercial Prod. &amp; Svs. 214
per FTE</v>
      </c>
      <c r="AJ10" s="877" t="s">
        <v>149</v>
      </c>
      <c r="AK10" s="878" t="str">
        <f>AJ10&amp;"
per FTE"</f>
        <v>Program Supplies &amp; Materials 215
per FTE</v>
      </c>
      <c r="AL10" s="877" t="s">
        <v>483</v>
      </c>
      <c r="AM10" s="878" t="str">
        <f>AL10&amp;"
per FTE"</f>
        <v>Non Charitable Expenses
per FTE</v>
      </c>
      <c r="AN10" s="877" t="s">
        <v>484</v>
      </c>
      <c r="AO10" s="878" t="str">
        <f>AN10&amp;"
per FTE"</f>
        <v>Other Expense
per FTE</v>
      </c>
      <c r="AP10" s="877" t="s">
        <v>485</v>
      </c>
      <c r="AQ10" s="878" t="str">
        <f>AP10&amp;"
per FTE"</f>
        <v>Total Other Program Expense
per FTE</v>
      </c>
    </row>
    <row r="11" spans="1:43" x14ac:dyDescent="0.2">
      <c r="A11" s="873" t="s">
        <v>143</v>
      </c>
      <c r="B11" s="879" t="s">
        <v>144</v>
      </c>
      <c r="D11" s="873" t="s">
        <v>151</v>
      </c>
      <c r="E11" s="874"/>
      <c r="F11" s="873" t="s">
        <v>151</v>
      </c>
      <c r="G11" s="874"/>
      <c r="H11" s="873" t="s">
        <v>151</v>
      </c>
      <c r="I11" s="874"/>
      <c r="J11" s="873" t="s">
        <v>151</v>
      </c>
      <c r="K11" s="874"/>
      <c r="L11" s="873" t="s">
        <v>151</v>
      </c>
      <c r="M11" s="874"/>
      <c r="N11" s="873" t="s">
        <v>151</v>
      </c>
      <c r="O11" s="874"/>
      <c r="P11" s="873" t="s">
        <v>151</v>
      </c>
      <c r="Q11" s="874"/>
      <c r="R11" s="873" t="s">
        <v>151</v>
      </c>
      <c r="S11" s="874"/>
      <c r="T11" s="873" t="s">
        <v>151</v>
      </c>
      <c r="U11" s="874"/>
      <c r="V11" s="873" t="s">
        <v>151</v>
      </c>
      <c r="W11" s="874"/>
      <c r="X11" s="873" t="s">
        <v>151</v>
      </c>
      <c r="Y11" s="874"/>
      <c r="Z11" s="873" t="s">
        <v>151</v>
      </c>
      <c r="AA11" s="874"/>
      <c r="AB11" s="873" t="s">
        <v>151</v>
      </c>
      <c r="AC11" s="874"/>
      <c r="AD11" s="873" t="s">
        <v>151</v>
      </c>
      <c r="AE11" s="874"/>
      <c r="AF11" s="873" t="s">
        <v>151</v>
      </c>
      <c r="AG11" s="874"/>
      <c r="AH11" s="873" t="s">
        <v>151</v>
      </c>
      <c r="AI11" s="874"/>
      <c r="AJ11" s="873" t="s">
        <v>151</v>
      </c>
      <c r="AK11" s="874"/>
      <c r="AL11" s="873" t="s">
        <v>151</v>
      </c>
      <c r="AM11" s="874"/>
      <c r="AN11" s="873" t="s">
        <v>151</v>
      </c>
      <c r="AO11" s="874"/>
      <c r="AP11" s="873" t="s">
        <v>151</v>
      </c>
      <c r="AQ11" s="874"/>
    </row>
    <row r="12" spans="1:43" x14ac:dyDescent="0.2">
      <c r="A12" s="873" t="s">
        <v>377</v>
      </c>
      <c r="B12" s="879">
        <v>1.56</v>
      </c>
      <c r="D12" s="880">
        <v>126896</v>
      </c>
      <c r="E12" s="881">
        <f>IF(OR($B12=0,D12=0),"",D12/$B12)</f>
        <v>81343.589743589735</v>
      </c>
      <c r="F12" s="882"/>
      <c r="G12" s="881" t="str">
        <f>IF(OR($B12=0,F12=0),"",F12/$B12)</f>
        <v/>
      </c>
      <c r="H12" s="880"/>
      <c r="I12" s="881" t="str">
        <f>IF(OR($B12=0,H12=0),"",H12/$B12)</f>
        <v/>
      </c>
      <c r="J12" s="880"/>
      <c r="K12" s="881" t="str">
        <f>IF(OR($B12=0,J12=0),"",J12/$B12)</f>
        <v/>
      </c>
      <c r="L12" s="880"/>
      <c r="M12" s="881" t="str">
        <f>IF(OR($B12=0,L12=0),"",L12/$B12)</f>
        <v/>
      </c>
      <c r="N12" s="880"/>
      <c r="O12" s="881" t="str">
        <f>IF(OR($B12=0,N12=0),"",N12/$B12)</f>
        <v/>
      </c>
      <c r="P12" s="880">
        <v>983</v>
      </c>
      <c r="Q12" s="881">
        <f>IF(OR($B12=0,P12=0),"",P12/$B12)</f>
        <v>630.12820512820508</v>
      </c>
      <c r="R12" s="880"/>
      <c r="S12" s="881" t="str">
        <f>IF(OR($B12=0,R12=0),"",R12/$B12)</f>
        <v/>
      </c>
      <c r="T12" s="880"/>
      <c r="U12" s="881" t="str">
        <f>IF(OR($B12=0,T12=0),"",T12/$B12)</f>
        <v/>
      </c>
      <c r="V12" s="880">
        <v>1239</v>
      </c>
      <c r="W12" s="881">
        <f>IF(OR($B12=0,V12=0),"",V12/$B12)</f>
        <v>794.23076923076917</v>
      </c>
      <c r="X12" s="880">
        <v>560</v>
      </c>
      <c r="Y12" s="881">
        <f>IF(OR($B12=0,X12=0),"",X12/$B12)</f>
        <v>358.97435897435895</v>
      </c>
      <c r="Z12" s="880"/>
      <c r="AA12" s="881" t="str">
        <f>IF(OR($B12=0,Z12=0),"",Z12/$B12)</f>
        <v/>
      </c>
      <c r="AB12" s="880">
        <v>8560</v>
      </c>
      <c r="AC12" s="881">
        <f>IF(OR($B12=0,AB12=0),"",AB12/$B12)</f>
        <v>5487.1794871794873</v>
      </c>
      <c r="AD12" s="880"/>
      <c r="AE12" s="881" t="str">
        <f>IF(OR($B12=0,AD12=0),"",AD12/$B12)</f>
        <v/>
      </c>
      <c r="AF12" s="880"/>
      <c r="AG12" s="881" t="str">
        <f>IF(OR($B12=0,AF12=0),"",AF12/$B12)</f>
        <v/>
      </c>
      <c r="AH12" s="880"/>
      <c r="AI12" s="881" t="str">
        <f>IF(OR($B12=0,AH12=0),"",AH12/$B12)</f>
        <v/>
      </c>
      <c r="AJ12" s="880">
        <v>23503</v>
      </c>
      <c r="AK12" s="881">
        <f>IF(OR($B12=0,AJ12=0),"",AJ12/$B12)</f>
        <v>15066.025641025641</v>
      </c>
      <c r="AL12" s="880"/>
      <c r="AM12" s="881" t="str">
        <f>IF(OR($B12=0,AL12=0),"",AL12/$B12)</f>
        <v/>
      </c>
      <c r="AN12" s="880"/>
      <c r="AO12" s="881" t="str">
        <f>IF(OR($B12=0,AN12=0),"",AN12/$B12)</f>
        <v/>
      </c>
      <c r="AP12" s="880">
        <v>34845</v>
      </c>
      <c r="AQ12" s="881">
        <f>IF(OR($B12=0,AP12=0),"",AP12/$B12)</f>
        <v>22336.538461538461</v>
      </c>
    </row>
    <row r="13" spans="1:43" x14ac:dyDescent="0.2">
      <c r="A13" s="873" t="s">
        <v>402</v>
      </c>
      <c r="B13" s="879">
        <v>1.44</v>
      </c>
      <c r="D13" s="880">
        <v>227431</v>
      </c>
      <c r="E13" s="881">
        <f t="shared" ref="E13:G32" si="0">IF(OR($B13=0,D13=0),"",D13/$B13)</f>
        <v>157938.19444444444</v>
      </c>
      <c r="F13" s="880"/>
      <c r="G13" s="881" t="str">
        <f t="shared" si="0"/>
        <v/>
      </c>
      <c r="H13" s="880"/>
      <c r="I13" s="881" t="str">
        <f t="shared" ref="I13:I32" si="1">IF(OR($B13=0,H13=0),"",H13/$B13)</f>
        <v/>
      </c>
      <c r="J13" s="880"/>
      <c r="K13" s="881" t="str">
        <f t="shared" ref="K13:K32" si="2">IF(OR($B13=0,J13=0),"",J13/$B13)</f>
        <v/>
      </c>
      <c r="L13" s="880"/>
      <c r="M13" s="881" t="str">
        <f t="shared" ref="M13:M32" si="3">IF(OR($B13=0,L13=0),"",L13/$B13)</f>
        <v/>
      </c>
      <c r="N13" s="880"/>
      <c r="O13" s="881" t="str">
        <f t="shared" ref="O13:O32" si="4">IF(OR($B13=0,N13=0),"",N13/$B13)</f>
        <v/>
      </c>
      <c r="P13" s="880">
        <v>16955</v>
      </c>
      <c r="Q13" s="881">
        <f t="shared" ref="Q13:Q32" si="5">IF(OR($B13=0,P13=0),"",P13/$B13)</f>
        <v>11774.305555555557</v>
      </c>
      <c r="R13" s="880">
        <v>17383</v>
      </c>
      <c r="S13" s="881">
        <f t="shared" ref="S13:S32" si="6">IF(OR($B13=0,R13=0),"",R13/$B13)</f>
        <v>12071.527777777777</v>
      </c>
      <c r="T13" s="880"/>
      <c r="U13" s="881" t="str">
        <f t="shared" ref="U13:U32" si="7">IF(OR($B13=0,T13=0),"",T13/$B13)</f>
        <v/>
      </c>
      <c r="V13" s="880">
        <v>424</v>
      </c>
      <c r="W13" s="881">
        <f t="shared" ref="W13:W32" si="8">IF(OR($B13=0,V13=0),"",V13/$B13)</f>
        <v>294.44444444444446</v>
      </c>
      <c r="X13" s="880"/>
      <c r="Y13" s="881" t="str">
        <f t="shared" ref="Y13:Y32" si="9">IF(OR($B13=0,X13=0),"",X13/$B13)</f>
        <v/>
      </c>
      <c r="Z13" s="880"/>
      <c r="AA13" s="881" t="str">
        <f t="shared" ref="AA13:AA25" si="10">IF(OR($B13=0,Z13=0),"",Z13/$B13)</f>
        <v/>
      </c>
      <c r="AB13" s="880"/>
      <c r="AC13" s="881" t="str">
        <f t="shared" ref="AC13:AC32" si="11">IF(OR($B13=0,AB13=0),"",AB13/$B13)</f>
        <v/>
      </c>
      <c r="AD13" s="880"/>
      <c r="AE13" s="881" t="str">
        <f t="shared" ref="AE13:AE32" si="12">IF(OR($B13=0,AD13=0),"",AD13/$B13)</f>
        <v/>
      </c>
      <c r="AF13" s="880"/>
      <c r="AG13" s="881" t="str">
        <f t="shared" ref="AG13:AG32" si="13">IF(OR($B13=0,AF13=0),"",AF13/$B13)</f>
        <v/>
      </c>
      <c r="AH13" s="880"/>
      <c r="AI13" s="881" t="str">
        <f t="shared" ref="AI13:AI32" si="14">IF(OR($B13=0,AH13=0),"",AH13/$B13)</f>
        <v/>
      </c>
      <c r="AJ13" s="880">
        <v>175</v>
      </c>
      <c r="AK13" s="881">
        <f t="shared" ref="AK13:AK32" si="15">IF(OR($B13=0,AJ13=0),"",AJ13/$B13)</f>
        <v>121.52777777777779</v>
      </c>
      <c r="AL13" s="880"/>
      <c r="AM13" s="881" t="str">
        <f t="shared" ref="AM13:AM32" si="16">IF(OR($B13=0,AL13=0),"",AL13/$B13)</f>
        <v/>
      </c>
      <c r="AN13" s="880">
        <v>66</v>
      </c>
      <c r="AO13" s="881">
        <f t="shared" ref="AO13:AO32" si="17">IF(OR($B13=0,AN13=0),"",AN13/$B13)</f>
        <v>45.833333333333336</v>
      </c>
      <c r="AP13" s="880">
        <v>35003</v>
      </c>
      <c r="AQ13" s="881">
        <f t="shared" ref="AQ13:AQ32" si="18">IF(OR($B13=0,AP13=0),"",AP13/$B13)</f>
        <v>24307.638888888891</v>
      </c>
    </row>
    <row r="14" spans="1:43" x14ac:dyDescent="0.2">
      <c r="A14" s="873" t="s">
        <v>150</v>
      </c>
      <c r="B14" s="879">
        <v>18.77</v>
      </c>
      <c r="D14" s="880">
        <v>48144</v>
      </c>
      <c r="E14" s="881">
        <f t="shared" si="0"/>
        <v>2564.9440596696859</v>
      </c>
      <c r="F14" s="880">
        <v>43188</v>
      </c>
      <c r="G14" s="881">
        <f t="shared" si="0"/>
        <v>2300.9057005860418</v>
      </c>
      <c r="H14" s="880"/>
      <c r="I14" s="881" t="str">
        <f t="shared" si="1"/>
        <v/>
      </c>
      <c r="J14" s="880"/>
      <c r="K14" s="881" t="str">
        <f t="shared" si="2"/>
        <v/>
      </c>
      <c r="L14" s="880"/>
      <c r="M14" s="881" t="str">
        <f t="shared" si="3"/>
        <v/>
      </c>
      <c r="N14" s="880">
        <v>1746</v>
      </c>
      <c r="O14" s="881">
        <f t="shared" si="4"/>
        <v>93.020777836973892</v>
      </c>
      <c r="P14" s="880">
        <v>26999</v>
      </c>
      <c r="Q14" s="881">
        <f t="shared" si="5"/>
        <v>1438.4123601491742</v>
      </c>
      <c r="R14" s="880"/>
      <c r="S14" s="881" t="str">
        <f t="shared" si="6"/>
        <v/>
      </c>
      <c r="T14" s="880"/>
      <c r="U14" s="881" t="str">
        <f t="shared" si="7"/>
        <v/>
      </c>
      <c r="V14" s="880"/>
      <c r="W14" s="881" t="str">
        <f t="shared" si="8"/>
        <v/>
      </c>
      <c r="X14" s="880"/>
      <c r="Y14" s="881" t="str">
        <f t="shared" si="9"/>
        <v/>
      </c>
      <c r="Z14" s="880"/>
      <c r="AA14" s="881" t="str">
        <f t="shared" si="10"/>
        <v/>
      </c>
      <c r="AB14" s="880"/>
      <c r="AC14" s="881" t="str">
        <f t="shared" si="11"/>
        <v/>
      </c>
      <c r="AD14" s="880"/>
      <c r="AE14" s="881" t="str">
        <f t="shared" si="12"/>
        <v/>
      </c>
      <c r="AF14" s="880"/>
      <c r="AG14" s="881" t="str">
        <f t="shared" si="13"/>
        <v/>
      </c>
      <c r="AH14" s="880"/>
      <c r="AI14" s="881" t="str">
        <f t="shared" si="14"/>
        <v/>
      </c>
      <c r="AJ14" s="880">
        <v>5042</v>
      </c>
      <c r="AK14" s="881">
        <f t="shared" si="15"/>
        <v>268.62013851891317</v>
      </c>
      <c r="AL14" s="880"/>
      <c r="AM14" s="881" t="str">
        <f t="shared" si="16"/>
        <v/>
      </c>
      <c r="AN14" s="880"/>
      <c r="AO14" s="881" t="str">
        <f t="shared" si="17"/>
        <v/>
      </c>
      <c r="AP14" s="880">
        <v>76975</v>
      </c>
      <c r="AQ14" s="881">
        <f t="shared" si="18"/>
        <v>4100.9589770911025</v>
      </c>
    </row>
    <row r="15" spans="1:43" x14ac:dyDescent="0.2">
      <c r="A15" s="873" t="s">
        <v>152</v>
      </c>
      <c r="B15" s="879">
        <v>13.828824447407699</v>
      </c>
      <c r="D15" s="880">
        <v>84848</v>
      </c>
      <c r="E15" s="881">
        <f t="shared" si="0"/>
        <v>6135.5902175694546</v>
      </c>
      <c r="F15" s="880"/>
      <c r="G15" s="881" t="str">
        <f t="shared" si="0"/>
        <v/>
      </c>
      <c r="H15" s="880"/>
      <c r="I15" s="881" t="str">
        <f t="shared" si="1"/>
        <v/>
      </c>
      <c r="J15" s="880"/>
      <c r="K15" s="881" t="str">
        <f t="shared" si="2"/>
        <v/>
      </c>
      <c r="L15" s="880"/>
      <c r="M15" s="881" t="str">
        <f t="shared" si="3"/>
        <v/>
      </c>
      <c r="N15" s="880">
        <v>870</v>
      </c>
      <c r="O15" s="881">
        <f t="shared" si="4"/>
        <v>62.912072049847083</v>
      </c>
      <c r="P15" s="880">
        <v>490</v>
      </c>
      <c r="Q15" s="881">
        <f t="shared" si="5"/>
        <v>35.433235982097784</v>
      </c>
      <c r="R15" s="880">
        <v>21849</v>
      </c>
      <c r="S15" s="881">
        <f t="shared" si="6"/>
        <v>1579.9607611690908</v>
      </c>
      <c r="T15" s="880">
        <v>4479</v>
      </c>
      <c r="U15" s="881">
        <f t="shared" si="7"/>
        <v>323.88870196697138</v>
      </c>
      <c r="V15" s="880">
        <v>13557</v>
      </c>
      <c r="W15" s="881">
        <f t="shared" si="8"/>
        <v>980.3436330802034</v>
      </c>
      <c r="X15" s="880"/>
      <c r="Y15" s="881" t="str">
        <f t="shared" si="9"/>
        <v/>
      </c>
      <c r="Z15" s="880"/>
      <c r="AA15" s="881" t="str">
        <f t="shared" si="10"/>
        <v/>
      </c>
      <c r="AB15" s="880">
        <v>501</v>
      </c>
      <c r="AC15" s="881">
        <f t="shared" si="11"/>
        <v>36.228675973532631</v>
      </c>
      <c r="AD15" s="880"/>
      <c r="AE15" s="881" t="str">
        <f t="shared" si="12"/>
        <v/>
      </c>
      <c r="AF15" s="880"/>
      <c r="AG15" s="881" t="str">
        <f t="shared" si="13"/>
        <v/>
      </c>
      <c r="AH15" s="880"/>
      <c r="AI15" s="881" t="str">
        <f t="shared" si="14"/>
        <v/>
      </c>
      <c r="AJ15" s="880">
        <v>11323</v>
      </c>
      <c r="AK15" s="881">
        <f t="shared" si="15"/>
        <v>818.79700209243515</v>
      </c>
      <c r="AL15" s="880"/>
      <c r="AM15" s="881" t="str">
        <f t="shared" si="16"/>
        <v/>
      </c>
      <c r="AN15" s="880"/>
      <c r="AO15" s="881" t="str">
        <f t="shared" si="17"/>
        <v/>
      </c>
      <c r="AP15" s="880">
        <v>53069</v>
      </c>
      <c r="AQ15" s="881">
        <f t="shared" si="18"/>
        <v>3837.564082314178</v>
      </c>
    </row>
    <row r="16" spans="1:43" x14ac:dyDescent="0.2">
      <c r="A16" s="884"/>
      <c r="B16" s="865">
        <v>1.3572801833652699</v>
      </c>
      <c r="D16" s="883">
        <v>156043</v>
      </c>
      <c r="E16" s="881">
        <f t="shared" si="0"/>
        <v>114967.4193379171</v>
      </c>
      <c r="F16" s="883"/>
      <c r="G16" s="881" t="str">
        <f t="shared" si="0"/>
        <v/>
      </c>
      <c r="H16" s="883"/>
      <c r="I16" s="881" t="str">
        <f t="shared" si="1"/>
        <v/>
      </c>
      <c r="J16" s="883"/>
      <c r="K16" s="881" t="str">
        <f t="shared" si="2"/>
        <v/>
      </c>
      <c r="L16" s="883"/>
      <c r="M16" s="881" t="str">
        <f t="shared" si="3"/>
        <v/>
      </c>
      <c r="N16" s="883"/>
      <c r="O16" s="881" t="str">
        <f t="shared" si="4"/>
        <v/>
      </c>
      <c r="P16" s="883">
        <v>4644</v>
      </c>
      <c r="Q16" s="881">
        <f t="shared" si="5"/>
        <v>3421.5485180705768</v>
      </c>
      <c r="R16" s="883">
        <v>22364</v>
      </c>
      <c r="S16" s="881">
        <f t="shared" si="6"/>
        <v>16477.06956462756</v>
      </c>
      <c r="T16" s="883"/>
      <c r="U16" s="881" t="str">
        <f t="shared" si="7"/>
        <v/>
      </c>
      <c r="V16" s="883"/>
      <c r="W16" s="881" t="str">
        <f t="shared" si="8"/>
        <v/>
      </c>
      <c r="X16" s="883"/>
      <c r="Y16" s="881" t="str">
        <f t="shared" si="9"/>
        <v/>
      </c>
      <c r="Z16" s="883"/>
      <c r="AA16" s="881" t="str">
        <f t="shared" si="10"/>
        <v/>
      </c>
      <c r="AB16" s="883">
        <v>3839</v>
      </c>
      <c r="AC16" s="881">
        <f t="shared" si="11"/>
        <v>2828.45063756954</v>
      </c>
      <c r="AD16" s="883"/>
      <c r="AE16" s="881" t="str">
        <f t="shared" si="12"/>
        <v/>
      </c>
      <c r="AF16" s="883"/>
      <c r="AG16" s="881" t="str">
        <f t="shared" si="13"/>
        <v/>
      </c>
      <c r="AH16" s="883"/>
      <c r="AI16" s="881" t="str">
        <f t="shared" si="14"/>
        <v/>
      </c>
      <c r="AJ16" s="883">
        <v>154</v>
      </c>
      <c r="AK16" s="881">
        <f t="shared" si="15"/>
        <v>113.46220322628528</v>
      </c>
      <c r="AL16" s="883"/>
      <c r="AM16" s="881" t="str">
        <f t="shared" si="16"/>
        <v/>
      </c>
      <c r="AN16" s="883"/>
      <c r="AO16" s="881" t="str">
        <f t="shared" si="17"/>
        <v/>
      </c>
      <c r="AP16" s="883">
        <v>31001</v>
      </c>
      <c r="AQ16" s="881">
        <f t="shared" si="18"/>
        <v>22840.53092349396</v>
      </c>
    </row>
    <row r="17" spans="1:43" x14ac:dyDescent="0.2">
      <c r="A17" s="873" t="s">
        <v>522</v>
      </c>
      <c r="B17" s="879">
        <v>0.76</v>
      </c>
      <c r="D17" s="880">
        <v>85615</v>
      </c>
      <c r="E17" s="881">
        <f t="shared" si="0"/>
        <v>112651.31578947368</v>
      </c>
      <c r="F17" s="880">
        <v>21713</v>
      </c>
      <c r="G17" s="881">
        <f t="shared" si="0"/>
        <v>28569.736842105263</v>
      </c>
      <c r="H17" s="880"/>
      <c r="I17" s="881" t="str">
        <f t="shared" si="1"/>
        <v/>
      </c>
      <c r="J17" s="880"/>
      <c r="K17" s="881" t="str">
        <f t="shared" si="2"/>
        <v/>
      </c>
      <c r="L17" s="880"/>
      <c r="M17" s="881" t="str">
        <f t="shared" si="3"/>
        <v/>
      </c>
      <c r="N17" s="880">
        <v>157</v>
      </c>
      <c r="O17" s="881">
        <f t="shared" si="4"/>
        <v>206.57894736842104</v>
      </c>
      <c r="P17" s="880">
        <v>340</v>
      </c>
      <c r="Q17" s="881">
        <f t="shared" si="5"/>
        <v>447.36842105263156</v>
      </c>
      <c r="R17" s="880">
        <v>48</v>
      </c>
      <c r="S17" s="881">
        <f t="shared" si="6"/>
        <v>63.157894736842103</v>
      </c>
      <c r="T17" s="880">
        <v>6</v>
      </c>
      <c r="U17" s="881">
        <f t="shared" si="7"/>
        <v>7.8947368421052628</v>
      </c>
      <c r="V17" s="880"/>
      <c r="W17" s="881" t="str">
        <f t="shared" si="8"/>
        <v/>
      </c>
      <c r="X17" s="880"/>
      <c r="Y17" s="881" t="str">
        <f t="shared" si="9"/>
        <v/>
      </c>
      <c r="Z17" s="880"/>
      <c r="AA17" s="881" t="str">
        <f t="shared" si="10"/>
        <v/>
      </c>
      <c r="AB17" s="880">
        <v>58</v>
      </c>
      <c r="AC17" s="881">
        <f t="shared" si="11"/>
        <v>76.315789473684205</v>
      </c>
      <c r="AD17" s="880">
        <v>5610</v>
      </c>
      <c r="AE17" s="881">
        <f t="shared" si="12"/>
        <v>7381.5789473684208</v>
      </c>
      <c r="AF17" s="880"/>
      <c r="AG17" s="881" t="str">
        <f t="shared" si="13"/>
        <v/>
      </c>
      <c r="AH17" s="880"/>
      <c r="AI17" s="881" t="str">
        <f t="shared" si="14"/>
        <v/>
      </c>
      <c r="AJ17" s="880">
        <v>7154</v>
      </c>
      <c r="AK17" s="881">
        <f t="shared" si="15"/>
        <v>9413.1578947368416</v>
      </c>
      <c r="AL17" s="880"/>
      <c r="AM17" s="881" t="str">
        <f t="shared" si="16"/>
        <v/>
      </c>
      <c r="AN17" s="880">
        <v>4136</v>
      </c>
      <c r="AO17" s="881">
        <f t="shared" si="17"/>
        <v>5442.105263157895</v>
      </c>
      <c r="AP17" s="880">
        <v>39222</v>
      </c>
      <c r="AQ17" s="881">
        <f t="shared" si="18"/>
        <v>51607.894736842107</v>
      </c>
    </row>
    <row r="18" spans="1:43" x14ac:dyDescent="0.2">
      <c r="A18" s="873" t="s">
        <v>670</v>
      </c>
      <c r="B18" s="879">
        <v>190.79</v>
      </c>
      <c r="D18" s="880">
        <v>463280</v>
      </c>
      <c r="E18" s="881">
        <f t="shared" si="0"/>
        <v>2428.2195083599772</v>
      </c>
      <c r="F18" s="880">
        <v>130572</v>
      </c>
      <c r="G18" s="881">
        <f t="shared" si="0"/>
        <v>684.37549137795486</v>
      </c>
      <c r="H18" s="880"/>
      <c r="I18" s="881" t="str">
        <f t="shared" si="1"/>
        <v/>
      </c>
      <c r="J18" s="880">
        <v>140215</v>
      </c>
      <c r="K18" s="881">
        <f t="shared" si="2"/>
        <v>734.9179726400755</v>
      </c>
      <c r="L18" s="880"/>
      <c r="M18" s="881" t="str">
        <f t="shared" si="3"/>
        <v/>
      </c>
      <c r="N18" s="880">
        <v>114579</v>
      </c>
      <c r="O18" s="881">
        <f t="shared" si="4"/>
        <v>600.55034330939782</v>
      </c>
      <c r="P18" s="880">
        <v>1192583</v>
      </c>
      <c r="Q18" s="881">
        <f t="shared" si="5"/>
        <v>6250.7626185858799</v>
      </c>
      <c r="R18" s="880">
        <v>5680</v>
      </c>
      <c r="S18" s="881">
        <f t="shared" si="6"/>
        <v>29.770952355993501</v>
      </c>
      <c r="T18" s="880"/>
      <c r="U18" s="881" t="str">
        <f t="shared" si="7"/>
        <v/>
      </c>
      <c r="V18" s="880"/>
      <c r="W18" s="881" t="str">
        <f t="shared" si="8"/>
        <v/>
      </c>
      <c r="X18" s="880"/>
      <c r="Y18" s="881" t="str">
        <f t="shared" si="9"/>
        <v/>
      </c>
      <c r="Z18" s="880"/>
      <c r="AA18" s="881" t="str">
        <f t="shared" si="10"/>
        <v/>
      </c>
      <c r="AB18" s="880"/>
      <c r="AC18" s="881" t="str">
        <f t="shared" si="11"/>
        <v/>
      </c>
      <c r="AD18" s="880"/>
      <c r="AE18" s="881" t="str">
        <f t="shared" si="12"/>
        <v/>
      </c>
      <c r="AF18" s="880"/>
      <c r="AG18" s="881" t="str">
        <f t="shared" si="13"/>
        <v/>
      </c>
      <c r="AH18" s="880"/>
      <c r="AI18" s="881" t="str">
        <f t="shared" si="14"/>
        <v/>
      </c>
      <c r="AJ18" s="880">
        <v>226563</v>
      </c>
      <c r="AK18" s="881">
        <f t="shared" si="15"/>
        <v>1187.4993448293935</v>
      </c>
      <c r="AL18" s="880"/>
      <c r="AM18" s="881" t="str">
        <f t="shared" si="16"/>
        <v/>
      </c>
      <c r="AN18" s="880"/>
      <c r="AO18" s="881" t="str">
        <f t="shared" si="17"/>
        <v/>
      </c>
      <c r="AP18" s="880">
        <v>1810192</v>
      </c>
      <c r="AQ18" s="881">
        <f t="shared" si="18"/>
        <v>9487.8767230986959</v>
      </c>
    </row>
    <row r="19" spans="1:43" x14ac:dyDescent="0.2">
      <c r="A19" s="884"/>
      <c r="B19" s="865">
        <v>43.56</v>
      </c>
      <c r="D19" s="883">
        <v>119680</v>
      </c>
      <c r="E19" s="881">
        <f t="shared" si="0"/>
        <v>2747.4747474747473</v>
      </c>
      <c r="F19" s="883">
        <v>22939</v>
      </c>
      <c r="G19" s="881">
        <f t="shared" si="0"/>
        <v>526.60697887970616</v>
      </c>
      <c r="H19" s="883"/>
      <c r="I19" s="881" t="str">
        <f t="shared" si="1"/>
        <v/>
      </c>
      <c r="J19" s="883">
        <v>60440</v>
      </c>
      <c r="K19" s="881">
        <f t="shared" si="2"/>
        <v>1387.5114784205693</v>
      </c>
      <c r="L19" s="883"/>
      <c r="M19" s="881" t="str">
        <f t="shared" si="3"/>
        <v/>
      </c>
      <c r="N19" s="883">
        <v>29996</v>
      </c>
      <c r="O19" s="881">
        <f t="shared" si="4"/>
        <v>688.61340679522493</v>
      </c>
      <c r="P19" s="883">
        <v>241271</v>
      </c>
      <c r="Q19" s="881">
        <f t="shared" si="5"/>
        <v>5538.8200183654726</v>
      </c>
      <c r="R19" s="883">
        <v>1349</v>
      </c>
      <c r="S19" s="881">
        <f t="shared" si="6"/>
        <v>30.968778696051423</v>
      </c>
      <c r="T19" s="883"/>
      <c r="U19" s="881" t="str">
        <f t="shared" si="7"/>
        <v/>
      </c>
      <c r="V19" s="883"/>
      <c r="W19" s="881" t="str">
        <f t="shared" si="8"/>
        <v/>
      </c>
      <c r="X19" s="883"/>
      <c r="Y19" s="881" t="str">
        <f t="shared" si="9"/>
        <v/>
      </c>
      <c r="Z19" s="883"/>
      <c r="AA19" s="881" t="str">
        <f t="shared" si="10"/>
        <v/>
      </c>
      <c r="AB19" s="883"/>
      <c r="AC19" s="881" t="str">
        <f t="shared" si="11"/>
        <v/>
      </c>
      <c r="AD19" s="883"/>
      <c r="AE19" s="881" t="str">
        <f t="shared" si="12"/>
        <v/>
      </c>
      <c r="AF19" s="883"/>
      <c r="AG19" s="881" t="str">
        <f t="shared" si="13"/>
        <v/>
      </c>
      <c r="AH19" s="883"/>
      <c r="AI19" s="881" t="str">
        <f t="shared" si="14"/>
        <v/>
      </c>
      <c r="AJ19" s="883">
        <v>50133</v>
      </c>
      <c r="AK19" s="881">
        <f t="shared" si="15"/>
        <v>1150.8953168044077</v>
      </c>
      <c r="AL19" s="883"/>
      <c r="AM19" s="881" t="str">
        <f t="shared" si="16"/>
        <v/>
      </c>
      <c r="AN19" s="883"/>
      <c r="AO19" s="881" t="str">
        <f t="shared" si="17"/>
        <v/>
      </c>
      <c r="AP19" s="883">
        <v>406128</v>
      </c>
      <c r="AQ19" s="881">
        <f t="shared" si="18"/>
        <v>9323.4159779614329</v>
      </c>
    </row>
    <row r="20" spans="1:43" x14ac:dyDescent="0.2">
      <c r="E20" s="881" t="str">
        <f t="shared" si="0"/>
        <v/>
      </c>
      <c r="G20" s="881" t="str">
        <f t="shared" si="0"/>
        <v/>
      </c>
      <c r="I20" s="881" t="str">
        <f t="shared" si="1"/>
        <v/>
      </c>
      <c r="K20" s="881" t="str">
        <f t="shared" si="2"/>
        <v/>
      </c>
      <c r="M20" s="881" t="str">
        <f t="shared" si="3"/>
        <v/>
      </c>
      <c r="O20" s="881" t="str">
        <f t="shared" si="4"/>
        <v/>
      </c>
      <c r="Q20" s="881" t="str">
        <f t="shared" si="5"/>
        <v/>
      </c>
      <c r="S20" s="881" t="str">
        <f t="shared" si="6"/>
        <v/>
      </c>
      <c r="U20" s="881" t="str">
        <f t="shared" si="7"/>
        <v/>
      </c>
      <c r="W20" s="881" t="str">
        <f t="shared" si="8"/>
        <v/>
      </c>
      <c r="Y20" s="881" t="str">
        <f t="shared" si="9"/>
        <v/>
      </c>
      <c r="AA20" s="881" t="str">
        <f t="shared" si="10"/>
        <v/>
      </c>
      <c r="AC20" s="881" t="str">
        <f t="shared" si="11"/>
        <v/>
      </c>
      <c r="AE20" s="881" t="str">
        <f t="shared" si="12"/>
        <v/>
      </c>
      <c r="AG20" s="881" t="str">
        <f t="shared" si="13"/>
        <v/>
      </c>
      <c r="AI20" s="881" t="str">
        <f t="shared" si="14"/>
        <v/>
      </c>
      <c r="AK20" s="881" t="str">
        <f t="shared" si="15"/>
        <v/>
      </c>
      <c r="AM20" s="881" t="str">
        <f t="shared" si="16"/>
        <v/>
      </c>
      <c r="AO20" s="881" t="str">
        <f t="shared" si="17"/>
        <v/>
      </c>
      <c r="AQ20" s="881" t="str">
        <f t="shared" si="18"/>
        <v/>
      </c>
    </row>
    <row r="21" spans="1:43" x14ac:dyDescent="0.2">
      <c r="A21" s="865" t="s">
        <v>523</v>
      </c>
      <c r="B21" s="865">
        <f>SUM(B12:B19)</f>
        <v>272.066104630773</v>
      </c>
      <c r="E21" s="881" t="str">
        <f t="shared" si="0"/>
        <v/>
      </c>
      <c r="G21" s="881" t="str">
        <f t="shared" si="0"/>
        <v/>
      </c>
      <c r="I21" s="881" t="str">
        <f t="shared" si="1"/>
        <v/>
      </c>
      <c r="K21" s="881" t="str">
        <f t="shared" si="2"/>
        <v/>
      </c>
      <c r="M21" s="881" t="str">
        <f t="shared" si="3"/>
        <v/>
      </c>
      <c r="O21" s="881" t="str">
        <f t="shared" si="4"/>
        <v/>
      </c>
      <c r="Q21" s="881" t="str">
        <f t="shared" si="5"/>
        <v/>
      </c>
      <c r="S21" s="881" t="str">
        <f t="shared" si="6"/>
        <v/>
      </c>
      <c r="U21" s="881" t="str">
        <f t="shared" si="7"/>
        <v/>
      </c>
      <c r="W21" s="881" t="str">
        <f t="shared" si="8"/>
        <v/>
      </c>
      <c r="Y21" s="881" t="str">
        <f t="shared" si="9"/>
        <v/>
      </c>
      <c r="AA21" s="881" t="str">
        <f t="shared" si="10"/>
        <v/>
      </c>
      <c r="AC21" s="881" t="str">
        <f t="shared" si="11"/>
        <v/>
      </c>
      <c r="AE21" s="881" t="str">
        <f t="shared" si="12"/>
        <v/>
      </c>
      <c r="AG21" s="881" t="str">
        <f t="shared" si="13"/>
        <v/>
      </c>
      <c r="AI21" s="881" t="str">
        <f t="shared" si="14"/>
        <v/>
      </c>
      <c r="AK21" s="881" t="str">
        <f t="shared" si="15"/>
        <v/>
      </c>
      <c r="AM21" s="881" t="str">
        <f t="shared" si="16"/>
        <v/>
      </c>
      <c r="AO21" s="881" t="str">
        <f t="shared" si="17"/>
        <v/>
      </c>
      <c r="AQ21" s="881" t="str">
        <f t="shared" si="18"/>
        <v/>
      </c>
    </row>
    <row r="22" spans="1:43" x14ac:dyDescent="0.2">
      <c r="E22" s="881" t="str">
        <f t="shared" si="0"/>
        <v/>
      </c>
      <c r="G22" s="881" t="str">
        <f t="shared" si="0"/>
        <v/>
      </c>
      <c r="I22" s="881" t="str">
        <f t="shared" si="1"/>
        <v/>
      </c>
      <c r="K22" s="881" t="str">
        <f t="shared" si="2"/>
        <v/>
      </c>
      <c r="M22" s="881" t="str">
        <f t="shared" si="3"/>
        <v/>
      </c>
      <c r="O22" s="881" t="str">
        <f t="shared" si="4"/>
        <v/>
      </c>
      <c r="Q22" s="881" t="str">
        <f t="shared" si="5"/>
        <v/>
      </c>
      <c r="S22" s="881" t="str">
        <f t="shared" si="6"/>
        <v/>
      </c>
      <c r="U22" s="881" t="str">
        <f t="shared" si="7"/>
        <v/>
      </c>
      <c r="W22" s="881" t="str">
        <f t="shared" si="8"/>
        <v/>
      </c>
      <c r="Y22" s="881" t="str">
        <f t="shared" si="9"/>
        <v/>
      </c>
      <c r="Z22" s="886"/>
      <c r="AA22" s="881" t="str">
        <f t="shared" si="10"/>
        <v/>
      </c>
      <c r="AC22" s="881" t="str">
        <f t="shared" si="11"/>
        <v/>
      </c>
      <c r="AE22" s="881" t="str">
        <f t="shared" si="12"/>
        <v/>
      </c>
      <c r="AG22" s="881" t="str">
        <f t="shared" si="13"/>
        <v/>
      </c>
      <c r="AI22" s="881" t="str">
        <f t="shared" si="14"/>
        <v/>
      </c>
      <c r="AK22" s="881" t="str">
        <f t="shared" si="15"/>
        <v/>
      </c>
      <c r="AM22" s="881" t="str">
        <f t="shared" si="16"/>
        <v/>
      </c>
      <c r="AO22" s="881" t="str">
        <f t="shared" si="17"/>
        <v/>
      </c>
      <c r="AQ22" s="881" t="str">
        <f t="shared" si="18"/>
        <v/>
      </c>
    </row>
    <row r="23" spans="1:43" x14ac:dyDescent="0.2">
      <c r="D23" s="886">
        <f>SUM(D12:D19)</f>
        <v>1311937</v>
      </c>
      <c r="E23" s="881" t="str">
        <f t="shared" si="0"/>
        <v/>
      </c>
      <c r="G23" s="881" t="str">
        <f t="shared" si="0"/>
        <v/>
      </c>
      <c r="I23" s="881" t="str">
        <f t="shared" si="1"/>
        <v/>
      </c>
      <c r="K23" s="881" t="str">
        <f t="shared" si="2"/>
        <v/>
      </c>
      <c r="M23" s="881" t="str">
        <f t="shared" si="3"/>
        <v/>
      </c>
      <c r="N23" s="886">
        <f>SUM(D12:D19)</f>
        <v>1311937</v>
      </c>
      <c r="O23" s="881" t="str">
        <f t="shared" si="4"/>
        <v/>
      </c>
      <c r="Q23" s="881" t="str">
        <f t="shared" si="5"/>
        <v/>
      </c>
      <c r="S23" s="881" t="str">
        <f t="shared" si="6"/>
        <v/>
      </c>
      <c r="U23" s="881" t="str">
        <f t="shared" si="7"/>
        <v/>
      </c>
      <c r="W23" s="881" t="str">
        <f t="shared" si="8"/>
        <v/>
      </c>
      <c r="Y23" s="881" t="str">
        <f t="shared" si="9"/>
        <v/>
      </c>
      <c r="Z23" s="886">
        <f>SUM(N12:N19)</f>
        <v>147348</v>
      </c>
      <c r="AA23" s="881" t="str">
        <f t="shared" si="10"/>
        <v/>
      </c>
      <c r="AC23" s="881" t="str">
        <f t="shared" si="11"/>
        <v/>
      </c>
      <c r="AE23" s="881" t="str">
        <f t="shared" si="12"/>
        <v/>
      </c>
      <c r="AG23" s="881" t="str">
        <f t="shared" si="13"/>
        <v/>
      </c>
      <c r="AI23" s="881" t="str">
        <f t="shared" si="14"/>
        <v/>
      </c>
      <c r="AK23" s="881" t="str">
        <f t="shared" si="15"/>
        <v/>
      </c>
      <c r="AM23" s="881" t="str">
        <f t="shared" si="16"/>
        <v/>
      </c>
      <c r="AO23" s="881" t="str">
        <f t="shared" si="17"/>
        <v/>
      </c>
      <c r="AQ23" s="881" t="str">
        <f t="shared" si="18"/>
        <v/>
      </c>
    </row>
    <row r="24" spans="1:43" x14ac:dyDescent="0.2">
      <c r="D24" s="889">
        <f>D23/B21</f>
        <v>4822.1258645227381</v>
      </c>
      <c r="E24" s="881" t="str">
        <f t="shared" si="0"/>
        <v/>
      </c>
      <c r="G24" s="881" t="str">
        <f t="shared" si="0"/>
        <v/>
      </c>
      <c r="I24" s="881" t="str">
        <f t="shared" si="1"/>
        <v/>
      </c>
      <c r="K24" s="881" t="str">
        <f t="shared" si="2"/>
        <v/>
      </c>
      <c r="M24" s="881" t="str">
        <f t="shared" si="3"/>
        <v/>
      </c>
      <c r="N24" s="889">
        <f>N23/B21</f>
        <v>4822.1258645227381</v>
      </c>
      <c r="O24" s="881" t="str">
        <f t="shared" si="4"/>
        <v/>
      </c>
      <c r="Q24" s="881" t="str">
        <f t="shared" si="5"/>
        <v/>
      </c>
      <c r="S24" s="881" t="str">
        <f t="shared" si="6"/>
        <v/>
      </c>
      <c r="U24" s="881" t="str">
        <f t="shared" si="7"/>
        <v/>
      </c>
      <c r="W24" s="881" t="str">
        <f t="shared" si="8"/>
        <v/>
      </c>
      <c r="Y24" s="881" t="str">
        <f t="shared" si="9"/>
        <v/>
      </c>
      <c r="Z24" s="886">
        <f>SUM(AB12:AB18)</f>
        <v>12958</v>
      </c>
      <c r="AA24" s="881" t="str">
        <f t="shared" si="10"/>
        <v/>
      </c>
      <c r="AC24" s="881" t="str">
        <f t="shared" si="11"/>
        <v/>
      </c>
      <c r="AE24" s="881" t="str">
        <f t="shared" si="12"/>
        <v/>
      </c>
      <c r="AG24" s="881" t="str">
        <f t="shared" si="13"/>
        <v/>
      </c>
      <c r="AI24" s="881" t="str">
        <f t="shared" si="14"/>
        <v/>
      </c>
      <c r="AK24" s="881" t="str">
        <f t="shared" si="15"/>
        <v/>
      </c>
      <c r="AM24" s="881" t="str">
        <f t="shared" si="16"/>
        <v/>
      </c>
      <c r="AO24" s="881" t="str">
        <f t="shared" si="17"/>
        <v/>
      </c>
      <c r="AQ24" s="881" t="str">
        <f t="shared" si="18"/>
        <v/>
      </c>
    </row>
    <row r="25" spans="1:43" ht="12" thickBot="1" x14ac:dyDescent="0.25">
      <c r="E25" s="881" t="str">
        <f t="shared" si="0"/>
        <v/>
      </c>
      <c r="G25" s="881" t="str">
        <f t="shared" si="0"/>
        <v/>
      </c>
      <c r="I25" s="881" t="str">
        <f t="shared" si="1"/>
        <v/>
      </c>
      <c r="K25" s="881" t="str">
        <f t="shared" si="2"/>
        <v/>
      </c>
      <c r="M25" s="881" t="str">
        <f t="shared" si="3"/>
        <v/>
      </c>
      <c r="O25" s="881" t="str">
        <f t="shared" si="4"/>
        <v/>
      </c>
      <c r="Q25" s="881" t="str">
        <f t="shared" si="5"/>
        <v/>
      </c>
      <c r="S25" s="881" t="str">
        <f t="shared" si="6"/>
        <v/>
      </c>
      <c r="U25" s="881" t="str">
        <f t="shared" si="7"/>
        <v/>
      </c>
      <c r="W25" s="881" t="str">
        <f t="shared" si="8"/>
        <v/>
      </c>
      <c r="Y25" s="881" t="str">
        <f t="shared" si="9"/>
        <v/>
      </c>
      <c r="Z25" s="886">
        <f>SUM(AJ12:AJ20)</f>
        <v>324047</v>
      </c>
      <c r="AA25" s="881" t="str">
        <f t="shared" si="10"/>
        <v/>
      </c>
      <c r="AC25" s="881" t="str">
        <f t="shared" si="11"/>
        <v/>
      </c>
      <c r="AE25" s="881" t="str">
        <f t="shared" si="12"/>
        <v/>
      </c>
      <c r="AG25" s="881" t="str">
        <f t="shared" si="13"/>
        <v/>
      </c>
      <c r="AI25" s="881" t="str">
        <f t="shared" si="14"/>
        <v/>
      </c>
      <c r="AK25" s="881" t="str">
        <f t="shared" si="15"/>
        <v/>
      </c>
      <c r="AM25" s="881" t="str">
        <f t="shared" si="16"/>
        <v/>
      </c>
      <c r="AO25" s="881" t="str">
        <f t="shared" si="17"/>
        <v/>
      </c>
      <c r="AQ25" s="881" t="str">
        <f t="shared" si="18"/>
        <v/>
      </c>
    </row>
    <row r="26" spans="1:43" ht="13.5" thickBot="1" x14ac:dyDescent="0.25">
      <c r="A26" s="522" t="s">
        <v>455</v>
      </c>
      <c r="B26" s="885">
        <f>SUM(E12:E19)</f>
        <v>480776.74784849881</v>
      </c>
      <c r="E26" s="881" t="str">
        <f t="shared" si="0"/>
        <v/>
      </c>
      <c r="G26" s="881" t="str">
        <f t="shared" si="0"/>
        <v/>
      </c>
      <c r="I26" s="881" t="str">
        <f t="shared" si="1"/>
        <v/>
      </c>
      <c r="K26" s="881" t="str">
        <f t="shared" si="2"/>
        <v/>
      </c>
      <c r="M26" s="881" t="str">
        <f t="shared" si="3"/>
        <v/>
      </c>
      <c r="O26" s="881" t="str">
        <f t="shared" si="4"/>
        <v/>
      </c>
      <c r="Q26" s="881" t="str">
        <f t="shared" si="5"/>
        <v/>
      </c>
      <c r="S26" s="881" t="str">
        <f t="shared" si="6"/>
        <v/>
      </c>
      <c r="U26" s="881" t="str">
        <f t="shared" si="7"/>
        <v/>
      </c>
      <c r="W26" s="881" t="str">
        <f t="shared" si="8"/>
        <v/>
      </c>
      <c r="Y26" s="881" t="str">
        <f t="shared" si="9"/>
        <v/>
      </c>
      <c r="Z26" s="889">
        <f>SUM(Z23:Z25)</f>
        <v>484353</v>
      </c>
      <c r="AA26" s="881"/>
      <c r="AC26" s="881" t="str">
        <f t="shared" si="11"/>
        <v/>
      </c>
      <c r="AE26" s="881" t="str">
        <f t="shared" si="12"/>
        <v/>
      </c>
      <c r="AG26" s="881" t="str">
        <f t="shared" si="13"/>
        <v/>
      </c>
      <c r="AI26" s="881" t="str">
        <f t="shared" si="14"/>
        <v/>
      </c>
      <c r="AK26" s="881" t="str">
        <f t="shared" si="15"/>
        <v/>
      </c>
      <c r="AM26" s="881" t="str">
        <f t="shared" si="16"/>
        <v/>
      </c>
      <c r="AO26" s="881" t="str">
        <f t="shared" si="17"/>
        <v/>
      </c>
      <c r="AQ26" s="881" t="str">
        <f t="shared" si="18"/>
        <v/>
      </c>
    </row>
    <row r="27" spans="1:43" ht="12.75" x14ac:dyDescent="0.2">
      <c r="A27" s="241" t="s">
        <v>454</v>
      </c>
      <c r="B27" s="525">
        <f>C39</f>
        <v>7183</v>
      </c>
      <c r="E27" s="890" t="s">
        <v>155</v>
      </c>
      <c r="F27" s="891"/>
      <c r="G27" s="892" t="str">
        <f t="shared" si="0"/>
        <v/>
      </c>
      <c r="H27" s="891"/>
      <c r="I27" s="892" t="str">
        <f t="shared" si="1"/>
        <v/>
      </c>
      <c r="J27" s="891"/>
      <c r="K27" s="892" t="str">
        <f t="shared" si="2"/>
        <v/>
      </c>
      <c r="L27" s="891"/>
      <c r="M27" s="892" t="str">
        <f t="shared" si="3"/>
        <v/>
      </c>
      <c r="N27" s="893">
        <f>N24*30.68</f>
        <v>147942.82152355759</v>
      </c>
      <c r="O27" s="881"/>
      <c r="Q27" s="881" t="str">
        <f t="shared" si="5"/>
        <v/>
      </c>
      <c r="S27" s="881" t="str">
        <f t="shared" si="6"/>
        <v/>
      </c>
      <c r="U27" s="881" t="str">
        <f t="shared" si="7"/>
        <v/>
      </c>
      <c r="W27" s="881" t="str">
        <f t="shared" si="8"/>
        <v/>
      </c>
      <c r="Y27" s="881" t="str">
        <f t="shared" si="9"/>
        <v/>
      </c>
      <c r="Z27" s="886">
        <f>Z26/B21</f>
        <v>1780.2768950484526</v>
      </c>
      <c r="AA27" s="881"/>
      <c r="AC27" s="881" t="str">
        <f t="shared" si="11"/>
        <v/>
      </c>
      <c r="AE27" s="881" t="str">
        <f t="shared" si="12"/>
        <v/>
      </c>
      <c r="AG27" s="881" t="str">
        <f t="shared" si="13"/>
        <v/>
      </c>
      <c r="AI27" s="881" t="str">
        <f t="shared" si="14"/>
        <v/>
      </c>
      <c r="AK27" s="881" t="str">
        <f t="shared" si="15"/>
        <v/>
      </c>
      <c r="AM27" s="881" t="str">
        <f t="shared" si="16"/>
        <v/>
      </c>
      <c r="AO27" s="881" t="str">
        <f t="shared" si="17"/>
        <v/>
      </c>
      <c r="AQ27" s="881" t="str">
        <f t="shared" si="18"/>
        <v/>
      </c>
    </row>
    <row r="28" spans="1:43" ht="13.5" thickBot="1" x14ac:dyDescent="0.25">
      <c r="A28" s="369" t="s">
        <v>453</v>
      </c>
      <c r="B28" s="526">
        <f>B26/B27</f>
        <v>66.932583579075427</v>
      </c>
      <c r="E28" s="894"/>
      <c r="G28" s="895" t="str">
        <f t="shared" si="0"/>
        <v/>
      </c>
      <c r="I28" s="895" t="str">
        <f t="shared" si="1"/>
        <v/>
      </c>
      <c r="K28" s="895" t="str">
        <f t="shared" si="2"/>
        <v/>
      </c>
      <c r="M28" s="895" t="str">
        <f t="shared" si="3"/>
        <v/>
      </c>
      <c r="N28" s="896">
        <f>N27/6616</f>
        <v>22.361369637780772</v>
      </c>
      <c r="O28" s="881"/>
      <c r="Q28" s="881" t="str">
        <f t="shared" si="5"/>
        <v/>
      </c>
      <c r="S28" s="881" t="str">
        <f t="shared" si="6"/>
        <v/>
      </c>
      <c r="U28" s="881" t="str">
        <f t="shared" si="7"/>
        <v/>
      </c>
      <c r="W28" s="881" t="str">
        <f t="shared" si="8"/>
        <v/>
      </c>
      <c r="Y28" s="881" t="str">
        <f t="shared" si="9"/>
        <v/>
      </c>
      <c r="Z28" s="886"/>
      <c r="AA28" s="881"/>
      <c r="AC28" s="881" t="str">
        <f t="shared" si="11"/>
        <v/>
      </c>
      <c r="AE28" s="881" t="str">
        <f t="shared" si="12"/>
        <v/>
      </c>
      <c r="AG28" s="881" t="str">
        <f t="shared" si="13"/>
        <v/>
      </c>
      <c r="AI28" s="881" t="str">
        <f t="shared" si="14"/>
        <v/>
      </c>
      <c r="AK28" s="881"/>
      <c r="AM28" s="881" t="str">
        <f t="shared" si="16"/>
        <v/>
      </c>
      <c r="AO28" s="881" t="str">
        <f t="shared" si="17"/>
        <v/>
      </c>
      <c r="AQ28" s="881" t="str">
        <f t="shared" si="18"/>
        <v/>
      </c>
    </row>
    <row r="29" spans="1:43" ht="12" thickBot="1" x14ac:dyDescent="0.25">
      <c r="E29" s="894" t="s">
        <v>156</v>
      </c>
      <c r="G29" s="895" t="str">
        <f t="shared" si="0"/>
        <v/>
      </c>
      <c r="I29" s="895" t="str">
        <f t="shared" si="1"/>
        <v/>
      </c>
      <c r="K29" s="895" t="str">
        <f t="shared" si="2"/>
        <v/>
      </c>
      <c r="M29" s="895" t="str">
        <f t="shared" si="3"/>
        <v/>
      </c>
      <c r="N29" s="903">
        <f>N28*0.6</f>
        <v>13.416821782668462</v>
      </c>
      <c r="O29" s="881" t="str">
        <f t="shared" si="4"/>
        <v/>
      </c>
      <c r="Q29" s="881" t="str">
        <f t="shared" si="5"/>
        <v/>
      </c>
      <c r="S29" s="881" t="str">
        <f t="shared" si="6"/>
        <v/>
      </c>
      <c r="U29" s="881" t="str">
        <f t="shared" si="7"/>
        <v/>
      </c>
      <c r="W29" s="881" t="str">
        <f t="shared" si="8"/>
        <v/>
      </c>
      <c r="Y29" s="881" t="str">
        <f t="shared" si="9"/>
        <v/>
      </c>
      <c r="Z29" s="886">
        <f>Z27*30.68</f>
        <v>54618.895140086526</v>
      </c>
      <c r="AA29" s="881" t="str">
        <f>IF(OR($B29=0,Z30=0),"",Z30/$B29)</f>
        <v/>
      </c>
      <c r="AC29" s="881" t="str">
        <f t="shared" si="11"/>
        <v/>
      </c>
      <c r="AE29" s="881" t="str">
        <f t="shared" si="12"/>
        <v/>
      </c>
      <c r="AG29" s="881" t="str">
        <f t="shared" si="13"/>
        <v/>
      </c>
      <c r="AI29" s="881" t="str">
        <f t="shared" si="14"/>
        <v/>
      </c>
      <c r="AK29" s="881" t="str">
        <f t="shared" si="15"/>
        <v/>
      </c>
      <c r="AM29" s="881" t="str">
        <f t="shared" si="16"/>
        <v/>
      </c>
      <c r="AO29" s="881" t="str">
        <f t="shared" si="17"/>
        <v/>
      </c>
      <c r="AQ29" s="881" t="str">
        <f t="shared" si="18"/>
        <v/>
      </c>
    </row>
    <row r="30" spans="1:43" ht="12.75" x14ac:dyDescent="0.2">
      <c r="A30" s="522"/>
      <c r="B30" s="295"/>
      <c r="C30" s="413" t="s">
        <v>672</v>
      </c>
      <c r="E30" s="894" t="s">
        <v>157</v>
      </c>
      <c r="G30" s="895" t="str">
        <f t="shared" si="0"/>
        <v/>
      </c>
      <c r="I30" s="895" t="str">
        <f t="shared" si="1"/>
        <v/>
      </c>
      <c r="K30" s="895" t="str">
        <f t="shared" si="2"/>
        <v/>
      </c>
      <c r="M30" s="895" t="str">
        <f t="shared" si="3"/>
        <v/>
      </c>
      <c r="N30" s="896">
        <f>N28*0.3</f>
        <v>6.7084108913342311</v>
      </c>
      <c r="O30" s="881" t="str">
        <f t="shared" si="4"/>
        <v/>
      </c>
      <c r="Q30" s="881" t="str">
        <f t="shared" si="5"/>
        <v/>
      </c>
      <c r="S30" s="881" t="str">
        <f t="shared" si="6"/>
        <v/>
      </c>
      <c r="U30" s="881" t="str">
        <f t="shared" si="7"/>
        <v/>
      </c>
      <c r="W30" s="881" t="str">
        <f t="shared" si="8"/>
        <v/>
      </c>
      <c r="Y30" s="881" t="str">
        <f t="shared" si="9"/>
        <v/>
      </c>
      <c r="Z30" s="889">
        <f>Z29/6616</f>
        <v>8.2555766535801887</v>
      </c>
      <c r="AA30" s="881" t="str">
        <f>IF(OR($B30=0,Z31=0),"",Z31/$B30)</f>
        <v/>
      </c>
      <c r="AC30" s="881" t="str">
        <f t="shared" si="11"/>
        <v/>
      </c>
      <c r="AE30" s="881" t="str">
        <f t="shared" si="12"/>
        <v/>
      </c>
      <c r="AG30" s="881" t="str">
        <f t="shared" si="13"/>
        <v/>
      </c>
      <c r="AI30" s="881" t="str">
        <f t="shared" si="14"/>
        <v/>
      </c>
      <c r="AK30" s="881" t="str">
        <f t="shared" si="15"/>
        <v/>
      </c>
      <c r="AM30" s="881" t="str">
        <f t="shared" si="16"/>
        <v/>
      </c>
      <c r="AO30" s="881" t="str">
        <f t="shared" si="17"/>
        <v/>
      </c>
      <c r="AQ30" s="881" t="str">
        <f t="shared" si="18"/>
        <v/>
      </c>
    </row>
    <row r="31" spans="1:43" ht="13.5" thickBot="1" x14ac:dyDescent="0.25">
      <c r="A31" s="33" t="str">
        <f>A12</f>
        <v>Center for Human Development</v>
      </c>
      <c r="B31" s="33"/>
      <c r="C31" s="139">
        <v>1771</v>
      </c>
      <c r="D31" s="901"/>
      <c r="E31" s="897" t="s">
        <v>158</v>
      </c>
      <c r="F31" s="898"/>
      <c r="G31" s="899" t="str">
        <f t="shared" si="0"/>
        <v/>
      </c>
      <c r="H31" s="898"/>
      <c r="I31" s="899" t="str">
        <f t="shared" si="1"/>
        <v/>
      </c>
      <c r="J31" s="898"/>
      <c r="K31" s="899" t="str">
        <f t="shared" si="2"/>
        <v/>
      </c>
      <c r="L31" s="898"/>
      <c r="M31" s="899" t="str">
        <f t="shared" si="3"/>
        <v/>
      </c>
      <c r="N31" s="900">
        <f>N28*10%</f>
        <v>2.2361369637780775</v>
      </c>
      <c r="O31" s="881"/>
      <c r="Q31" s="881" t="str">
        <f t="shared" si="5"/>
        <v/>
      </c>
      <c r="S31" s="881" t="str">
        <f t="shared" si="6"/>
        <v/>
      </c>
      <c r="U31" s="881" t="str">
        <f t="shared" si="7"/>
        <v/>
      </c>
      <c r="W31" s="881" t="str">
        <f t="shared" si="8"/>
        <v/>
      </c>
      <c r="Y31" s="881" t="str">
        <f t="shared" si="9"/>
        <v/>
      </c>
      <c r="AA31" s="881" t="str">
        <f>IF(OR($B31=0,Z32=0),"",Z32/$B31)</f>
        <v/>
      </c>
      <c r="AC31" s="881" t="str">
        <f t="shared" si="11"/>
        <v/>
      </c>
      <c r="AE31" s="881" t="str">
        <f t="shared" si="12"/>
        <v/>
      </c>
      <c r="AG31" s="881" t="str">
        <f t="shared" si="13"/>
        <v/>
      </c>
      <c r="AI31" s="881" t="str">
        <f t="shared" si="14"/>
        <v/>
      </c>
      <c r="AK31" s="881" t="str">
        <f t="shared" si="15"/>
        <v/>
      </c>
      <c r="AM31" s="881" t="str">
        <f t="shared" si="16"/>
        <v/>
      </c>
      <c r="AO31" s="881" t="str">
        <f t="shared" si="17"/>
        <v/>
      </c>
      <c r="AQ31" s="881" t="str">
        <f t="shared" si="18"/>
        <v/>
      </c>
    </row>
    <row r="32" spans="1:43" ht="12.75" x14ac:dyDescent="0.2">
      <c r="A32" s="241" t="str">
        <f>A13</f>
        <v>Eliot Community Human Services, Inc.</v>
      </c>
      <c r="B32" s="33"/>
      <c r="C32" s="139">
        <v>2774</v>
      </c>
      <c r="D32" s="901"/>
      <c r="E32" s="881" t="str">
        <f t="shared" si="0"/>
        <v/>
      </c>
      <c r="G32" s="881" t="str">
        <f t="shared" si="0"/>
        <v/>
      </c>
      <c r="I32" s="881" t="str">
        <f t="shared" si="1"/>
        <v/>
      </c>
      <c r="K32" s="881" t="str">
        <f t="shared" si="2"/>
        <v/>
      </c>
      <c r="M32" s="881" t="str">
        <f t="shared" si="3"/>
        <v/>
      </c>
      <c r="O32" s="881" t="str">
        <f t="shared" si="4"/>
        <v/>
      </c>
      <c r="Q32" s="881" t="str">
        <f t="shared" si="5"/>
        <v/>
      </c>
      <c r="S32" s="881" t="str">
        <f t="shared" si="6"/>
        <v/>
      </c>
      <c r="U32" s="881" t="str">
        <f t="shared" si="7"/>
        <v/>
      </c>
      <c r="W32" s="881" t="str">
        <f t="shared" si="8"/>
        <v/>
      </c>
      <c r="Y32" s="881" t="str">
        <f t="shared" si="9"/>
        <v/>
      </c>
      <c r="AA32" s="881" t="str">
        <f>IF(OR($B32=0,Z33=0),"",Z33/$B32)</f>
        <v/>
      </c>
      <c r="AC32" s="881" t="str">
        <f t="shared" si="11"/>
        <v/>
      </c>
      <c r="AE32" s="881" t="str">
        <f t="shared" si="12"/>
        <v/>
      </c>
      <c r="AG32" s="881" t="str">
        <f t="shared" si="13"/>
        <v/>
      </c>
      <c r="AI32" s="881" t="str">
        <f t="shared" si="14"/>
        <v/>
      </c>
      <c r="AK32" s="881" t="str">
        <f t="shared" si="15"/>
        <v/>
      </c>
      <c r="AM32" s="881" t="str">
        <f t="shared" si="16"/>
        <v/>
      </c>
      <c r="AO32" s="881" t="str">
        <f t="shared" si="17"/>
        <v/>
      </c>
      <c r="AQ32" s="881" t="str">
        <f t="shared" si="18"/>
        <v/>
      </c>
    </row>
    <row r="33" spans="1:43" ht="12.75" x14ac:dyDescent="0.2">
      <c r="A33" s="905" t="s">
        <v>670</v>
      </c>
      <c r="B33" s="33" t="s">
        <v>682</v>
      </c>
      <c r="C33" s="139"/>
      <c r="D33" s="901" t="s">
        <v>673</v>
      </c>
      <c r="E33" s="881"/>
      <c r="G33" s="881" t="str">
        <f>IF(OR($B34=0,F33=0),"",F33/$B34)</f>
        <v/>
      </c>
      <c r="I33" s="881" t="str">
        <f>IF(OR($B34=0,H33=0),"",H33/$B34)</f>
        <v/>
      </c>
      <c r="K33" s="881" t="str">
        <f>IF(OR($B34=0,J33=0),"",J33/$B34)</f>
        <v/>
      </c>
      <c r="M33" s="881" t="str">
        <f>IF(OR($B34=0,L33=0),"",L33/$B34)</f>
        <v/>
      </c>
      <c r="O33" s="881" t="str">
        <f>IF(OR($B34=0,N33=0),"",N33/$B34)</f>
        <v/>
      </c>
      <c r="Q33" s="881" t="str">
        <f>IF(OR($B34=0,P33=0),"",P33/$B34)</f>
        <v/>
      </c>
      <c r="S33" s="881" t="str">
        <f>IF(OR($B34=0,R33=0),"",R33/$B34)</f>
        <v/>
      </c>
      <c r="U33" s="881" t="str">
        <f>IF(OR($B34=0,T33=0),"",T33/$B34)</f>
        <v/>
      </c>
      <c r="W33" s="881" t="str">
        <f>IF(OR($B34=0,V33=0),"",V33/$B34)</f>
        <v/>
      </c>
      <c r="Y33" s="881" t="str">
        <f>IF(OR($B34=0,X33=0),"",X33/$B34)</f>
        <v/>
      </c>
      <c r="AA33" s="881" t="str">
        <f>IF(OR($B34=0,Z34=0),"",Z34/$B34)</f>
        <v/>
      </c>
      <c r="AC33" s="881" t="str">
        <f>IF(OR($B34=0,AB33=0),"",AB33/$B34)</f>
        <v/>
      </c>
      <c r="AE33" s="881" t="str">
        <f>IF(OR($B34=0,AD33=0),"",AD33/$B34)</f>
        <v/>
      </c>
      <c r="AG33" s="881" t="str">
        <f>IF(OR($B34=0,AF33=0),"",AF33/$B34)</f>
        <v/>
      </c>
      <c r="AI33" s="881" t="str">
        <f>IF(OR($B34=0,AH33=0),"",AH33/$B34)</f>
        <v/>
      </c>
      <c r="AK33" s="881" t="str">
        <f>IF(OR($B34=0,AJ33=0),"",AJ33/$B34)</f>
        <v/>
      </c>
      <c r="AM33" s="881" t="str">
        <f>IF(OR($B34=0,AL33=0),"",AL33/$B34)</f>
        <v/>
      </c>
      <c r="AO33" s="881" t="str">
        <f>IF(OR($B34=0,AN33=0),"",AN33/$B34)</f>
        <v/>
      </c>
      <c r="AQ33" s="881" t="str">
        <f>IF(OR($B34=0,AP33=0),"",AP33/$B34)</f>
        <v/>
      </c>
    </row>
    <row r="34" spans="1:43" ht="12.75" x14ac:dyDescent="0.2">
      <c r="A34" s="887"/>
      <c r="B34" s="33" t="s">
        <v>683</v>
      </c>
      <c r="C34" s="139"/>
      <c r="D34" s="901"/>
      <c r="E34" s="881"/>
      <c r="G34" s="881" t="str">
        <f>IF(OR($B35=0,F34=0),"",F34/$B35)</f>
        <v/>
      </c>
      <c r="I34" s="881" t="str">
        <f>IF(OR($B35=0,H34=0),"",H34/$B35)</f>
        <v/>
      </c>
      <c r="K34" s="881" t="str">
        <f>IF(OR($B35=0,J34=0),"",J34/$B35)</f>
        <v/>
      </c>
      <c r="M34" s="881" t="str">
        <f>IF(OR($B35=0,L34=0),"",L34/$B35)</f>
        <v/>
      </c>
      <c r="O34" s="881" t="str">
        <f>IF(OR($B35=0,N34=0),"",N34/$B35)</f>
        <v/>
      </c>
      <c r="Q34" s="881" t="str">
        <f>IF(OR($B35=0,P34=0),"",P34/$B35)</f>
        <v/>
      </c>
      <c r="S34" s="881" t="str">
        <f>IF(OR($B35=0,R34=0),"",R34/$B35)</f>
        <v/>
      </c>
      <c r="U34" s="881" t="str">
        <f>IF(OR($B35=0,T34=0),"",T34/$B35)</f>
        <v/>
      </c>
      <c r="W34" s="881" t="str">
        <f>IF(OR($B35=0,V34=0),"",V34/$B35)</f>
        <v/>
      </c>
      <c r="Y34" s="881" t="str">
        <f>IF(OR($B35=0,X34=0),"",X34/$B35)</f>
        <v/>
      </c>
      <c r="AA34" s="881" t="str">
        <f>IF(OR($B35=0,Z35=0),"",Z35/$B35)</f>
        <v/>
      </c>
      <c r="AC34" s="881" t="str">
        <f>IF(OR($B35=0,AB34=0),"",AB34/$B35)</f>
        <v/>
      </c>
      <c r="AE34" s="881" t="str">
        <f>IF(OR($B35=0,AD34=0),"",AD34/$B35)</f>
        <v/>
      </c>
      <c r="AG34" s="881" t="str">
        <f>IF(OR($B35=0,AF34=0),"",AF34/$B35)</f>
        <v/>
      </c>
      <c r="AI34" s="881" t="str">
        <f>IF(OR($B35=0,AH34=0),"",AH34/$B35)</f>
        <v/>
      </c>
      <c r="AK34" s="881" t="str">
        <f>IF(OR($B35=0,AJ34=0),"",AJ34/$B35)</f>
        <v/>
      </c>
      <c r="AM34" s="881" t="str">
        <f>IF(OR($B35=0,AL34=0),"",AL34/$B35)</f>
        <v/>
      </c>
      <c r="AO34" s="881" t="str">
        <f>IF(OR($B35=0,AN34=0),"",AN34/$B35)</f>
        <v/>
      </c>
      <c r="AQ34" s="881" t="str">
        <f>IF(OR($B35=0,AP34=0),"",AP34/$B35)</f>
        <v/>
      </c>
    </row>
    <row r="35" spans="1:43" ht="12.75" x14ac:dyDescent="0.2">
      <c r="A35" s="241" t="str">
        <f>A15</f>
        <v>Old Colony Y</v>
      </c>
      <c r="B35" s="33"/>
      <c r="C35" s="139">
        <v>1678</v>
      </c>
      <c r="D35" s="901"/>
      <c r="E35" s="881"/>
      <c r="G35" s="881"/>
      <c r="I35" s="881"/>
      <c r="K35" s="881"/>
      <c r="M35" s="881"/>
      <c r="O35" s="881"/>
      <c r="Q35" s="881"/>
      <c r="S35" s="881"/>
      <c r="U35" s="881"/>
      <c r="W35" s="881"/>
      <c r="Y35" s="881"/>
      <c r="AA35" s="881"/>
      <c r="AC35" s="881"/>
      <c r="AE35" s="881"/>
      <c r="AG35" s="881"/>
      <c r="AI35" s="881"/>
      <c r="AK35" s="881"/>
      <c r="AM35" s="881"/>
      <c r="AO35" s="881"/>
      <c r="AQ35" s="881"/>
    </row>
    <row r="36" spans="1:43" ht="12.75" x14ac:dyDescent="0.2">
      <c r="A36" s="902" t="str">
        <f>A14</f>
        <v>NFI Massachusetts, Inc</v>
      </c>
      <c r="B36" s="33"/>
      <c r="C36" s="139"/>
      <c r="D36" s="901" t="s">
        <v>673</v>
      </c>
      <c r="E36" s="881"/>
      <c r="G36" s="881"/>
      <c r="I36" s="881"/>
      <c r="K36" s="881"/>
      <c r="M36" s="881"/>
      <c r="O36" s="881"/>
      <c r="Q36" s="881"/>
      <c r="S36" s="881"/>
      <c r="U36" s="881"/>
      <c r="W36" s="881"/>
      <c r="Y36" s="881"/>
      <c r="AA36" s="881"/>
      <c r="AC36" s="881"/>
      <c r="AE36" s="881"/>
      <c r="AG36" s="881"/>
      <c r="AI36" s="881"/>
      <c r="AK36" s="881"/>
      <c r="AM36" s="881"/>
      <c r="AO36" s="881"/>
      <c r="AQ36" s="881"/>
    </row>
    <row r="37" spans="1:43" ht="12.75" x14ac:dyDescent="0.2">
      <c r="A37" s="241" t="str">
        <f>A17</f>
        <v>The Home for Little Wanderers</v>
      </c>
      <c r="B37" s="33"/>
      <c r="C37" s="139">
        <v>960</v>
      </c>
      <c r="D37" s="901"/>
      <c r="E37" s="881" t="str">
        <f t="shared" ref="E37:E100" si="19">IF(OR($B38=0,D37=0),"",D37/$B38)</f>
        <v/>
      </c>
      <c r="G37" s="881" t="str">
        <f t="shared" ref="G37:G100" si="20">IF(OR($B38=0,F37=0),"",F37/$B38)</f>
        <v/>
      </c>
      <c r="I37" s="881" t="str">
        <f t="shared" ref="I37:I100" si="21">IF(OR($B38=0,H37=0),"",H37/$B38)</f>
        <v/>
      </c>
      <c r="K37" s="881" t="str">
        <f t="shared" ref="K37:K100" si="22">IF(OR($B38=0,J37=0),"",J37/$B38)</f>
        <v/>
      </c>
      <c r="M37" s="881" t="str">
        <f t="shared" ref="M37:M100" si="23">IF(OR($B38=0,L37=0),"",L37/$B38)</f>
        <v/>
      </c>
      <c r="O37" s="881" t="str">
        <f t="shared" ref="O37:O100" si="24">IF(OR($B38=0,N37=0),"",N37/$B38)</f>
        <v/>
      </c>
      <c r="Q37" s="881" t="str">
        <f t="shared" ref="Q37:Q100" si="25">IF(OR($B38=0,P37=0),"",P37/$B38)</f>
        <v/>
      </c>
      <c r="S37" s="881" t="str">
        <f t="shared" ref="S37:S100" si="26">IF(OR($B38=0,R37=0),"",R37/$B38)</f>
        <v/>
      </c>
      <c r="U37" s="881" t="str">
        <f t="shared" ref="U37:U100" si="27">IF(OR($B38=0,T37=0),"",T37/$B38)</f>
        <v/>
      </c>
      <c r="W37" s="881" t="str">
        <f t="shared" ref="W37:W100" si="28">IF(OR($B38=0,V37=0),"",V37/$B38)</f>
        <v/>
      </c>
      <c r="Y37" s="881" t="str">
        <f t="shared" ref="Y37:Y100" si="29">IF(OR($B38=0,X37=0),"",X37/$B38)</f>
        <v/>
      </c>
      <c r="AA37" s="881" t="str">
        <f t="shared" ref="AA37:AA100" si="30">IF(OR($B38=0,Z38=0),"",Z38/$B38)</f>
        <v/>
      </c>
      <c r="AC37" s="881" t="str">
        <f t="shared" ref="AC37:AC100" si="31">IF(OR($B38=0,AB37=0),"",AB37/$B38)</f>
        <v/>
      </c>
      <c r="AE37" s="881" t="str">
        <f t="shared" ref="AE37:AE100" si="32">IF(OR($B38=0,AD37=0),"",AD37/$B38)</f>
        <v/>
      </c>
      <c r="AG37" s="881" t="str">
        <f t="shared" ref="AG37:AG100" si="33">IF(OR($B38=0,AF37=0),"",AF37/$B38)</f>
        <v/>
      </c>
      <c r="AI37" s="881" t="str">
        <f t="shared" ref="AI37:AI100" si="34">IF(OR($B38=0,AH37=0),"",AH37/$B38)</f>
        <v/>
      </c>
      <c r="AK37" s="881" t="str">
        <f t="shared" ref="AK37:AK100" si="35">IF(OR($B38=0,AJ37=0),"",AJ37/$B38)</f>
        <v/>
      </c>
      <c r="AM37" s="881" t="str">
        <f t="shared" ref="AM37:AM100" si="36">IF(OR($B38=0,AL37=0),"",AL37/$B38)</f>
        <v/>
      </c>
      <c r="AO37" s="881" t="str">
        <f t="shared" ref="AO37:AO100" si="37">IF(OR($B38=0,AN37=0),"",AN37/$B38)</f>
        <v/>
      </c>
      <c r="AQ37" s="881" t="str">
        <f t="shared" ref="AQ37:AQ100" si="38">IF(OR($B38=0,AP37=0),"",AP37/$B38)</f>
        <v/>
      </c>
    </row>
    <row r="38" spans="1:43" ht="12.75" x14ac:dyDescent="0.2">
      <c r="A38" s="241" t="s">
        <v>454</v>
      </c>
      <c r="B38" s="33"/>
      <c r="C38" s="139"/>
      <c r="E38" s="881" t="str">
        <f t="shared" si="19"/>
        <v/>
      </c>
      <c r="G38" s="881" t="str">
        <f t="shared" si="20"/>
        <v/>
      </c>
      <c r="I38" s="881" t="str">
        <f t="shared" si="21"/>
        <v/>
      </c>
      <c r="K38" s="881" t="str">
        <f t="shared" si="22"/>
        <v/>
      </c>
      <c r="M38" s="881" t="str">
        <f t="shared" si="23"/>
        <v/>
      </c>
      <c r="O38" s="881" t="str">
        <f t="shared" si="24"/>
        <v/>
      </c>
      <c r="Q38" s="881" t="str">
        <f t="shared" si="25"/>
        <v/>
      </c>
      <c r="S38" s="881" t="str">
        <f t="shared" si="26"/>
        <v/>
      </c>
      <c r="U38" s="881" t="str">
        <f t="shared" si="27"/>
        <v/>
      </c>
      <c r="W38" s="881" t="str">
        <f t="shared" si="28"/>
        <v/>
      </c>
      <c r="Y38" s="881" t="str">
        <f t="shared" si="29"/>
        <v/>
      </c>
      <c r="AA38" s="881" t="str">
        <f t="shared" si="30"/>
        <v/>
      </c>
      <c r="AC38" s="881" t="str">
        <f t="shared" si="31"/>
        <v/>
      </c>
      <c r="AE38" s="881" t="str">
        <f t="shared" si="32"/>
        <v/>
      </c>
      <c r="AG38" s="881" t="str">
        <f t="shared" si="33"/>
        <v/>
      </c>
      <c r="AI38" s="881" t="str">
        <f t="shared" si="34"/>
        <v/>
      </c>
      <c r="AK38" s="881" t="str">
        <f t="shared" si="35"/>
        <v/>
      </c>
      <c r="AM38" s="881" t="str">
        <f t="shared" si="36"/>
        <v/>
      </c>
      <c r="AO38" s="881" t="str">
        <f t="shared" si="37"/>
        <v/>
      </c>
      <c r="AQ38" s="881" t="str">
        <f t="shared" si="38"/>
        <v/>
      </c>
    </row>
    <row r="39" spans="1:43" ht="15" thickBot="1" x14ac:dyDescent="0.25">
      <c r="A39" s="888"/>
      <c r="B39" s="36"/>
      <c r="C39" s="527">
        <f>SUM(C31:C38)</f>
        <v>7183</v>
      </c>
      <c r="E39" s="881" t="str">
        <f t="shared" si="19"/>
        <v/>
      </c>
      <c r="G39" s="881" t="str">
        <f t="shared" si="20"/>
        <v/>
      </c>
      <c r="I39" s="881" t="str">
        <f t="shared" si="21"/>
        <v/>
      </c>
      <c r="K39" s="881" t="str">
        <f t="shared" si="22"/>
        <v/>
      </c>
      <c r="M39" s="881" t="str">
        <f t="shared" si="23"/>
        <v/>
      </c>
      <c r="O39" s="881" t="str">
        <f t="shared" si="24"/>
        <v/>
      </c>
      <c r="Q39" s="881" t="str">
        <f t="shared" si="25"/>
        <v/>
      </c>
      <c r="S39" s="881" t="str">
        <f t="shared" si="26"/>
        <v/>
      </c>
      <c r="U39" s="881" t="str">
        <f t="shared" si="27"/>
        <v/>
      </c>
      <c r="W39" s="881" t="str">
        <f t="shared" si="28"/>
        <v/>
      </c>
      <c r="Y39" s="881" t="str">
        <f t="shared" si="29"/>
        <v/>
      </c>
      <c r="AA39" s="881" t="str">
        <f t="shared" si="30"/>
        <v/>
      </c>
      <c r="AC39" s="881" t="str">
        <f t="shared" si="31"/>
        <v/>
      </c>
      <c r="AE39" s="881" t="str">
        <f t="shared" si="32"/>
        <v/>
      </c>
      <c r="AG39" s="881" t="str">
        <f t="shared" si="33"/>
        <v/>
      </c>
      <c r="AI39" s="881" t="str">
        <f t="shared" si="34"/>
        <v/>
      </c>
      <c r="AK39" s="881" t="str">
        <f t="shared" si="35"/>
        <v/>
      </c>
      <c r="AM39" s="881" t="str">
        <f t="shared" si="36"/>
        <v/>
      </c>
      <c r="AO39" s="881" t="str">
        <f t="shared" si="37"/>
        <v/>
      </c>
      <c r="AQ39" s="881" t="str">
        <f t="shared" si="38"/>
        <v/>
      </c>
    </row>
    <row r="40" spans="1:43" x14ac:dyDescent="0.2">
      <c r="E40" s="881" t="str">
        <f t="shared" si="19"/>
        <v/>
      </c>
      <c r="G40" s="881" t="str">
        <f t="shared" si="20"/>
        <v/>
      </c>
      <c r="I40" s="881" t="str">
        <f t="shared" si="21"/>
        <v/>
      </c>
      <c r="K40" s="881" t="str">
        <f t="shared" si="22"/>
        <v/>
      </c>
      <c r="M40" s="881" t="str">
        <f t="shared" si="23"/>
        <v/>
      </c>
      <c r="O40" s="881" t="str">
        <f t="shared" si="24"/>
        <v/>
      </c>
      <c r="Q40" s="881" t="str">
        <f t="shared" si="25"/>
        <v/>
      </c>
      <c r="S40" s="881" t="str">
        <f t="shared" si="26"/>
        <v/>
      </c>
      <c r="U40" s="881" t="str">
        <f t="shared" si="27"/>
        <v/>
      </c>
      <c r="W40" s="881" t="str">
        <f t="shared" si="28"/>
        <v/>
      </c>
      <c r="Y40" s="881" t="str">
        <f t="shared" si="29"/>
        <v/>
      </c>
      <c r="AA40" s="881" t="str">
        <f t="shared" si="30"/>
        <v/>
      </c>
      <c r="AC40" s="881" t="str">
        <f t="shared" si="31"/>
        <v/>
      </c>
      <c r="AE40" s="881" t="str">
        <f t="shared" si="32"/>
        <v/>
      </c>
      <c r="AG40" s="881" t="str">
        <f t="shared" si="33"/>
        <v/>
      </c>
      <c r="AI40" s="881" t="str">
        <f t="shared" si="34"/>
        <v/>
      </c>
      <c r="AK40" s="881" t="str">
        <f t="shared" si="35"/>
        <v/>
      </c>
      <c r="AM40" s="881" t="str">
        <f t="shared" si="36"/>
        <v/>
      </c>
      <c r="AO40" s="881" t="str">
        <f t="shared" si="37"/>
        <v/>
      </c>
      <c r="AQ40" s="881" t="str">
        <f t="shared" si="38"/>
        <v/>
      </c>
    </row>
    <row r="41" spans="1:43" x14ac:dyDescent="0.2">
      <c r="E41" s="881" t="str">
        <f t="shared" si="19"/>
        <v/>
      </c>
      <c r="G41" s="881" t="str">
        <f t="shared" si="20"/>
        <v/>
      </c>
      <c r="I41" s="881" t="str">
        <f t="shared" si="21"/>
        <v/>
      </c>
      <c r="K41" s="881" t="str">
        <f t="shared" si="22"/>
        <v/>
      </c>
      <c r="M41" s="881" t="str">
        <f t="shared" si="23"/>
        <v/>
      </c>
      <c r="O41" s="881" t="str">
        <f t="shared" si="24"/>
        <v/>
      </c>
      <c r="Q41" s="881" t="str">
        <f t="shared" si="25"/>
        <v/>
      </c>
      <c r="S41" s="881" t="str">
        <f t="shared" si="26"/>
        <v/>
      </c>
      <c r="U41" s="881" t="str">
        <f t="shared" si="27"/>
        <v/>
      </c>
      <c r="W41" s="881" t="str">
        <f t="shared" si="28"/>
        <v/>
      </c>
      <c r="Y41" s="881" t="str">
        <f t="shared" si="29"/>
        <v/>
      </c>
      <c r="AA41" s="881" t="str">
        <f t="shared" si="30"/>
        <v/>
      </c>
      <c r="AC41" s="881" t="str">
        <f t="shared" si="31"/>
        <v/>
      </c>
      <c r="AE41" s="881" t="str">
        <f t="shared" si="32"/>
        <v/>
      </c>
      <c r="AG41" s="881" t="str">
        <f t="shared" si="33"/>
        <v/>
      </c>
      <c r="AI41" s="881" t="str">
        <f t="shared" si="34"/>
        <v/>
      </c>
      <c r="AK41" s="881" t="str">
        <f t="shared" si="35"/>
        <v/>
      </c>
      <c r="AM41" s="881" t="str">
        <f t="shared" si="36"/>
        <v/>
      </c>
      <c r="AO41" s="881" t="str">
        <f t="shared" si="37"/>
        <v/>
      </c>
      <c r="AQ41" s="881" t="str">
        <f t="shared" si="38"/>
        <v/>
      </c>
    </row>
    <row r="42" spans="1:43" x14ac:dyDescent="0.2">
      <c r="E42" s="881" t="str">
        <f t="shared" si="19"/>
        <v/>
      </c>
      <c r="G42" s="881" t="str">
        <f t="shared" si="20"/>
        <v/>
      </c>
      <c r="I42" s="881" t="str">
        <f t="shared" si="21"/>
        <v/>
      </c>
      <c r="K42" s="881" t="str">
        <f t="shared" si="22"/>
        <v/>
      </c>
      <c r="M42" s="881" t="str">
        <f t="shared" si="23"/>
        <v/>
      </c>
      <c r="O42" s="881" t="str">
        <f t="shared" si="24"/>
        <v/>
      </c>
      <c r="Q42" s="881" t="str">
        <f t="shared" si="25"/>
        <v/>
      </c>
      <c r="S42" s="881" t="str">
        <f t="shared" si="26"/>
        <v/>
      </c>
      <c r="U42" s="881" t="str">
        <f t="shared" si="27"/>
        <v/>
      </c>
      <c r="W42" s="881" t="str">
        <f t="shared" si="28"/>
        <v/>
      </c>
      <c r="Y42" s="881" t="str">
        <f t="shared" si="29"/>
        <v/>
      </c>
      <c r="AA42" s="881" t="str">
        <f t="shared" si="30"/>
        <v/>
      </c>
      <c r="AC42" s="881" t="str">
        <f t="shared" si="31"/>
        <v/>
      </c>
      <c r="AE42" s="881" t="str">
        <f t="shared" si="32"/>
        <v/>
      </c>
      <c r="AG42" s="881" t="str">
        <f t="shared" si="33"/>
        <v/>
      </c>
      <c r="AI42" s="881" t="str">
        <f t="shared" si="34"/>
        <v/>
      </c>
      <c r="AK42" s="881" t="str">
        <f t="shared" si="35"/>
        <v/>
      </c>
      <c r="AM42" s="881" t="str">
        <f t="shared" si="36"/>
        <v/>
      </c>
      <c r="AO42" s="881" t="str">
        <f t="shared" si="37"/>
        <v/>
      </c>
      <c r="AQ42" s="881" t="str">
        <f t="shared" si="38"/>
        <v/>
      </c>
    </row>
    <row r="43" spans="1:43" x14ac:dyDescent="0.2">
      <c r="E43" s="881" t="str">
        <f t="shared" si="19"/>
        <v/>
      </c>
      <c r="G43" s="881" t="str">
        <f t="shared" si="20"/>
        <v/>
      </c>
      <c r="I43" s="881" t="str">
        <f t="shared" si="21"/>
        <v/>
      </c>
      <c r="K43" s="881" t="str">
        <f t="shared" si="22"/>
        <v/>
      </c>
      <c r="M43" s="881" t="str">
        <f t="shared" si="23"/>
        <v/>
      </c>
      <c r="O43" s="881" t="str">
        <f t="shared" si="24"/>
        <v/>
      </c>
      <c r="Q43" s="881" t="str">
        <f t="shared" si="25"/>
        <v/>
      </c>
      <c r="S43" s="881" t="str">
        <f t="shared" si="26"/>
        <v/>
      </c>
      <c r="U43" s="881" t="str">
        <f t="shared" si="27"/>
        <v/>
      </c>
      <c r="W43" s="881" t="str">
        <f t="shared" si="28"/>
        <v/>
      </c>
      <c r="Y43" s="881" t="str">
        <f t="shared" si="29"/>
        <v/>
      </c>
      <c r="AA43" s="881" t="str">
        <f t="shared" si="30"/>
        <v/>
      </c>
      <c r="AC43" s="881" t="str">
        <f t="shared" si="31"/>
        <v/>
      </c>
      <c r="AE43" s="881" t="str">
        <f t="shared" si="32"/>
        <v/>
      </c>
      <c r="AG43" s="881" t="str">
        <f t="shared" si="33"/>
        <v/>
      </c>
      <c r="AI43" s="881" t="str">
        <f t="shared" si="34"/>
        <v/>
      </c>
      <c r="AK43" s="881" t="str">
        <f t="shared" si="35"/>
        <v/>
      </c>
      <c r="AM43" s="881" t="str">
        <f t="shared" si="36"/>
        <v/>
      </c>
      <c r="AO43" s="881" t="str">
        <f t="shared" si="37"/>
        <v/>
      </c>
      <c r="AQ43" s="881" t="str">
        <f t="shared" si="38"/>
        <v/>
      </c>
    </row>
    <row r="44" spans="1:43" x14ac:dyDescent="0.2">
      <c r="E44" s="881" t="str">
        <f t="shared" si="19"/>
        <v/>
      </c>
      <c r="G44" s="881" t="str">
        <f t="shared" si="20"/>
        <v/>
      </c>
      <c r="I44" s="881" t="str">
        <f t="shared" si="21"/>
        <v/>
      </c>
      <c r="K44" s="881" t="str">
        <f t="shared" si="22"/>
        <v/>
      </c>
      <c r="M44" s="881" t="str">
        <f t="shared" si="23"/>
        <v/>
      </c>
      <c r="O44" s="881" t="str">
        <f t="shared" si="24"/>
        <v/>
      </c>
      <c r="Q44" s="881" t="str">
        <f t="shared" si="25"/>
        <v/>
      </c>
      <c r="S44" s="881" t="str">
        <f t="shared" si="26"/>
        <v/>
      </c>
      <c r="U44" s="881" t="str">
        <f t="shared" si="27"/>
        <v/>
      </c>
      <c r="W44" s="881" t="str">
        <f t="shared" si="28"/>
        <v/>
      </c>
      <c r="Y44" s="881" t="str">
        <f t="shared" si="29"/>
        <v/>
      </c>
      <c r="AA44" s="881" t="str">
        <f t="shared" si="30"/>
        <v/>
      </c>
      <c r="AC44" s="881" t="str">
        <f t="shared" si="31"/>
        <v/>
      </c>
      <c r="AE44" s="881" t="str">
        <f t="shared" si="32"/>
        <v/>
      </c>
      <c r="AG44" s="881" t="str">
        <f t="shared" si="33"/>
        <v/>
      </c>
      <c r="AI44" s="881" t="str">
        <f t="shared" si="34"/>
        <v/>
      </c>
      <c r="AK44" s="881" t="str">
        <f t="shared" si="35"/>
        <v/>
      </c>
      <c r="AM44" s="881" t="str">
        <f t="shared" si="36"/>
        <v/>
      </c>
      <c r="AO44" s="881" t="str">
        <f t="shared" si="37"/>
        <v/>
      </c>
      <c r="AQ44" s="881" t="str">
        <f t="shared" si="38"/>
        <v/>
      </c>
    </row>
    <row r="45" spans="1:43" x14ac:dyDescent="0.2">
      <c r="E45" s="881" t="str">
        <f t="shared" si="19"/>
        <v/>
      </c>
      <c r="G45" s="881" t="str">
        <f t="shared" si="20"/>
        <v/>
      </c>
      <c r="I45" s="881" t="str">
        <f t="shared" si="21"/>
        <v/>
      </c>
      <c r="K45" s="881" t="str">
        <f t="shared" si="22"/>
        <v/>
      </c>
      <c r="M45" s="881" t="str">
        <f t="shared" si="23"/>
        <v/>
      </c>
      <c r="O45" s="881" t="str">
        <f t="shared" si="24"/>
        <v/>
      </c>
      <c r="Q45" s="881" t="str">
        <f t="shared" si="25"/>
        <v/>
      </c>
      <c r="S45" s="881" t="str">
        <f t="shared" si="26"/>
        <v/>
      </c>
      <c r="U45" s="881" t="str">
        <f t="shared" si="27"/>
        <v/>
      </c>
      <c r="W45" s="881" t="str">
        <f t="shared" si="28"/>
        <v/>
      </c>
      <c r="Y45" s="881" t="str">
        <f t="shared" si="29"/>
        <v/>
      </c>
      <c r="AA45" s="881" t="str">
        <f t="shared" si="30"/>
        <v/>
      </c>
      <c r="AC45" s="881" t="str">
        <f t="shared" si="31"/>
        <v/>
      </c>
      <c r="AE45" s="881" t="str">
        <f t="shared" si="32"/>
        <v/>
      </c>
      <c r="AG45" s="881" t="str">
        <f t="shared" si="33"/>
        <v/>
      </c>
      <c r="AI45" s="881" t="str">
        <f t="shared" si="34"/>
        <v/>
      </c>
      <c r="AK45" s="881" t="str">
        <f t="shared" si="35"/>
        <v/>
      </c>
      <c r="AM45" s="881" t="str">
        <f t="shared" si="36"/>
        <v/>
      </c>
      <c r="AO45" s="881" t="str">
        <f t="shared" si="37"/>
        <v/>
      </c>
      <c r="AQ45" s="881" t="str">
        <f t="shared" si="38"/>
        <v/>
      </c>
    </row>
    <row r="46" spans="1:43" x14ac:dyDescent="0.2">
      <c r="E46" s="881" t="str">
        <f t="shared" si="19"/>
        <v/>
      </c>
      <c r="G46" s="881" t="str">
        <f t="shared" si="20"/>
        <v/>
      </c>
      <c r="I46" s="881" t="str">
        <f t="shared" si="21"/>
        <v/>
      </c>
      <c r="K46" s="881" t="str">
        <f t="shared" si="22"/>
        <v/>
      </c>
      <c r="M46" s="881" t="str">
        <f t="shared" si="23"/>
        <v/>
      </c>
      <c r="O46" s="881" t="str">
        <f t="shared" si="24"/>
        <v/>
      </c>
      <c r="Q46" s="881" t="str">
        <f t="shared" si="25"/>
        <v/>
      </c>
      <c r="S46" s="881" t="str">
        <f t="shared" si="26"/>
        <v/>
      </c>
      <c r="U46" s="881" t="str">
        <f t="shared" si="27"/>
        <v/>
      </c>
      <c r="W46" s="881" t="str">
        <f t="shared" si="28"/>
        <v/>
      </c>
      <c r="Y46" s="881" t="str">
        <f t="shared" si="29"/>
        <v/>
      </c>
      <c r="AA46" s="881" t="str">
        <f t="shared" si="30"/>
        <v/>
      </c>
      <c r="AC46" s="881" t="str">
        <f t="shared" si="31"/>
        <v/>
      </c>
      <c r="AE46" s="881" t="str">
        <f t="shared" si="32"/>
        <v/>
      </c>
      <c r="AG46" s="881" t="str">
        <f t="shared" si="33"/>
        <v/>
      </c>
      <c r="AI46" s="881" t="str">
        <f t="shared" si="34"/>
        <v/>
      </c>
      <c r="AK46" s="881" t="str">
        <f t="shared" si="35"/>
        <v/>
      </c>
      <c r="AM46" s="881" t="str">
        <f t="shared" si="36"/>
        <v/>
      </c>
      <c r="AO46" s="881" t="str">
        <f t="shared" si="37"/>
        <v/>
      </c>
      <c r="AQ46" s="881" t="str">
        <f t="shared" si="38"/>
        <v/>
      </c>
    </row>
    <row r="47" spans="1:43" x14ac:dyDescent="0.2">
      <c r="E47" s="881" t="str">
        <f t="shared" si="19"/>
        <v/>
      </c>
      <c r="G47" s="881" t="str">
        <f t="shared" si="20"/>
        <v/>
      </c>
      <c r="I47" s="881" t="str">
        <f t="shared" si="21"/>
        <v/>
      </c>
      <c r="K47" s="881" t="str">
        <f t="shared" si="22"/>
        <v/>
      </c>
      <c r="M47" s="881" t="str">
        <f t="shared" si="23"/>
        <v/>
      </c>
      <c r="O47" s="881" t="str">
        <f t="shared" si="24"/>
        <v/>
      </c>
      <c r="Q47" s="881" t="str">
        <f t="shared" si="25"/>
        <v/>
      </c>
      <c r="S47" s="881" t="str">
        <f t="shared" si="26"/>
        <v/>
      </c>
      <c r="U47" s="881" t="str">
        <f t="shared" si="27"/>
        <v/>
      </c>
      <c r="W47" s="881" t="str">
        <f t="shared" si="28"/>
        <v/>
      </c>
      <c r="Y47" s="881" t="str">
        <f t="shared" si="29"/>
        <v/>
      </c>
      <c r="AA47" s="881" t="str">
        <f t="shared" si="30"/>
        <v/>
      </c>
      <c r="AC47" s="881" t="str">
        <f t="shared" si="31"/>
        <v/>
      </c>
      <c r="AE47" s="881" t="str">
        <f t="shared" si="32"/>
        <v/>
      </c>
      <c r="AG47" s="881" t="str">
        <f t="shared" si="33"/>
        <v/>
      </c>
      <c r="AI47" s="881" t="str">
        <f t="shared" si="34"/>
        <v/>
      </c>
      <c r="AK47" s="881" t="str">
        <f t="shared" si="35"/>
        <v/>
      </c>
      <c r="AM47" s="881" t="str">
        <f t="shared" si="36"/>
        <v/>
      </c>
      <c r="AO47" s="881" t="str">
        <f t="shared" si="37"/>
        <v/>
      </c>
      <c r="AQ47" s="881" t="str">
        <f t="shared" si="38"/>
        <v/>
      </c>
    </row>
    <row r="48" spans="1:43" x14ac:dyDescent="0.2">
      <c r="E48" s="881" t="str">
        <f t="shared" si="19"/>
        <v/>
      </c>
      <c r="G48" s="881" t="str">
        <f t="shared" si="20"/>
        <v/>
      </c>
      <c r="I48" s="881" t="str">
        <f t="shared" si="21"/>
        <v/>
      </c>
      <c r="K48" s="881" t="str">
        <f t="shared" si="22"/>
        <v/>
      </c>
      <c r="M48" s="881" t="str">
        <f t="shared" si="23"/>
        <v/>
      </c>
      <c r="O48" s="881" t="str">
        <f t="shared" si="24"/>
        <v/>
      </c>
      <c r="Q48" s="881" t="str">
        <f t="shared" si="25"/>
        <v/>
      </c>
      <c r="S48" s="881" t="str">
        <f t="shared" si="26"/>
        <v/>
      </c>
      <c r="U48" s="881" t="str">
        <f t="shared" si="27"/>
        <v/>
      </c>
      <c r="W48" s="881" t="str">
        <f t="shared" si="28"/>
        <v/>
      </c>
      <c r="Y48" s="881" t="str">
        <f t="shared" si="29"/>
        <v/>
      </c>
      <c r="AA48" s="881" t="str">
        <f t="shared" si="30"/>
        <v/>
      </c>
      <c r="AC48" s="881" t="str">
        <f t="shared" si="31"/>
        <v/>
      </c>
      <c r="AE48" s="881" t="str">
        <f t="shared" si="32"/>
        <v/>
      </c>
      <c r="AG48" s="881" t="str">
        <f t="shared" si="33"/>
        <v/>
      </c>
      <c r="AI48" s="881" t="str">
        <f t="shared" si="34"/>
        <v/>
      </c>
      <c r="AK48" s="881" t="str">
        <f t="shared" si="35"/>
        <v/>
      </c>
      <c r="AM48" s="881" t="str">
        <f t="shared" si="36"/>
        <v/>
      </c>
      <c r="AO48" s="881" t="str">
        <f t="shared" si="37"/>
        <v/>
      </c>
      <c r="AQ48" s="881" t="str">
        <f t="shared" si="38"/>
        <v/>
      </c>
    </row>
    <row r="49" spans="5:43" x14ac:dyDescent="0.2">
      <c r="E49" s="881" t="str">
        <f t="shared" si="19"/>
        <v/>
      </c>
      <c r="G49" s="881" t="str">
        <f t="shared" si="20"/>
        <v/>
      </c>
      <c r="I49" s="881" t="str">
        <f t="shared" si="21"/>
        <v/>
      </c>
      <c r="K49" s="881" t="str">
        <f t="shared" si="22"/>
        <v/>
      </c>
      <c r="M49" s="881" t="str">
        <f t="shared" si="23"/>
        <v/>
      </c>
      <c r="O49" s="881" t="str">
        <f t="shared" si="24"/>
        <v/>
      </c>
      <c r="Q49" s="881" t="str">
        <f t="shared" si="25"/>
        <v/>
      </c>
      <c r="S49" s="881" t="str">
        <f t="shared" si="26"/>
        <v/>
      </c>
      <c r="U49" s="881" t="str">
        <f t="shared" si="27"/>
        <v/>
      </c>
      <c r="W49" s="881" t="str">
        <f t="shared" si="28"/>
        <v/>
      </c>
      <c r="Y49" s="881" t="str">
        <f t="shared" si="29"/>
        <v/>
      </c>
      <c r="AA49" s="881" t="str">
        <f t="shared" si="30"/>
        <v/>
      </c>
      <c r="AC49" s="881" t="str">
        <f t="shared" si="31"/>
        <v/>
      </c>
      <c r="AE49" s="881" t="str">
        <f t="shared" si="32"/>
        <v/>
      </c>
      <c r="AG49" s="881" t="str">
        <f t="shared" si="33"/>
        <v/>
      </c>
      <c r="AI49" s="881" t="str">
        <f t="shared" si="34"/>
        <v/>
      </c>
      <c r="AK49" s="881" t="str">
        <f t="shared" si="35"/>
        <v/>
      </c>
      <c r="AM49" s="881" t="str">
        <f t="shared" si="36"/>
        <v/>
      </c>
      <c r="AO49" s="881" t="str">
        <f t="shared" si="37"/>
        <v/>
      </c>
      <c r="AQ49" s="881" t="str">
        <f t="shared" si="38"/>
        <v/>
      </c>
    </row>
    <row r="50" spans="5:43" x14ac:dyDescent="0.2">
      <c r="E50" s="881" t="str">
        <f t="shared" si="19"/>
        <v/>
      </c>
      <c r="G50" s="881" t="str">
        <f t="shared" si="20"/>
        <v/>
      </c>
      <c r="I50" s="881" t="str">
        <f t="shared" si="21"/>
        <v/>
      </c>
      <c r="K50" s="881" t="str">
        <f t="shared" si="22"/>
        <v/>
      </c>
      <c r="M50" s="881" t="str">
        <f t="shared" si="23"/>
        <v/>
      </c>
      <c r="O50" s="881" t="str">
        <f t="shared" si="24"/>
        <v/>
      </c>
      <c r="Q50" s="881" t="str">
        <f t="shared" si="25"/>
        <v/>
      </c>
      <c r="S50" s="881" t="str">
        <f t="shared" si="26"/>
        <v/>
      </c>
      <c r="U50" s="881" t="str">
        <f t="shared" si="27"/>
        <v/>
      </c>
      <c r="W50" s="881" t="str">
        <f t="shared" si="28"/>
        <v/>
      </c>
      <c r="Y50" s="881" t="str">
        <f t="shared" si="29"/>
        <v/>
      </c>
      <c r="AA50" s="881" t="str">
        <f t="shared" si="30"/>
        <v/>
      </c>
      <c r="AC50" s="881" t="str">
        <f t="shared" si="31"/>
        <v/>
      </c>
      <c r="AE50" s="881" t="str">
        <f t="shared" si="32"/>
        <v/>
      </c>
      <c r="AG50" s="881" t="str">
        <f t="shared" si="33"/>
        <v/>
      </c>
      <c r="AI50" s="881" t="str">
        <f t="shared" si="34"/>
        <v/>
      </c>
      <c r="AK50" s="881" t="str">
        <f t="shared" si="35"/>
        <v/>
      </c>
      <c r="AM50" s="881" t="str">
        <f t="shared" si="36"/>
        <v/>
      </c>
      <c r="AO50" s="881" t="str">
        <f t="shared" si="37"/>
        <v/>
      </c>
      <c r="AQ50" s="881" t="str">
        <f t="shared" si="38"/>
        <v/>
      </c>
    </row>
    <row r="51" spans="5:43" x14ac:dyDescent="0.2">
      <c r="E51" s="881" t="str">
        <f t="shared" si="19"/>
        <v/>
      </c>
      <c r="G51" s="881" t="str">
        <f t="shared" si="20"/>
        <v/>
      </c>
      <c r="I51" s="881" t="str">
        <f t="shared" si="21"/>
        <v/>
      </c>
      <c r="K51" s="881" t="str">
        <f t="shared" si="22"/>
        <v/>
      </c>
      <c r="M51" s="881" t="str">
        <f t="shared" si="23"/>
        <v/>
      </c>
      <c r="O51" s="881" t="str">
        <f t="shared" si="24"/>
        <v/>
      </c>
      <c r="Q51" s="881" t="str">
        <f t="shared" si="25"/>
        <v/>
      </c>
      <c r="S51" s="881" t="str">
        <f t="shared" si="26"/>
        <v/>
      </c>
      <c r="U51" s="881" t="str">
        <f t="shared" si="27"/>
        <v/>
      </c>
      <c r="W51" s="881" t="str">
        <f t="shared" si="28"/>
        <v/>
      </c>
      <c r="Y51" s="881" t="str">
        <f t="shared" si="29"/>
        <v/>
      </c>
      <c r="AA51" s="881" t="str">
        <f t="shared" si="30"/>
        <v/>
      </c>
      <c r="AC51" s="881" t="str">
        <f t="shared" si="31"/>
        <v/>
      </c>
      <c r="AE51" s="881" t="str">
        <f t="shared" si="32"/>
        <v/>
      </c>
      <c r="AG51" s="881" t="str">
        <f t="shared" si="33"/>
        <v/>
      </c>
      <c r="AI51" s="881" t="str">
        <f t="shared" si="34"/>
        <v/>
      </c>
      <c r="AK51" s="881" t="str">
        <f t="shared" si="35"/>
        <v/>
      </c>
      <c r="AM51" s="881" t="str">
        <f t="shared" si="36"/>
        <v/>
      </c>
      <c r="AO51" s="881" t="str">
        <f t="shared" si="37"/>
        <v/>
      </c>
      <c r="AQ51" s="881" t="str">
        <f t="shared" si="38"/>
        <v/>
      </c>
    </row>
    <row r="52" spans="5:43" x14ac:dyDescent="0.2">
      <c r="E52" s="881" t="str">
        <f t="shared" si="19"/>
        <v/>
      </c>
      <c r="G52" s="881" t="str">
        <f t="shared" si="20"/>
        <v/>
      </c>
      <c r="I52" s="881" t="str">
        <f t="shared" si="21"/>
        <v/>
      </c>
      <c r="K52" s="881" t="str">
        <f t="shared" si="22"/>
        <v/>
      </c>
      <c r="M52" s="881" t="str">
        <f t="shared" si="23"/>
        <v/>
      </c>
      <c r="O52" s="881" t="str">
        <f t="shared" si="24"/>
        <v/>
      </c>
      <c r="Q52" s="881" t="str">
        <f t="shared" si="25"/>
        <v/>
      </c>
      <c r="S52" s="881" t="str">
        <f t="shared" si="26"/>
        <v/>
      </c>
      <c r="U52" s="881" t="str">
        <f t="shared" si="27"/>
        <v/>
      </c>
      <c r="W52" s="881" t="str">
        <f t="shared" si="28"/>
        <v/>
      </c>
      <c r="Y52" s="881" t="str">
        <f t="shared" si="29"/>
        <v/>
      </c>
      <c r="AA52" s="881" t="str">
        <f t="shared" si="30"/>
        <v/>
      </c>
      <c r="AC52" s="881" t="str">
        <f t="shared" si="31"/>
        <v/>
      </c>
      <c r="AE52" s="881" t="str">
        <f t="shared" si="32"/>
        <v/>
      </c>
      <c r="AG52" s="881" t="str">
        <f t="shared" si="33"/>
        <v/>
      </c>
      <c r="AI52" s="881" t="str">
        <f t="shared" si="34"/>
        <v/>
      </c>
      <c r="AK52" s="881" t="str">
        <f t="shared" si="35"/>
        <v/>
      </c>
      <c r="AM52" s="881" t="str">
        <f t="shared" si="36"/>
        <v/>
      </c>
      <c r="AO52" s="881" t="str">
        <f t="shared" si="37"/>
        <v/>
      </c>
      <c r="AQ52" s="881" t="str">
        <f t="shared" si="38"/>
        <v/>
      </c>
    </row>
    <row r="53" spans="5:43" x14ac:dyDescent="0.2">
      <c r="E53" s="881" t="str">
        <f t="shared" si="19"/>
        <v/>
      </c>
      <c r="G53" s="881" t="str">
        <f t="shared" si="20"/>
        <v/>
      </c>
      <c r="I53" s="881" t="str">
        <f t="shared" si="21"/>
        <v/>
      </c>
      <c r="K53" s="881" t="str">
        <f t="shared" si="22"/>
        <v/>
      </c>
      <c r="M53" s="881" t="str">
        <f t="shared" si="23"/>
        <v/>
      </c>
      <c r="O53" s="881" t="str">
        <f t="shared" si="24"/>
        <v/>
      </c>
      <c r="Q53" s="881" t="str">
        <f t="shared" si="25"/>
        <v/>
      </c>
      <c r="S53" s="881" t="str">
        <f t="shared" si="26"/>
        <v/>
      </c>
      <c r="U53" s="881" t="str">
        <f t="shared" si="27"/>
        <v/>
      </c>
      <c r="W53" s="881" t="str">
        <f t="shared" si="28"/>
        <v/>
      </c>
      <c r="Y53" s="881" t="str">
        <f t="shared" si="29"/>
        <v/>
      </c>
      <c r="AA53" s="881" t="str">
        <f t="shared" si="30"/>
        <v/>
      </c>
      <c r="AC53" s="881" t="str">
        <f t="shared" si="31"/>
        <v/>
      </c>
      <c r="AE53" s="881" t="str">
        <f t="shared" si="32"/>
        <v/>
      </c>
      <c r="AG53" s="881" t="str">
        <f t="shared" si="33"/>
        <v/>
      </c>
      <c r="AI53" s="881" t="str">
        <f t="shared" si="34"/>
        <v/>
      </c>
      <c r="AK53" s="881" t="str">
        <f t="shared" si="35"/>
        <v/>
      </c>
      <c r="AM53" s="881" t="str">
        <f t="shared" si="36"/>
        <v/>
      </c>
      <c r="AO53" s="881" t="str">
        <f t="shared" si="37"/>
        <v/>
      </c>
      <c r="AQ53" s="881" t="str">
        <f t="shared" si="38"/>
        <v/>
      </c>
    </row>
    <row r="54" spans="5:43" x14ac:dyDescent="0.2">
      <c r="E54" s="881" t="str">
        <f t="shared" si="19"/>
        <v/>
      </c>
      <c r="G54" s="881" t="str">
        <f t="shared" si="20"/>
        <v/>
      </c>
      <c r="I54" s="881" t="str">
        <f t="shared" si="21"/>
        <v/>
      </c>
      <c r="K54" s="881" t="str">
        <f t="shared" si="22"/>
        <v/>
      </c>
      <c r="M54" s="881" t="str">
        <f t="shared" si="23"/>
        <v/>
      </c>
      <c r="O54" s="881" t="str">
        <f t="shared" si="24"/>
        <v/>
      </c>
      <c r="Q54" s="881" t="str">
        <f t="shared" si="25"/>
        <v/>
      </c>
      <c r="S54" s="881" t="str">
        <f t="shared" si="26"/>
        <v/>
      </c>
      <c r="U54" s="881" t="str">
        <f t="shared" si="27"/>
        <v/>
      </c>
      <c r="W54" s="881" t="str">
        <f t="shared" si="28"/>
        <v/>
      </c>
      <c r="Y54" s="881" t="str">
        <f t="shared" si="29"/>
        <v/>
      </c>
      <c r="AA54" s="881" t="str">
        <f t="shared" si="30"/>
        <v/>
      </c>
      <c r="AC54" s="881" t="str">
        <f t="shared" si="31"/>
        <v/>
      </c>
      <c r="AE54" s="881" t="str">
        <f t="shared" si="32"/>
        <v/>
      </c>
      <c r="AG54" s="881" t="str">
        <f t="shared" si="33"/>
        <v/>
      </c>
      <c r="AI54" s="881" t="str">
        <f t="shared" si="34"/>
        <v/>
      </c>
      <c r="AK54" s="881" t="str">
        <f t="shared" si="35"/>
        <v/>
      </c>
      <c r="AM54" s="881" t="str">
        <f t="shared" si="36"/>
        <v/>
      </c>
      <c r="AO54" s="881" t="str">
        <f t="shared" si="37"/>
        <v/>
      </c>
      <c r="AQ54" s="881" t="str">
        <f t="shared" si="38"/>
        <v/>
      </c>
    </row>
    <row r="55" spans="5:43" x14ac:dyDescent="0.2">
      <c r="E55" s="881" t="str">
        <f t="shared" si="19"/>
        <v/>
      </c>
      <c r="G55" s="881" t="str">
        <f t="shared" si="20"/>
        <v/>
      </c>
      <c r="I55" s="881" t="str">
        <f t="shared" si="21"/>
        <v/>
      </c>
      <c r="K55" s="881" t="str">
        <f t="shared" si="22"/>
        <v/>
      </c>
      <c r="M55" s="881" t="str">
        <f t="shared" si="23"/>
        <v/>
      </c>
      <c r="O55" s="881" t="str">
        <f t="shared" si="24"/>
        <v/>
      </c>
      <c r="Q55" s="881" t="str">
        <f t="shared" si="25"/>
        <v/>
      </c>
      <c r="S55" s="881" t="str">
        <f t="shared" si="26"/>
        <v/>
      </c>
      <c r="U55" s="881" t="str">
        <f t="shared" si="27"/>
        <v/>
      </c>
      <c r="W55" s="881" t="str">
        <f t="shared" si="28"/>
        <v/>
      </c>
      <c r="Y55" s="881" t="str">
        <f t="shared" si="29"/>
        <v/>
      </c>
      <c r="AA55" s="881" t="str">
        <f t="shared" si="30"/>
        <v/>
      </c>
      <c r="AC55" s="881" t="str">
        <f t="shared" si="31"/>
        <v/>
      </c>
      <c r="AE55" s="881" t="str">
        <f t="shared" si="32"/>
        <v/>
      </c>
      <c r="AG55" s="881" t="str">
        <f t="shared" si="33"/>
        <v/>
      </c>
      <c r="AI55" s="881" t="str">
        <f t="shared" si="34"/>
        <v/>
      </c>
      <c r="AK55" s="881" t="str">
        <f t="shared" si="35"/>
        <v/>
      </c>
      <c r="AM55" s="881" t="str">
        <f t="shared" si="36"/>
        <v/>
      </c>
      <c r="AO55" s="881" t="str">
        <f t="shared" si="37"/>
        <v/>
      </c>
      <c r="AQ55" s="881" t="str">
        <f t="shared" si="38"/>
        <v/>
      </c>
    </row>
    <row r="56" spans="5:43" x14ac:dyDescent="0.2">
      <c r="E56" s="881" t="str">
        <f t="shared" si="19"/>
        <v/>
      </c>
      <c r="G56" s="881" t="str">
        <f t="shared" si="20"/>
        <v/>
      </c>
      <c r="I56" s="881" t="str">
        <f t="shared" si="21"/>
        <v/>
      </c>
      <c r="K56" s="881" t="str">
        <f t="shared" si="22"/>
        <v/>
      </c>
      <c r="M56" s="881" t="str">
        <f t="shared" si="23"/>
        <v/>
      </c>
      <c r="O56" s="881" t="str">
        <f t="shared" si="24"/>
        <v/>
      </c>
      <c r="Q56" s="881" t="str">
        <f t="shared" si="25"/>
        <v/>
      </c>
      <c r="S56" s="881" t="str">
        <f t="shared" si="26"/>
        <v/>
      </c>
      <c r="U56" s="881" t="str">
        <f t="shared" si="27"/>
        <v/>
      </c>
      <c r="W56" s="881" t="str">
        <f t="shared" si="28"/>
        <v/>
      </c>
      <c r="Y56" s="881" t="str">
        <f t="shared" si="29"/>
        <v/>
      </c>
      <c r="AA56" s="881" t="str">
        <f t="shared" si="30"/>
        <v/>
      </c>
      <c r="AC56" s="881" t="str">
        <f t="shared" si="31"/>
        <v/>
      </c>
      <c r="AE56" s="881" t="str">
        <f t="shared" si="32"/>
        <v/>
      </c>
      <c r="AG56" s="881" t="str">
        <f t="shared" si="33"/>
        <v/>
      </c>
      <c r="AI56" s="881" t="str">
        <f t="shared" si="34"/>
        <v/>
      </c>
      <c r="AK56" s="881" t="str">
        <f t="shared" si="35"/>
        <v/>
      </c>
      <c r="AM56" s="881" t="str">
        <f t="shared" si="36"/>
        <v/>
      </c>
      <c r="AO56" s="881" t="str">
        <f t="shared" si="37"/>
        <v/>
      </c>
      <c r="AQ56" s="881" t="str">
        <f t="shared" si="38"/>
        <v/>
      </c>
    </row>
    <row r="57" spans="5:43" x14ac:dyDescent="0.2">
      <c r="E57" s="881" t="str">
        <f t="shared" si="19"/>
        <v/>
      </c>
      <c r="G57" s="881" t="str">
        <f t="shared" si="20"/>
        <v/>
      </c>
      <c r="I57" s="881" t="str">
        <f t="shared" si="21"/>
        <v/>
      </c>
      <c r="K57" s="881" t="str">
        <f t="shared" si="22"/>
        <v/>
      </c>
      <c r="M57" s="881" t="str">
        <f t="shared" si="23"/>
        <v/>
      </c>
      <c r="O57" s="881" t="str">
        <f t="shared" si="24"/>
        <v/>
      </c>
      <c r="Q57" s="881" t="str">
        <f t="shared" si="25"/>
        <v/>
      </c>
      <c r="S57" s="881" t="str">
        <f t="shared" si="26"/>
        <v/>
      </c>
      <c r="U57" s="881" t="str">
        <f t="shared" si="27"/>
        <v/>
      </c>
      <c r="W57" s="881" t="str">
        <f t="shared" si="28"/>
        <v/>
      </c>
      <c r="Y57" s="881" t="str">
        <f t="shared" si="29"/>
        <v/>
      </c>
      <c r="AA57" s="881" t="str">
        <f t="shared" si="30"/>
        <v/>
      </c>
      <c r="AC57" s="881" t="str">
        <f t="shared" si="31"/>
        <v/>
      </c>
      <c r="AE57" s="881" t="str">
        <f t="shared" si="32"/>
        <v/>
      </c>
      <c r="AG57" s="881" t="str">
        <f t="shared" si="33"/>
        <v/>
      </c>
      <c r="AI57" s="881" t="str">
        <f t="shared" si="34"/>
        <v/>
      </c>
      <c r="AK57" s="881" t="str">
        <f t="shared" si="35"/>
        <v/>
      </c>
      <c r="AM57" s="881" t="str">
        <f t="shared" si="36"/>
        <v/>
      </c>
      <c r="AO57" s="881" t="str">
        <f t="shared" si="37"/>
        <v/>
      </c>
      <c r="AQ57" s="881" t="str">
        <f t="shared" si="38"/>
        <v/>
      </c>
    </row>
    <row r="58" spans="5:43" x14ac:dyDescent="0.2">
      <c r="E58" s="881" t="str">
        <f t="shared" si="19"/>
        <v/>
      </c>
      <c r="G58" s="881" t="str">
        <f t="shared" si="20"/>
        <v/>
      </c>
      <c r="I58" s="881" t="str">
        <f t="shared" si="21"/>
        <v/>
      </c>
      <c r="K58" s="881" t="str">
        <f t="shared" si="22"/>
        <v/>
      </c>
      <c r="M58" s="881" t="str">
        <f t="shared" si="23"/>
        <v/>
      </c>
      <c r="O58" s="881" t="str">
        <f t="shared" si="24"/>
        <v/>
      </c>
      <c r="Q58" s="881" t="str">
        <f t="shared" si="25"/>
        <v/>
      </c>
      <c r="S58" s="881" t="str">
        <f t="shared" si="26"/>
        <v/>
      </c>
      <c r="U58" s="881" t="str">
        <f t="shared" si="27"/>
        <v/>
      </c>
      <c r="W58" s="881" t="str">
        <f t="shared" si="28"/>
        <v/>
      </c>
      <c r="Y58" s="881" t="str">
        <f t="shared" si="29"/>
        <v/>
      </c>
      <c r="AA58" s="881" t="str">
        <f t="shared" si="30"/>
        <v/>
      </c>
      <c r="AC58" s="881" t="str">
        <f t="shared" si="31"/>
        <v/>
      </c>
      <c r="AE58" s="881" t="str">
        <f t="shared" si="32"/>
        <v/>
      </c>
      <c r="AG58" s="881" t="str">
        <f t="shared" si="33"/>
        <v/>
      </c>
      <c r="AI58" s="881" t="str">
        <f t="shared" si="34"/>
        <v/>
      </c>
      <c r="AK58" s="881" t="str">
        <f t="shared" si="35"/>
        <v/>
      </c>
      <c r="AM58" s="881" t="str">
        <f t="shared" si="36"/>
        <v/>
      </c>
      <c r="AO58" s="881" t="str">
        <f t="shared" si="37"/>
        <v/>
      </c>
      <c r="AQ58" s="881" t="str">
        <f t="shared" si="38"/>
        <v/>
      </c>
    </row>
    <row r="59" spans="5:43" x14ac:dyDescent="0.2">
      <c r="E59" s="881" t="str">
        <f t="shared" si="19"/>
        <v/>
      </c>
      <c r="G59" s="881" t="str">
        <f t="shared" si="20"/>
        <v/>
      </c>
      <c r="I59" s="881" t="str">
        <f t="shared" si="21"/>
        <v/>
      </c>
      <c r="K59" s="881" t="str">
        <f t="shared" si="22"/>
        <v/>
      </c>
      <c r="M59" s="881" t="str">
        <f t="shared" si="23"/>
        <v/>
      </c>
      <c r="O59" s="881" t="str">
        <f t="shared" si="24"/>
        <v/>
      </c>
      <c r="Q59" s="881" t="str">
        <f t="shared" si="25"/>
        <v/>
      </c>
      <c r="S59" s="881" t="str">
        <f t="shared" si="26"/>
        <v/>
      </c>
      <c r="U59" s="881" t="str">
        <f t="shared" si="27"/>
        <v/>
      </c>
      <c r="W59" s="881" t="str">
        <f t="shared" si="28"/>
        <v/>
      </c>
      <c r="Y59" s="881" t="str">
        <f t="shared" si="29"/>
        <v/>
      </c>
      <c r="AA59" s="881" t="str">
        <f t="shared" si="30"/>
        <v/>
      </c>
      <c r="AC59" s="881" t="str">
        <f t="shared" si="31"/>
        <v/>
      </c>
      <c r="AE59" s="881" t="str">
        <f t="shared" si="32"/>
        <v/>
      </c>
      <c r="AG59" s="881" t="str">
        <f t="shared" si="33"/>
        <v/>
      </c>
      <c r="AI59" s="881" t="str">
        <f t="shared" si="34"/>
        <v/>
      </c>
      <c r="AK59" s="881" t="str">
        <f t="shared" si="35"/>
        <v/>
      </c>
      <c r="AM59" s="881" t="str">
        <f t="shared" si="36"/>
        <v/>
      </c>
      <c r="AO59" s="881" t="str">
        <f t="shared" si="37"/>
        <v/>
      </c>
      <c r="AQ59" s="881" t="str">
        <f t="shared" si="38"/>
        <v/>
      </c>
    </row>
    <row r="60" spans="5:43" x14ac:dyDescent="0.2">
      <c r="E60" s="881" t="str">
        <f t="shared" si="19"/>
        <v/>
      </c>
      <c r="G60" s="881" t="str">
        <f t="shared" si="20"/>
        <v/>
      </c>
      <c r="I60" s="881" t="str">
        <f t="shared" si="21"/>
        <v/>
      </c>
      <c r="K60" s="881" t="str">
        <f t="shared" si="22"/>
        <v/>
      </c>
      <c r="M60" s="881" t="str">
        <f t="shared" si="23"/>
        <v/>
      </c>
      <c r="O60" s="881" t="str">
        <f t="shared" si="24"/>
        <v/>
      </c>
      <c r="Q60" s="881" t="str">
        <f t="shared" si="25"/>
        <v/>
      </c>
      <c r="S60" s="881" t="str">
        <f t="shared" si="26"/>
        <v/>
      </c>
      <c r="U60" s="881" t="str">
        <f t="shared" si="27"/>
        <v/>
      </c>
      <c r="W60" s="881" t="str">
        <f t="shared" si="28"/>
        <v/>
      </c>
      <c r="Y60" s="881" t="str">
        <f t="shared" si="29"/>
        <v/>
      </c>
      <c r="AA60" s="881" t="str">
        <f t="shared" si="30"/>
        <v/>
      </c>
      <c r="AC60" s="881" t="str">
        <f t="shared" si="31"/>
        <v/>
      </c>
      <c r="AE60" s="881" t="str">
        <f t="shared" si="32"/>
        <v/>
      </c>
      <c r="AG60" s="881" t="str">
        <f t="shared" si="33"/>
        <v/>
      </c>
      <c r="AI60" s="881" t="str">
        <f t="shared" si="34"/>
        <v/>
      </c>
      <c r="AK60" s="881" t="str">
        <f t="shared" si="35"/>
        <v/>
      </c>
      <c r="AM60" s="881" t="str">
        <f t="shared" si="36"/>
        <v/>
      </c>
      <c r="AO60" s="881" t="str">
        <f t="shared" si="37"/>
        <v/>
      </c>
      <c r="AQ60" s="881" t="str">
        <f t="shared" si="38"/>
        <v/>
      </c>
    </row>
    <row r="61" spans="5:43" x14ac:dyDescent="0.2">
      <c r="E61" s="881" t="str">
        <f t="shared" si="19"/>
        <v/>
      </c>
      <c r="G61" s="881" t="str">
        <f t="shared" si="20"/>
        <v/>
      </c>
      <c r="I61" s="881" t="str">
        <f t="shared" si="21"/>
        <v/>
      </c>
      <c r="K61" s="881" t="str">
        <f t="shared" si="22"/>
        <v/>
      </c>
      <c r="M61" s="881" t="str">
        <f t="shared" si="23"/>
        <v/>
      </c>
      <c r="O61" s="881" t="str">
        <f t="shared" si="24"/>
        <v/>
      </c>
      <c r="Q61" s="881" t="str">
        <f t="shared" si="25"/>
        <v/>
      </c>
      <c r="S61" s="881" t="str">
        <f t="shared" si="26"/>
        <v/>
      </c>
      <c r="U61" s="881" t="str">
        <f t="shared" si="27"/>
        <v/>
      </c>
      <c r="W61" s="881" t="str">
        <f t="shared" si="28"/>
        <v/>
      </c>
      <c r="Y61" s="881" t="str">
        <f t="shared" si="29"/>
        <v/>
      </c>
      <c r="AA61" s="881" t="str">
        <f t="shared" si="30"/>
        <v/>
      </c>
      <c r="AC61" s="881" t="str">
        <f t="shared" si="31"/>
        <v/>
      </c>
      <c r="AE61" s="881" t="str">
        <f t="shared" si="32"/>
        <v/>
      </c>
      <c r="AG61" s="881" t="str">
        <f t="shared" si="33"/>
        <v/>
      </c>
      <c r="AI61" s="881" t="str">
        <f t="shared" si="34"/>
        <v/>
      </c>
      <c r="AK61" s="881" t="str">
        <f t="shared" si="35"/>
        <v/>
      </c>
      <c r="AM61" s="881" t="str">
        <f t="shared" si="36"/>
        <v/>
      </c>
      <c r="AO61" s="881" t="str">
        <f t="shared" si="37"/>
        <v/>
      </c>
      <c r="AQ61" s="881" t="str">
        <f t="shared" si="38"/>
        <v/>
      </c>
    </row>
    <row r="62" spans="5:43" x14ac:dyDescent="0.2">
      <c r="E62" s="881" t="str">
        <f t="shared" si="19"/>
        <v/>
      </c>
      <c r="G62" s="881" t="str">
        <f t="shared" si="20"/>
        <v/>
      </c>
      <c r="I62" s="881" t="str">
        <f t="shared" si="21"/>
        <v/>
      </c>
      <c r="K62" s="881" t="str">
        <f t="shared" si="22"/>
        <v/>
      </c>
      <c r="M62" s="881" t="str">
        <f t="shared" si="23"/>
        <v/>
      </c>
      <c r="O62" s="881" t="str">
        <f t="shared" si="24"/>
        <v/>
      </c>
      <c r="Q62" s="881" t="str">
        <f t="shared" si="25"/>
        <v/>
      </c>
      <c r="S62" s="881" t="str">
        <f t="shared" si="26"/>
        <v/>
      </c>
      <c r="U62" s="881" t="str">
        <f t="shared" si="27"/>
        <v/>
      </c>
      <c r="W62" s="881" t="str">
        <f t="shared" si="28"/>
        <v/>
      </c>
      <c r="Y62" s="881" t="str">
        <f t="shared" si="29"/>
        <v/>
      </c>
      <c r="AA62" s="881" t="str">
        <f t="shared" si="30"/>
        <v/>
      </c>
      <c r="AC62" s="881" t="str">
        <f t="shared" si="31"/>
        <v/>
      </c>
      <c r="AE62" s="881" t="str">
        <f t="shared" si="32"/>
        <v/>
      </c>
      <c r="AG62" s="881" t="str">
        <f t="shared" si="33"/>
        <v/>
      </c>
      <c r="AI62" s="881" t="str">
        <f t="shared" si="34"/>
        <v/>
      </c>
      <c r="AK62" s="881" t="str">
        <f t="shared" si="35"/>
        <v/>
      </c>
      <c r="AM62" s="881" t="str">
        <f t="shared" si="36"/>
        <v/>
      </c>
      <c r="AO62" s="881" t="str">
        <f t="shared" si="37"/>
        <v/>
      </c>
      <c r="AQ62" s="881" t="str">
        <f t="shared" si="38"/>
        <v/>
      </c>
    </row>
    <row r="63" spans="5:43" x14ac:dyDescent="0.2">
      <c r="E63" s="881" t="str">
        <f t="shared" si="19"/>
        <v/>
      </c>
      <c r="G63" s="881" t="str">
        <f t="shared" si="20"/>
        <v/>
      </c>
      <c r="I63" s="881" t="str">
        <f t="shared" si="21"/>
        <v/>
      </c>
      <c r="K63" s="881" t="str">
        <f t="shared" si="22"/>
        <v/>
      </c>
      <c r="M63" s="881" t="str">
        <f t="shared" si="23"/>
        <v/>
      </c>
      <c r="O63" s="881" t="str">
        <f t="shared" si="24"/>
        <v/>
      </c>
      <c r="Q63" s="881" t="str">
        <f t="shared" si="25"/>
        <v/>
      </c>
      <c r="S63" s="881" t="str">
        <f t="shared" si="26"/>
        <v/>
      </c>
      <c r="U63" s="881" t="str">
        <f t="shared" si="27"/>
        <v/>
      </c>
      <c r="W63" s="881" t="str">
        <f t="shared" si="28"/>
        <v/>
      </c>
      <c r="Y63" s="881" t="str">
        <f t="shared" si="29"/>
        <v/>
      </c>
      <c r="AA63" s="881" t="str">
        <f t="shared" si="30"/>
        <v/>
      </c>
      <c r="AC63" s="881" t="str">
        <f t="shared" si="31"/>
        <v/>
      </c>
      <c r="AE63" s="881" t="str">
        <f t="shared" si="32"/>
        <v/>
      </c>
      <c r="AG63" s="881" t="str">
        <f t="shared" si="33"/>
        <v/>
      </c>
      <c r="AI63" s="881" t="str">
        <f t="shared" si="34"/>
        <v/>
      </c>
      <c r="AK63" s="881" t="str">
        <f t="shared" si="35"/>
        <v/>
      </c>
      <c r="AM63" s="881" t="str">
        <f t="shared" si="36"/>
        <v/>
      </c>
      <c r="AO63" s="881" t="str">
        <f t="shared" si="37"/>
        <v/>
      </c>
      <c r="AQ63" s="881" t="str">
        <f t="shared" si="38"/>
        <v/>
      </c>
    </row>
    <row r="64" spans="5:43" x14ac:dyDescent="0.2">
      <c r="E64" s="881" t="str">
        <f t="shared" si="19"/>
        <v/>
      </c>
      <c r="G64" s="881" t="str">
        <f t="shared" si="20"/>
        <v/>
      </c>
      <c r="I64" s="881" t="str">
        <f t="shared" si="21"/>
        <v/>
      </c>
      <c r="K64" s="881" t="str">
        <f t="shared" si="22"/>
        <v/>
      </c>
      <c r="M64" s="881" t="str">
        <f t="shared" si="23"/>
        <v/>
      </c>
      <c r="O64" s="881" t="str">
        <f t="shared" si="24"/>
        <v/>
      </c>
      <c r="Q64" s="881" t="str">
        <f t="shared" si="25"/>
        <v/>
      </c>
      <c r="S64" s="881" t="str">
        <f t="shared" si="26"/>
        <v/>
      </c>
      <c r="U64" s="881" t="str">
        <f t="shared" si="27"/>
        <v/>
      </c>
      <c r="W64" s="881" t="str">
        <f t="shared" si="28"/>
        <v/>
      </c>
      <c r="Y64" s="881" t="str">
        <f t="shared" si="29"/>
        <v/>
      </c>
      <c r="AA64" s="881" t="str">
        <f t="shared" si="30"/>
        <v/>
      </c>
      <c r="AC64" s="881" t="str">
        <f t="shared" si="31"/>
        <v/>
      </c>
      <c r="AE64" s="881" t="str">
        <f t="shared" si="32"/>
        <v/>
      </c>
      <c r="AG64" s="881" t="str">
        <f t="shared" si="33"/>
        <v/>
      </c>
      <c r="AI64" s="881" t="str">
        <f t="shared" si="34"/>
        <v/>
      </c>
      <c r="AK64" s="881" t="str">
        <f t="shared" si="35"/>
        <v/>
      </c>
      <c r="AM64" s="881" t="str">
        <f t="shared" si="36"/>
        <v/>
      </c>
      <c r="AO64" s="881" t="str">
        <f t="shared" si="37"/>
        <v/>
      </c>
      <c r="AQ64" s="881" t="str">
        <f t="shared" si="38"/>
        <v/>
      </c>
    </row>
    <row r="65" spans="5:43" x14ac:dyDescent="0.2">
      <c r="E65" s="881" t="str">
        <f t="shared" si="19"/>
        <v/>
      </c>
      <c r="G65" s="881" t="str">
        <f t="shared" si="20"/>
        <v/>
      </c>
      <c r="I65" s="881" t="str">
        <f t="shared" si="21"/>
        <v/>
      </c>
      <c r="K65" s="881" t="str">
        <f t="shared" si="22"/>
        <v/>
      </c>
      <c r="M65" s="881" t="str">
        <f t="shared" si="23"/>
        <v/>
      </c>
      <c r="O65" s="881" t="str">
        <f t="shared" si="24"/>
        <v/>
      </c>
      <c r="Q65" s="881" t="str">
        <f t="shared" si="25"/>
        <v/>
      </c>
      <c r="S65" s="881" t="str">
        <f t="shared" si="26"/>
        <v/>
      </c>
      <c r="U65" s="881" t="str">
        <f t="shared" si="27"/>
        <v/>
      </c>
      <c r="W65" s="881" t="str">
        <f t="shared" si="28"/>
        <v/>
      </c>
      <c r="Y65" s="881" t="str">
        <f t="shared" si="29"/>
        <v/>
      </c>
      <c r="AA65" s="881" t="str">
        <f t="shared" si="30"/>
        <v/>
      </c>
      <c r="AC65" s="881" t="str">
        <f t="shared" si="31"/>
        <v/>
      </c>
      <c r="AE65" s="881" t="str">
        <f t="shared" si="32"/>
        <v/>
      </c>
      <c r="AG65" s="881" t="str">
        <f t="shared" si="33"/>
        <v/>
      </c>
      <c r="AI65" s="881" t="str">
        <f t="shared" si="34"/>
        <v/>
      </c>
      <c r="AK65" s="881" t="str">
        <f t="shared" si="35"/>
        <v/>
      </c>
      <c r="AM65" s="881" t="str">
        <f t="shared" si="36"/>
        <v/>
      </c>
      <c r="AO65" s="881" t="str">
        <f t="shared" si="37"/>
        <v/>
      </c>
      <c r="AQ65" s="881" t="str">
        <f t="shared" si="38"/>
        <v/>
      </c>
    </row>
    <row r="66" spans="5:43" x14ac:dyDescent="0.2">
      <c r="E66" s="881" t="str">
        <f t="shared" si="19"/>
        <v/>
      </c>
      <c r="G66" s="881" t="str">
        <f t="shared" si="20"/>
        <v/>
      </c>
      <c r="I66" s="881" t="str">
        <f t="shared" si="21"/>
        <v/>
      </c>
      <c r="K66" s="881" t="str">
        <f t="shared" si="22"/>
        <v/>
      </c>
      <c r="M66" s="881" t="str">
        <f t="shared" si="23"/>
        <v/>
      </c>
      <c r="O66" s="881" t="str">
        <f t="shared" si="24"/>
        <v/>
      </c>
      <c r="Q66" s="881" t="str">
        <f t="shared" si="25"/>
        <v/>
      </c>
      <c r="S66" s="881" t="str">
        <f t="shared" si="26"/>
        <v/>
      </c>
      <c r="U66" s="881" t="str">
        <f t="shared" si="27"/>
        <v/>
      </c>
      <c r="W66" s="881" t="str">
        <f t="shared" si="28"/>
        <v/>
      </c>
      <c r="Y66" s="881" t="str">
        <f t="shared" si="29"/>
        <v/>
      </c>
      <c r="AA66" s="881" t="str">
        <f t="shared" si="30"/>
        <v/>
      </c>
      <c r="AC66" s="881" t="str">
        <f t="shared" si="31"/>
        <v/>
      </c>
      <c r="AE66" s="881" t="str">
        <f t="shared" si="32"/>
        <v/>
      </c>
      <c r="AG66" s="881" t="str">
        <f t="shared" si="33"/>
        <v/>
      </c>
      <c r="AI66" s="881" t="str">
        <f t="shared" si="34"/>
        <v/>
      </c>
      <c r="AK66" s="881" t="str">
        <f t="shared" si="35"/>
        <v/>
      </c>
      <c r="AM66" s="881" t="str">
        <f t="shared" si="36"/>
        <v/>
      </c>
      <c r="AO66" s="881" t="str">
        <f t="shared" si="37"/>
        <v/>
      </c>
      <c r="AQ66" s="881" t="str">
        <f t="shared" si="38"/>
        <v/>
      </c>
    </row>
    <row r="67" spans="5:43" x14ac:dyDescent="0.2">
      <c r="E67" s="881" t="str">
        <f t="shared" si="19"/>
        <v/>
      </c>
      <c r="G67" s="881" t="str">
        <f t="shared" si="20"/>
        <v/>
      </c>
      <c r="I67" s="881" t="str">
        <f t="shared" si="21"/>
        <v/>
      </c>
      <c r="K67" s="881" t="str">
        <f t="shared" si="22"/>
        <v/>
      </c>
      <c r="M67" s="881" t="str">
        <f t="shared" si="23"/>
        <v/>
      </c>
      <c r="O67" s="881" t="str">
        <f t="shared" si="24"/>
        <v/>
      </c>
      <c r="Q67" s="881" t="str">
        <f t="shared" si="25"/>
        <v/>
      </c>
      <c r="S67" s="881" t="str">
        <f t="shared" si="26"/>
        <v/>
      </c>
      <c r="U67" s="881" t="str">
        <f t="shared" si="27"/>
        <v/>
      </c>
      <c r="W67" s="881" t="str">
        <f t="shared" si="28"/>
        <v/>
      </c>
      <c r="Y67" s="881" t="str">
        <f t="shared" si="29"/>
        <v/>
      </c>
      <c r="AA67" s="881" t="str">
        <f t="shared" si="30"/>
        <v/>
      </c>
      <c r="AC67" s="881" t="str">
        <f t="shared" si="31"/>
        <v/>
      </c>
      <c r="AE67" s="881" t="str">
        <f t="shared" si="32"/>
        <v/>
      </c>
      <c r="AG67" s="881" t="str">
        <f t="shared" si="33"/>
        <v/>
      </c>
      <c r="AI67" s="881" t="str">
        <f t="shared" si="34"/>
        <v/>
      </c>
      <c r="AK67" s="881" t="str">
        <f t="shared" si="35"/>
        <v/>
      </c>
      <c r="AM67" s="881" t="str">
        <f t="shared" si="36"/>
        <v/>
      </c>
      <c r="AO67" s="881" t="str">
        <f t="shared" si="37"/>
        <v/>
      </c>
      <c r="AQ67" s="881" t="str">
        <f t="shared" si="38"/>
        <v/>
      </c>
    </row>
    <row r="68" spans="5:43" x14ac:dyDescent="0.2">
      <c r="E68" s="881" t="str">
        <f t="shared" si="19"/>
        <v/>
      </c>
      <c r="G68" s="881" t="str">
        <f t="shared" si="20"/>
        <v/>
      </c>
      <c r="I68" s="881" t="str">
        <f t="shared" si="21"/>
        <v/>
      </c>
      <c r="K68" s="881" t="str">
        <f t="shared" si="22"/>
        <v/>
      </c>
      <c r="M68" s="881" t="str">
        <f t="shared" si="23"/>
        <v/>
      </c>
      <c r="O68" s="881" t="str">
        <f t="shared" si="24"/>
        <v/>
      </c>
      <c r="Q68" s="881" t="str">
        <f t="shared" si="25"/>
        <v/>
      </c>
      <c r="S68" s="881" t="str">
        <f t="shared" si="26"/>
        <v/>
      </c>
      <c r="U68" s="881" t="str">
        <f t="shared" si="27"/>
        <v/>
      </c>
      <c r="W68" s="881" t="str">
        <f t="shared" si="28"/>
        <v/>
      </c>
      <c r="Y68" s="881" t="str">
        <f t="shared" si="29"/>
        <v/>
      </c>
      <c r="AA68" s="881" t="str">
        <f t="shared" si="30"/>
        <v/>
      </c>
      <c r="AC68" s="881" t="str">
        <f t="shared" si="31"/>
        <v/>
      </c>
      <c r="AE68" s="881" t="str">
        <f t="shared" si="32"/>
        <v/>
      </c>
      <c r="AG68" s="881" t="str">
        <f t="shared" si="33"/>
        <v/>
      </c>
      <c r="AI68" s="881" t="str">
        <f t="shared" si="34"/>
        <v/>
      </c>
      <c r="AK68" s="881" t="str">
        <f t="shared" si="35"/>
        <v/>
      </c>
      <c r="AM68" s="881" t="str">
        <f t="shared" si="36"/>
        <v/>
      </c>
      <c r="AO68" s="881" t="str">
        <f t="shared" si="37"/>
        <v/>
      </c>
      <c r="AQ68" s="881" t="str">
        <f t="shared" si="38"/>
        <v/>
      </c>
    </row>
    <row r="69" spans="5:43" x14ac:dyDescent="0.2">
      <c r="E69" s="881" t="str">
        <f t="shared" si="19"/>
        <v/>
      </c>
      <c r="G69" s="881" t="str">
        <f t="shared" si="20"/>
        <v/>
      </c>
      <c r="I69" s="881" t="str">
        <f t="shared" si="21"/>
        <v/>
      </c>
      <c r="K69" s="881" t="str">
        <f t="shared" si="22"/>
        <v/>
      </c>
      <c r="M69" s="881" t="str">
        <f t="shared" si="23"/>
        <v/>
      </c>
      <c r="O69" s="881" t="str">
        <f t="shared" si="24"/>
        <v/>
      </c>
      <c r="Q69" s="881" t="str">
        <f t="shared" si="25"/>
        <v/>
      </c>
      <c r="S69" s="881" t="str">
        <f t="shared" si="26"/>
        <v/>
      </c>
      <c r="U69" s="881" t="str">
        <f t="shared" si="27"/>
        <v/>
      </c>
      <c r="W69" s="881" t="str">
        <f t="shared" si="28"/>
        <v/>
      </c>
      <c r="Y69" s="881" t="str">
        <f t="shared" si="29"/>
        <v/>
      </c>
      <c r="AA69" s="881" t="str">
        <f t="shared" si="30"/>
        <v/>
      </c>
      <c r="AC69" s="881" t="str">
        <f t="shared" si="31"/>
        <v/>
      </c>
      <c r="AE69" s="881" t="str">
        <f t="shared" si="32"/>
        <v/>
      </c>
      <c r="AG69" s="881" t="str">
        <f t="shared" si="33"/>
        <v/>
      </c>
      <c r="AI69" s="881" t="str">
        <f t="shared" si="34"/>
        <v/>
      </c>
      <c r="AK69" s="881" t="str">
        <f t="shared" si="35"/>
        <v/>
      </c>
      <c r="AM69" s="881" t="str">
        <f t="shared" si="36"/>
        <v/>
      </c>
      <c r="AO69" s="881" t="str">
        <f t="shared" si="37"/>
        <v/>
      </c>
      <c r="AQ69" s="881" t="str">
        <f t="shared" si="38"/>
        <v/>
      </c>
    </row>
    <row r="70" spans="5:43" x14ac:dyDescent="0.2">
      <c r="E70" s="881" t="str">
        <f t="shared" si="19"/>
        <v/>
      </c>
      <c r="G70" s="881" t="str">
        <f t="shared" si="20"/>
        <v/>
      </c>
      <c r="I70" s="881" t="str">
        <f t="shared" si="21"/>
        <v/>
      </c>
      <c r="K70" s="881" t="str">
        <f t="shared" si="22"/>
        <v/>
      </c>
      <c r="M70" s="881" t="str">
        <f t="shared" si="23"/>
        <v/>
      </c>
      <c r="O70" s="881" t="str">
        <f t="shared" si="24"/>
        <v/>
      </c>
      <c r="Q70" s="881" t="str">
        <f t="shared" si="25"/>
        <v/>
      </c>
      <c r="S70" s="881" t="str">
        <f t="shared" si="26"/>
        <v/>
      </c>
      <c r="U70" s="881" t="str">
        <f t="shared" si="27"/>
        <v/>
      </c>
      <c r="W70" s="881" t="str">
        <f t="shared" si="28"/>
        <v/>
      </c>
      <c r="Y70" s="881" t="str">
        <f t="shared" si="29"/>
        <v/>
      </c>
      <c r="AA70" s="881" t="str">
        <f t="shared" si="30"/>
        <v/>
      </c>
      <c r="AC70" s="881" t="str">
        <f t="shared" si="31"/>
        <v/>
      </c>
      <c r="AE70" s="881" t="str">
        <f t="shared" si="32"/>
        <v/>
      </c>
      <c r="AG70" s="881" t="str">
        <f t="shared" si="33"/>
        <v/>
      </c>
      <c r="AI70" s="881" t="str">
        <f t="shared" si="34"/>
        <v/>
      </c>
      <c r="AK70" s="881" t="str">
        <f t="shared" si="35"/>
        <v/>
      </c>
      <c r="AM70" s="881" t="str">
        <f t="shared" si="36"/>
        <v/>
      </c>
      <c r="AO70" s="881" t="str">
        <f t="shared" si="37"/>
        <v/>
      </c>
      <c r="AQ70" s="881" t="str">
        <f t="shared" si="38"/>
        <v/>
      </c>
    </row>
    <row r="71" spans="5:43" x14ac:dyDescent="0.2">
      <c r="E71" s="881" t="str">
        <f t="shared" si="19"/>
        <v/>
      </c>
      <c r="G71" s="881" t="str">
        <f t="shared" si="20"/>
        <v/>
      </c>
      <c r="I71" s="881" t="str">
        <f t="shared" si="21"/>
        <v/>
      </c>
      <c r="K71" s="881" t="str">
        <f t="shared" si="22"/>
        <v/>
      </c>
      <c r="M71" s="881" t="str">
        <f t="shared" si="23"/>
        <v/>
      </c>
      <c r="O71" s="881" t="str">
        <f t="shared" si="24"/>
        <v/>
      </c>
      <c r="Q71" s="881" t="str">
        <f t="shared" si="25"/>
        <v/>
      </c>
      <c r="S71" s="881" t="str">
        <f t="shared" si="26"/>
        <v/>
      </c>
      <c r="U71" s="881" t="str">
        <f t="shared" si="27"/>
        <v/>
      </c>
      <c r="W71" s="881" t="str">
        <f t="shared" si="28"/>
        <v/>
      </c>
      <c r="Y71" s="881" t="str">
        <f t="shared" si="29"/>
        <v/>
      </c>
      <c r="AA71" s="881" t="str">
        <f t="shared" si="30"/>
        <v/>
      </c>
      <c r="AC71" s="881" t="str">
        <f t="shared" si="31"/>
        <v/>
      </c>
      <c r="AE71" s="881" t="str">
        <f t="shared" si="32"/>
        <v/>
      </c>
      <c r="AG71" s="881" t="str">
        <f t="shared" si="33"/>
        <v/>
      </c>
      <c r="AI71" s="881" t="str">
        <f t="shared" si="34"/>
        <v/>
      </c>
      <c r="AK71" s="881" t="str">
        <f t="shared" si="35"/>
        <v/>
      </c>
      <c r="AM71" s="881" t="str">
        <f t="shared" si="36"/>
        <v/>
      </c>
      <c r="AO71" s="881" t="str">
        <f t="shared" si="37"/>
        <v/>
      </c>
      <c r="AQ71" s="881" t="str">
        <f t="shared" si="38"/>
        <v/>
      </c>
    </row>
    <row r="72" spans="5:43" x14ac:dyDescent="0.2">
      <c r="E72" s="881" t="str">
        <f t="shared" si="19"/>
        <v/>
      </c>
      <c r="G72" s="881" t="str">
        <f t="shared" si="20"/>
        <v/>
      </c>
      <c r="I72" s="881" t="str">
        <f t="shared" si="21"/>
        <v/>
      </c>
      <c r="K72" s="881" t="str">
        <f t="shared" si="22"/>
        <v/>
      </c>
      <c r="M72" s="881" t="str">
        <f t="shared" si="23"/>
        <v/>
      </c>
      <c r="O72" s="881" t="str">
        <f t="shared" si="24"/>
        <v/>
      </c>
      <c r="Q72" s="881" t="str">
        <f t="shared" si="25"/>
        <v/>
      </c>
      <c r="S72" s="881" t="str">
        <f t="shared" si="26"/>
        <v/>
      </c>
      <c r="U72" s="881" t="str">
        <f t="shared" si="27"/>
        <v/>
      </c>
      <c r="W72" s="881" t="str">
        <f t="shared" si="28"/>
        <v/>
      </c>
      <c r="Y72" s="881" t="str">
        <f t="shared" si="29"/>
        <v/>
      </c>
      <c r="AA72" s="881" t="str">
        <f t="shared" si="30"/>
        <v/>
      </c>
      <c r="AC72" s="881" t="str">
        <f t="shared" si="31"/>
        <v/>
      </c>
      <c r="AE72" s="881" t="str">
        <f t="shared" si="32"/>
        <v/>
      </c>
      <c r="AG72" s="881" t="str">
        <f t="shared" si="33"/>
        <v/>
      </c>
      <c r="AI72" s="881" t="str">
        <f t="shared" si="34"/>
        <v/>
      </c>
      <c r="AK72" s="881" t="str">
        <f t="shared" si="35"/>
        <v/>
      </c>
      <c r="AM72" s="881" t="str">
        <f t="shared" si="36"/>
        <v/>
      </c>
      <c r="AO72" s="881" t="str">
        <f t="shared" si="37"/>
        <v/>
      </c>
      <c r="AQ72" s="881" t="str">
        <f t="shared" si="38"/>
        <v/>
      </c>
    </row>
    <row r="73" spans="5:43" x14ac:dyDescent="0.2">
      <c r="E73" s="881" t="str">
        <f t="shared" si="19"/>
        <v/>
      </c>
      <c r="G73" s="881" t="str">
        <f t="shared" si="20"/>
        <v/>
      </c>
      <c r="I73" s="881" t="str">
        <f t="shared" si="21"/>
        <v/>
      </c>
      <c r="K73" s="881" t="str">
        <f t="shared" si="22"/>
        <v/>
      </c>
      <c r="M73" s="881" t="str">
        <f t="shared" si="23"/>
        <v/>
      </c>
      <c r="O73" s="881" t="str">
        <f t="shared" si="24"/>
        <v/>
      </c>
      <c r="Q73" s="881" t="str">
        <f t="shared" si="25"/>
        <v/>
      </c>
      <c r="S73" s="881" t="str">
        <f t="shared" si="26"/>
        <v/>
      </c>
      <c r="U73" s="881" t="str">
        <f t="shared" si="27"/>
        <v/>
      </c>
      <c r="W73" s="881" t="str">
        <f t="shared" si="28"/>
        <v/>
      </c>
      <c r="Y73" s="881" t="str">
        <f t="shared" si="29"/>
        <v/>
      </c>
      <c r="AA73" s="881" t="str">
        <f t="shared" si="30"/>
        <v/>
      </c>
      <c r="AC73" s="881" t="str">
        <f t="shared" si="31"/>
        <v/>
      </c>
      <c r="AE73" s="881" t="str">
        <f t="shared" si="32"/>
        <v/>
      </c>
      <c r="AG73" s="881" t="str">
        <f t="shared" si="33"/>
        <v/>
      </c>
      <c r="AI73" s="881" t="str">
        <f t="shared" si="34"/>
        <v/>
      </c>
      <c r="AK73" s="881" t="str">
        <f t="shared" si="35"/>
        <v/>
      </c>
      <c r="AM73" s="881" t="str">
        <f t="shared" si="36"/>
        <v/>
      </c>
      <c r="AO73" s="881" t="str">
        <f t="shared" si="37"/>
        <v/>
      </c>
      <c r="AQ73" s="881" t="str">
        <f t="shared" si="38"/>
        <v/>
      </c>
    </row>
    <row r="74" spans="5:43" x14ac:dyDescent="0.2">
      <c r="E74" s="881" t="str">
        <f t="shared" si="19"/>
        <v/>
      </c>
      <c r="G74" s="881" t="str">
        <f t="shared" si="20"/>
        <v/>
      </c>
      <c r="I74" s="881" t="str">
        <f t="shared" si="21"/>
        <v/>
      </c>
      <c r="K74" s="881" t="str">
        <f t="shared" si="22"/>
        <v/>
      </c>
      <c r="M74" s="881" t="str">
        <f t="shared" si="23"/>
        <v/>
      </c>
      <c r="O74" s="881" t="str">
        <f t="shared" si="24"/>
        <v/>
      </c>
      <c r="Q74" s="881" t="str">
        <f t="shared" si="25"/>
        <v/>
      </c>
      <c r="S74" s="881" t="str">
        <f t="shared" si="26"/>
        <v/>
      </c>
      <c r="U74" s="881" t="str">
        <f t="shared" si="27"/>
        <v/>
      </c>
      <c r="W74" s="881" t="str">
        <f t="shared" si="28"/>
        <v/>
      </c>
      <c r="Y74" s="881" t="str">
        <f t="shared" si="29"/>
        <v/>
      </c>
      <c r="AA74" s="881" t="str">
        <f t="shared" si="30"/>
        <v/>
      </c>
      <c r="AC74" s="881" t="str">
        <f t="shared" si="31"/>
        <v/>
      </c>
      <c r="AE74" s="881" t="str">
        <f t="shared" si="32"/>
        <v/>
      </c>
      <c r="AG74" s="881" t="str">
        <f t="shared" si="33"/>
        <v/>
      </c>
      <c r="AI74" s="881" t="str">
        <f t="shared" si="34"/>
        <v/>
      </c>
      <c r="AK74" s="881" t="str">
        <f t="shared" si="35"/>
        <v/>
      </c>
      <c r="AM74" s="881" t="str">
        <f t="shared" si="36"/>
        <v/>
      </c>
      <c r="AO74" s="881" t="str">
        <f t="shared" si="37"/>
        <v/>
      </c>
      <c r="AQ74" s="881" t="str">
        <f t="shared" si="38"/>
        <v/>
      </c>
    </row>
    <row r="75" spans="5:43" x14ac:dyDescent="0.2">
      <c r="E75" s="881" t="str">
        <f t="shared" si="19"/>
        <v/>
      </c>
      <c r="G75" s="881" t="str">
        <f t="shared" si="20"/>
        <v/>
      </c>
      <c r="I75" s="881" t="str">
        <f t="shared" si="21"/>
        <v/>
      </c>
      <c r="K75" s="881" t="str">
        <f t="shared" si="22"/>
        <v/>
      </c>
      <c r="M75" s="881" t="str">
        <f t="shared" si="23"/>
        <v/>
      </c>
      <c r="O75" s="881" t="str">
        <f t="shared" si="24"/>
        <v/>
      </c>
      <c r="Q75" s="881" t="str">
        <f t="shared" si="25"/>
        <v/>
      </c>
      <c r="S75" s="881" t="str">
        <f t="shared" si="26"/>
        <v/>
      </c>
      <c r="U75" s="881" t="str">
        <f t="shared" si="27"/>
        <v/>
      </c>
      <c r="W75" s="881" t="str">
        <f t="shared" si="28"/>
        <v/>
      </c>
      <c r="Y75" s="881" t="str">
        <f t="shared" si="29"/>
        <v/>
      </c>
      <c r="AA75" s="881" t="str">
        <f t="shared" si="30"/>
        <v/>
      </c>
      <c r="AC75" s="881" t="str">
        <f t="shared" si="31"/>
        <v/>
      </c>
      <c r="AE75" s="881" t="str">
        <f t="shared" si="32"/>
        <v/>
      </c>
      <c r="AG75" s="881" t="str">
        <f t="shared" si="33"/>
        <v/>
      </c>
      <c r="AI75" s="881" t="str">
        <f t="shared" si="34"/>
        <v/>
      </c>
      <c r="AK75" s="881" t="str">
        <f t="shared" si="35"/>
        <v/>
      </c>
      <c r="AM75" s="881" t="str">
        <f t="shared" si="36"/>
        <v/>
      </c>
      <c r="AO75" s="881" t="str">
        <f t="shared" si="37"/>
        <v/>
      </c>
      <c r="AQ75" s="881" t="str">
        <f t="shared" si="38"/>
        <v/>
      </c>
    </row>
    <row r="76" spans="5:43" x14ac:dyDescent="0.2">
      <c r="E76" s="881" t="str">
        <f t="shared" si="19"/>
        <v/>
      </c>
      <c r="G76" s="881" t="str">
        <f t="shared" si="20"/>
        <v/>
      </c>
      <c r="I76" s="881" t="str">
        <f t="shared" si="21"/>
        <v/>
      </c>
      <c r="K76" s="881" t="str">
        <f t="shared" si="22"/>
        <v/>
      </c>
      <c r="M76" s="881" t="str">
        <f t="shared" si="23"/>
        <v/>
      </c>
      <c r="O76" s="881" t="str">
        <f t="shared" si="24"/>
        <v/>
      </c>
      <c r="Q76" s="881" t="str">
        <f t="shared" si="25"/>
        <v/>
      </c>
      <c r="S76" s="881" t="str">
        <f t="shared" si="26"/>
        <v/>
      </c>
      <c r="U76" s="881" t="str">
        <f t="shared" si="27"/>
        <v/>
      </c>
      <c r="W76" s="881" t="str">
        <f t="shared" si="28"/>
        <v/>
      </c>
      <c r="Y76" s="881" t="str">
        <f t="shared" si="29"/>
        <v/>
      </c>
      <c r="AA76" s="881" t="str">
        <f t="shared" si="30"/>
        <v/>
      </c>
      <c r="AC76" s="881" t="str">
        <f t="shared" si="31"/>
        <v/>
      </c>
      <c r="AE76" s="881" t="str">
        <f t="shared" si="32"/>
        <v/>
      </c>
      <c r="AG76" s="881" t="str">
        <f t="shared" si="33"/>
        <v/>
      </c>
      <c r="AI76" s="881" t="str">
        <f t="shared" si="34"/>
        <v/>
      </c>
      <c r="AK76" s="881" t="str">
        <f t="shared" si="35"/>
        <v/>
      </c>
      <c r="AM76" s="881" t="str">
        <f t="shared" si="36"/>
        <v/>
      </c>
      <c r="AO76" s="881" t="str">
        <f t="shared" si="37"/>
        <v/>
      </c>
      <c r="AQ76" s="881" t="str">
        <f t="shared" si="38"/>
        <v/>
      </c>
    </row>
    <row r="77" spans="5:43" x14ac:dyDescent="0.2">
      <c r="E77" s="881" t="str">
        <f t="shared" si="19"/>
        <v/>
      </c>
      <c r="G77" s="881" t="str">
        <f t="shared" si="20"/>
        <v/>
      </c>
      <c r="I77" s="881" t="str">
        <f t="shared" si="21"/>
        <v/>
      </c>
      <c r="K77" s="881" t="str">
        <f t="shared" si="22"/>
        <v/>
      </c>
      <c r="M77" s="881" t="str">
        <f t="shared" si="23"/>
        <v/>
      </c>
      <c r="O77" s="881" t="str">
        <f t="shared" si="24"/>
        <v/>
      </c>
      <c r="Q77" s="881" t="str">
        <f t="shared" si="25"/>
        <v/>
      </c>
      <c r="S77" s="881" t="str">
        <f t="shared" si="26"/>
        <v/>
      </c>
      <c r="U77" s="881" t="str">
        <f t="shared" si="27"/>
        <v/>
      </c>
      <c r="W77" s="881" t="str">
        <f t="shared" si="28"/>
        <v/>
      </c>
      <c r="Y77" s="881" t="str">
        <f t="shared" si="29"/>
        <v/>
      </c>
      <c r="AA77" s="881" t="str">
        <f t="shared" si="30"/>
        <v/>
      </c>
      <c r="AC77" s="881" t="str">
        <f t="shared" si="31"/>
        <v/>
      </c>
      <c r="AE77" s="881" t="str">
        <f t="shared" si="32"/>
        <v/>
      </c>
      <c r="AG77" s="881" t="str">
        <f t="shared" si="33"/>
        <v/>
      </c>
      <c r="AI77" s="881" t="str">
        <f t="shared" si="34"/>
        <v/>
      </c>
      <c r="AK77" s="881" t="str">
        <f t="shared" si="35"/>
        <v/>
      </c>
      <c r="AM77" s="881" t="str">
        <f t="shared" si="36"/>
        <v/>
      </c>
      <c r="AO77" s="881" t="str">
        <f t="shared" si="37"/>
        <v/>
      </c>
      <c r="AQ77" s="881" t="str">
        <f t="shared" si="38"/>
        <v/>
      </c>
    </row>
    <row r="78" spans="5:43" x14ac:dyDescent="0.2">
      <c r="E78" s="881" t="str">
        <f t="shared" si="19"/>
        <v/>
      </c>
      <c r="G78" s="881" t="str">
        <f t="shared" si="20"/>
        <v/>
      </c>
      <c r="I78" s="881" t="str">
        <f t="shared" si="21"/>
        <v/>
      </c>
      <c r="K78" s="881" t="str">
        <f t="shared" si="22"/>
        <v/>
      </c>
      <c r="M78" s="881" t="str">
        <f t="shared" si="23"/>
        <v/>
      </c>
      <c r="O78" s="881" t="str">
        <f t="shared" si="24"/>
        <v/>
      </c>
      <c r="Q78" s="881" t="str">
        <f t="shared" si="25"/>
        <v/>
      </c>
      <c r="S78" s="881" t="str">
        <f t="shared" si="26"/>
        <v/>
      </c>
      <c r="U78" s="881" t="str">
        <f t="shared" si="27"/>
        <v/>
      </c>
      <c r="W78" s="881" t="str">
        <f t="shared" si="28"/>
        <v/>
      </c>
      <c r="Y78" s="881" t="str">
        <f t="shared" si="29"/>
        <v/>
      </c>
      <c r="AA78" s="881" t="str">
        <f t="shared" si="30"/>
        <v/>
      </c>
      <c r="AC78" s="881" t="str">
        <f t="shared" si="31"/>
        <v/>
      </c>
      <c r="AE78" s="881" t="str">
        <f t="shared" si="32"/>
        <v/>
      </c>
      <c r="AG78" s="881" t="str">
        <f t="shared" si="33"/>
        <v/>
      </c>
      <c r="AI78" s="881" t="str">
        <f t="shared" si="34"/>
        <v/>
      </c>
      <c r="AK78" s="881" t="str">
        <f t="shared" si="35"/>
        <v/>
      </c>
      <c r="AM78" s="881" t="str">
        <f t="shared" si="36"/>
        <v/>
      </c>
      <c r="AO78" s="881" t="str">
        <f t="shared" si="37"/>
        <v/>
      </c>
      <c r="AQ78" s="881" t="str">
        <f t="shared" si="38"/>
        <v/>
      </c>
    </row>
    <row r="79" spans="5:43" x14ac:dyDescent="0.2">
      <c r="E79" s="881" t="str">
        <f t="shared" si="19"/>
        <v/>
      </c>
      <c r="G79" s="881" t="str">
        <f t="shared" si="20"/>
        <v/>
      </c>
      <c r="I79" s="881" t="str">
        <f t="shared" si="21"/>
        <v/>
      </c>
      <c r="K79" s="881" t="str">
        <f t="shared" si="22"/>
        <v/>
      </c>
      <c r="M79" s="881" t="str">
        <f t="shared" si="23"/>
        <v/>
      </c>
      <c r="O79" s="881" t="str">
        <f t="shared" si="24"/>
        <v/>
      </c>
      <c r="Q79" s="881" t="str">
        <f t="shared" si="25"/>
        <v/>
      </c>
      <c r="S79" s="881" t="str">
        <f t="shared" si="26"/>
        <v/>
      </c>
      <c r="U79" s="881" t="str">
        <f t="shared" si="27"/>
        <v/>
      </c>
      <c r="W79" s="881" t="str">
        <f t="shared" si="28"/>
        <v/>
      </c>
      <c r="Y79" s="881" t="str">
        <f t="shared" si="29"/>
        <v/>
      </c>
      <c r="AA79" s="881" t="str">
        <f t="shared" si="30"/>
        <v/>
      </c>
      <c r="AC79" s="881" t="str">
        <f t="shared" si="31"/>
        <v/>
      </c>
      <c r="AE79" s="881" t="str">
        <f t="shared" si="32"/>
        <v/>
      </c>
      <c r="AG79" s="881" t="str">
        <f t="shared" si="33"/>
        <v/>
      </c>
      <c r="AI79" s="881" t="str">
        <f t="shared" si="34"/>
        <v/>
      </c>
      <c r="AK79" s="881" t="str">
        <f t="shared" si="35"/>
        <v/>
      </c>
      <c r="AM79" s="881" t="str">
        <f t="shared" si="36"/>
        <v/>
      </c>
      <c r="AO79" s="881" t="str">
        <f t="shared" si="37"/>
        <v/>
      </c>
      <c r="AQ79" s="881" t="str">
        <f t="shared" si="38"/>
        <v/>
      </c>
    </row>
    <row r="80" spans="5:43" x14ac:dyDescent="0.2">
      <c r="E80" s="881" t="str">
        <f t="shared" si="19"/>
        <v/>
      </c>
      <c r="G80" s="881" t="str">
        <f t="shared" si="20"/>
        <v/>
      </c>
      <c r="I80" s="881" t="str">
        <f t="shared" si="21"/>
        <v/>
      </c>
      <c r="K80" s="881" t="str">
        <f t="shared" si="22"/>
        <v/>
      </c>
      <c r="M80" s="881" t="str">
        <f t="shared" si="23"/>
        <v/>
      </c>
      <c r="O80" s="881" t="str">
        <f t="shared" si="24"/>
        <v/>
      </c>
      <c r="Q80" s="881" t="str">
        <f t="shared" si="25"/>
        <v/>
      </c>
      <c r="S80" s="881" t="str">
        <f t="shared" si="26"/>
        <v/>
      </c>
      <c r="U80" s="881" t="str">
        <f t="shared" si="27"/>
        <v/>
      </c>
      <c r="W80" s="881" t="str">
        <f t="shared" si="28"/>
        <v/>
      </c>
      <c r="Y80" s="881" t="str">
        <f t="shared" si="29"/>
        <v/>
      </c>
      <c r="AA80" s="881" t="str">
        <f t="shared" si="30"/>
        <v/>
      </c>
      <c r="AC80" s="881" t="str">
        <f t="shared" si="31"/>
        <v/>
      </c>
      <c r="AE80" s="881" t="str">
        <f t="shared" si="32"/>
        <v/>
      </c>
      <c r="AG80" s="881" t="str">
        <f t="shared" si="33"/>
        <v/>
      </c>
      <c r="AI80" s="881" t="str">
        <f t="shared" si="34"/>
        <v/>
      </c>
      <c r="AK80" s="881" t="str">
        <f t="shared" si="35"/>
        <v/>
      </c>
      <c r="AM80" s="881" t="str">
        <f t="shared" si="36"/>
        <v/>
      </c>
      <c r="AO80" s="881" t="str">
        <f t="shared" si="37"/>
        <v/>
      </c>
      <c r="AQ80" s="881" t="str">
        <f t="shared" si="38"/>
        <v/>
      </c>
    </row>
    <row r="81" spans="5:43" x14ac:dyDescent="0.2">
      <c r="E81" s="881" t="str">
        <f t="shared" si="19"/>
        <v/>
      </c>
      <c r="G81" s="881" t="str">
        <f t="shared" si="20"/>
        <v/>
      </c>
      <c r="I81" s="881" t="str">
        <f t="shared" si="21"/>
        <v/>
      </c>
      <c r="K81" s="881" t="str">
        <f t="shared" si="22"/>
        <v/>
      </c>
      <c r="M81" s="881" t="str">
        <f t="shared" si="23"/>
        <v/>
      </c>
      <c r="O81" s="881" t="str">
        <f t="shared" si="24"/>
        <v/>
      </c>
      <c r="Q81" s="881" t="str">
        <f t="shared" si="25"/>
        <v/>
      </c>
      <c r="S81" s="881" t="str">
        <f t="shared" si="26"/>
        <v/>
      </c>
      <c r="U81" s="881" t="str">
        <f t="shared" si="27"/>
        <v/>
      </c>
      <c r="W81" s="881" t="str">
        <f t="shared" si="28"/>
        <v/>
      </c>
      <c r="Y81" s="881" t="str">
        <f t="shared" si="29"/>
        <v/>
      </c>
      <c r="AA81" s="881" t="str">
        <f t="shared" si="30"/>
        <v/>
      </c>
      <c r="AC81" s="881" t="str">
        <f t="shared" si="31"/>
        <v/>
      </c>
      <c r="AE81" s="881" t="str">
        <f t="shared" si="32"/>
        <v/>
      </c>
      <c r="AG81" s="881" t="str">
        <f t="shared" si="33"/>
        <v/>
      </c>
      <c r="AI81" s="881" t="str">
        <f t="shared" si="34"/>
        <v/>
      </c>
      <c r="AK81" s="881" t="str">
        <f t="shared" si="35"/>
        <v/>
      </c>
      <c r="AM81" s="881" t="str">
        <f t="shared" si="36"/>
        <v/>
      </c>
      <c r="AO81" s="881" t="str">
        <f t="shared" si="37"/>
        <v/>
      </c>
      <c r="AQ81" s="881" t="str">
        <f t="shared" si="38"/>
        <v/>
      </c>
    </row>
    <row r="82" spans="5:43" x14ac:dyDescent="0.2">
      <c r="E82" s="881" t="str">
        <f t="shared" si="19"/>
        <v/>
      </c>
      <c r="G82" s="881" t="str">
        <f t="shared" si="20"/>
        <v/>
      </c>
      <c r="I82" s="881" t="str">
        <f t="shared" si="21"/>
        <v/>
      </c>
      <c r="K82" s="881" t="str">
        <f t="shared" si="22"/>
        <v/>
      </c>
      <c r="M82" s="881" t="str">
        <f t="shared" si="23"/>
        <v/>
      </c>
      <c r="O82" s="881" t="str">
        <f t="shared" si="24"/>
        <v/>
      </c>
      <c r="Q82" s="881" t="str">
        <f t="shared" si="25"/>
        <v/>
      </c>
      <c r="S82" s="881" t="str">
        <f t="shared" si="26"/>
        <v/>
      </c>
      <c r="U82" s="881" t="str">
        <f t="shared" si="27"/>
        <v/>
      </c>
      <c r="W82" s="881" t="str">
        <f t="shared" si="28"/>
        <v/>
      </c>
      <c r="Y82" s="881" t="str">
        <f t="shared" si="29"/>
        <v/>
      </c>
      <c r="AA82" s="881" t="str">
        <f t="shared" si="30"/>
        <v/>
      </c>
      <c r="AC82" s="881" t="str">
        <f t="shared" si="31"/>
        <v/>
      </c>
      <c r="AE82" s="881" t="str">
        <f t="shared" si="32"/>
        <v/>
      </c>
      <c r="AG82" s="881" t="str">
        <f t="shared" si="33"/>
        <v/>
      </c>
      <c r="AI82" s="881" t="str">
        <f t="shared" si="34"/>
        <v/>
      </c>
      <c r="AK82" s="881" t="str">
        <f t="shared" si="35"/>
        <v/>
      </c>
      <c r="AM82" s="881" t="str">
        <f t="shared" si="36"/>
        <v/>
      </c>
      <c r="AO82" s="881" t="str">
        <f t="shared" si="37"/>
        <v/>
      </c>
      <c r="AQ82" s="881" t="str">
        <f t="shared" si="38"/>
        <v/>
      </c>
    </row>
    <row r="83" spans="5:43" x14ac:dyDescent="0.2">
      <c r="E83" s="881" t="str">
        <f t="shared" si="19"/>
        <v/>
      </c>
      <c r="G83" s="881" t="str">
        <f t="shared" si="20"/>
        <v/>
      </c>
      <c r="I83" s="881" t="str">
        <f t="shared" si="21"/>
        <v/>
      </c>
      <c r="K83" s="881" t="str">
        <f t="shared" si="22"/>
        <v/>
      </c>
      <c r="M83" s="881" t="str">
        <f t="shared" si="23"/>
        <v/>
      </c>
      <c r="O83" s="881" t="str">
        <f t="shared" si="24"/>
        <v/>
      </c>
      <c r="Q83" s="881" t="str">
        <f t="shared" si="25"/>
        <v/>
      </c>
      <c r="S83" s="881" t="str">
        <f t="shared" si="26"/>
        <v/>
      </c>
      <c r="U83" s="881" t="str">
        <f t="shared" si="27"/>
        <v/>
      </c>
      <c r="W83" s="881" t="str">
        <f t="shared" si="28"/>
        <v/>
      </c>
      <c r="Y83" s="881" t="str">
        <f t="shared" si="29"/>
        <v/>
      </c>
      <c r="AA83" s="881" t="str">
        <f t="shared" si="30"/>
        <v/>
      </c>
      <c r="AC83" s="881" t="str">
        <f t="shared" si="31"/>
        <v/>
      </c>
      <c r="AE83" s="881" t="str">
        <f t="shared" si="32"/>
        <v/>
      </c>
      <c r="AG83" s="881" t="str">
        <f t="shared" si="33"/>
        <v/>
      </c>
      <c r="AI83" s="881" t="str">
        <f t="shared" si="34"/>
        <v/>
      </c>
      <c r="AK83" s="881" t="str">
        <f t="shared" si="35"/>
        <v/>
      </c>
      <c r="AM83" s="881" t="str">
        <f t="shared" si="36"/>
        <v/>
      </c>
      <c r="AO83" s="881" t="str">
        <f t="shared" si="37"/>
        <v/>
      </c>
      <c r="AQ83" s="881" t="str">
        <f t="shared" si="38"/>
        <v/>
      </c>
    </row>
    <row r="84" spans="5:43" x14ac:dyDescent="0.2">
      <c r="E84" s="881" t="str">
        <f t="shared" si="19"/>
        <v/>
      </c>
      <c r="G84" s="881" t="str">
        <f t="shared" si="20"/>
        <v/>
      </c>
      <c r="I84" s="881" t="str">
        <f t="shared" si="21"/>
        <v/>
      </c>
      <c r="K84" s="881" t="str">
        <f t="shared" si="22"/>
        <v/>
      </c>
      <c r="M84" s="881" t="str">
        <f t="shared" si="23"/>
        <v/>
      </c>
      <c r="O84" s="881" t="str">
        <f t="shared" si="24"/>
        <v/>
      </c>
      <c r="Q84" s="881" t="str">
        <f t="shared" si="25"/>
        <v/>
      </c>
      <c r="S84" s="881" t="str">
        <f t="shared" si="26"/>
        <v/>
      </c>
      <c r="U84" s="881" t="str">
        <f t="shared" si="27"/>
        <v/>
      </c>
      <c r="W84" s="881" t="str">
        <f t="shared" si="28"/>
        <v/>
      </c>
      <c r="Y84" s="881" t="str">
        <f t="shared" si="29"/>
        <v/>
      </c>
      <c r="AA84" s="881" t="str">
        <f t="shared" si="30"/>
        <v/>
      </c>
      <c r="AC84" s="881" t="str">
        <f t="shared" si="31"/>
        <v/>
      </c>
      <c r="AE84" s="881" t="str">
        <f t="shared" si="32"/>
        <v/>
      </c>
      <c r="AG84" s="881" t="str">
        <f t="shared" si="33"/>
        <v/>
      </c>
      <c r="AI84" s="881" t="str">
        <f t="shared" si="34"/>
        <v/>
      </c>
      <c r="AK84" s="881" t="str">
        <f t="shared" si="35"/>
        <v/>
      </c>
      <c r="AM84" s="881" t="str">
        <f t="shared" si="36"/>
        <v/>
      </c>
      <c r="AO84" s="881" t="str">
        <f t="shared" si="37"/>
        <v/>
      </c>
      <c r="AQ84" s="881" t="str">
        <f t="shared" si="38"/>
        <v/>
      </c>
    </row>
    <row r="85" spans="5:43" x14ac:dyDescent="0.2">
      <c r="E85" s="881" t="str">
        <f t="shared" si="19"/>
        <v/>
      </c>
      <c r="G85" s="881" t="str">
        <f t="shared" si="20"/>
        <v/>
      </c>
      <c r="I85" s="881" t="str">
        <f t="shared" si="21"/>
        <v/>
      </c>
      <c r="K85" s="881" t="str">
        <f t="shared" si="22"/>
        <v/>
      </c>
      <c r="M85" s="881" t="str">
        <f t="shared" si="23"/>
        <v/>
      </c>
      <c r="O85" s="881" t="str">
        <f t="shared" si="24"/>
        <v/>
      </c>
      <c r="Q85" s="881" t="str">
        <f t="shared" si="25"/>
        <v/>
      </c>
      <c r="S85" s="881" t="str">
        <f t="shared" si="26"/>
        <v/>
      </c>
      <c r="U85" s="881" t="str">
        <f t="shared" si="27"/>
        <v/>
      </c>
      <c r="W85" s="881" t="str">
        <f t="shared" si="28"/>
        <v/>
      </c>
      <c r="Y85" s="881" t="str">
        <f t="shared" si="29"/>
        <v/>
      </c>
      <c r="AA85" s="881" t="str">
        <f t="shared" si="30"/>
        <v/>
      </c>
      <c r="AC85" s="881" t="str">
        <f t="shared" si="31"/>
        <v/>
      </c>
      <c r="AE85" s="881" t="str">
        <f t="shared" si="32"/>
        <v/>
      </c>
      <c r="AG85" s="881" t="str">
        <f t="shared" si="33"/>
        <v/>
      </c>
      <c r="AI85" s="881" t="str">
        <f t="shared" si="34"/>
        <v/>
      </c>
      <c r="AK85" s="881" t="str">
        <f t="shared" si="35"/>
        <v/>
      </c>
      <c r="AM85" s="881" t="str">
        <f t="shared" si="36"/>
        <v/>
      </c>
      <c r="AO85" s="881" t="str">
        <f t="shared" si="37"/>
        <v/>
      </c>
      <c r="AQ85" s="881" t="str">
        <f t="shared" si="38"/>
        <v/>
      </c>
    </row>
    <row r="86" spans="5:43" x14ac:dyDescent="0.2">
      <c r="E86" s="881" t="str">
        <f t="shared" si="19"/>
        <v/>
      </c>
      <c r="G86" s="881" t="str">
        <f t="shared" si="20"/>
        <v/>
      </c>
      <c r="I86" s="881" t="str">
        <f t="shared" si="21"/>
        <v/>
      </c>
      <c r="K86" s="881" t="str">
        <f t="shared" si="22"/>
        <v/>
      </c>
      <c r="M86" s="881" t="str">
        <f t="shared" si="23"/>
        <v/>
      </c>
      <c r="O86" s="881" t="str">
        <f t="shared" si="24"/>
        <v/>
      </c>
      <c r="Q86" s="881" t="str">
        <f t="shared" si="25"/>
        <v/>
      </c>
      <c r="S86" s="881" t="str">
        <f t="shared" si="26"/>
        <v/>
      </c>
      <c r="U86" s="881" t="str">
        <f t="shared" si="27"/>
        <v/>
      </c>
      <c r="W86" s="881" t="str">
        <f t="shared" si="28"/>
        <v/>
      </c>
      <c r="Y86" s="881" t="str">
        <f t="shared" si="29"/>
        <v/>
      </c>
      <c r="AA86" s="881" t="str">
        <f t="shared" si="30"/>
        <v/>
      </c>
      <c r="AC86" s="881" t="str">
        <f t="shared" si="31"/>
        <v/>
      </c>
      <c r="AE86" s="881" t="str">
        <f t="shared" si="32"/>
        <v/>
      </c>
      <c r="AG86" s="881" t="str">
        <f t="shared" si="33"/>
        <v/>
      </c>
      <c r="AI86" s="881" t="str">
        <f t="shared" si="34"/>
        <v/>
      </c>
      <c r="AK86" s="881" t="str">
        <f t="shared" si="35"/>
        <v/>
      </c>
      <c r="AM86" s="881" t="str">
        <f t="shared" si="36"/>
        <v/>
      </c>
      <c r="AO86" s="881" t="str">
        <f t="shared" si="37"/>
        <v/>
      </c>
      <c r="AQ86" s="881" t="str">
        <f t="shared" si="38"/>
        <v/>
      </c>
    </row>
    <row r="87" spans="5:43" x14ac:dyDescent="0.2">
      <c r="E87" s="881" t="str">
        <f t="shared" si="19"/>
        <v/>
      </c>
      <c r="G87" s="881" t="str">
        <f t="shared" si="20"/>
        <v/>
      </c>
      <c r="I87" s="881" t="str">
        <f t="shared" si="21"/>
        <v/>
      </c>
      <c r="K87" s="881" t="str">
        <f t="shared" si="22"/>
        <v/>
      </c>
      <c r="M87" s="881" t="str">
        <f t="shared" si="23"/>
        <v/>
      </c>
      <c r="O87" s="881" t="str">
        <f t="shared" si="24"/>
        <v/>
      </c>
      <c r="Q87" s="881" t="str">
        <f t="shared" si="25"/>
        <v/>
      </c>
      <c r="S87" s="881" t="str">
        <f t="shared" si="26"/>
        <v/>
      </c>
      <c r="U87" s="881" t="str">
        <f t="shared" si="27"/>
        <v/>
      </c>
      <c r="W87" s="881" t="str">
        <f t="shared" si="28"/>
        <v/>
      </c>
      <c r="Y87" s="881" t="str">
        <f t="shared" si="29"/>
        <v/>
      </c>
      <c r="AA87" s="881" t="str">
        <f t="shared" si="30"/>
        <v/>
      </c>
      <c r="AC87" s="881" t="str">
        <f t="shared" si="31"/>
        <v/>
      </c>
      <c r="AE87" s="881" t="str">
        <f t="shared" si="32"/>
        <v/>
      </c>
      <c r="AG87" s="881" t="str">
        <f t="shared" si="33"/>
        <v/>
      </c>
      <c r="AI87" s="881" t="str">
        <f t="shared" si="34"/>
        <v/>
      </c>
      <c r="AK87" s="881" t="str">
        <f t="shared" si="35"/>
        <v/>
      </c>
      <c r="AM87" s="881" t="str">
        <f t="shared" si="36"/>
        <v/>
      </c>
      <c r="AO87" s="881" t="str">
        <f t="shared" si="37"/>
        <v/>
      </c>
      <c r="AQ87" s="881" t="str">
        <f t="shared" si="38"/>
        <v/>
      </c>
    </row>
    <row r="88" spans="5:43" x14ac:dyDescent="0.2">
      <c r="E88" s="881" t="str">
        <f t="shared" si="19"/>
        <v/>
      </c>
      <c r="G88" s="881" t="str">
        <f t="shared" si="20"/>
        <v/>
      </c>
      <c r="I88" s="881" t="str">
        <f t="shared" si="21"/>
        <v/>
      </c>
      <c r="K88" s="881" t="str">
        <f t="shared" si="22"/>
        <v/>
      </c>
      <c r="M88" s="881" t="str">
        <f t="shared" si="23"/>
        <v/>
      </c>
      <c r="O88" s="881" t="str">
        <f t="shared" si="24"/>
        <v/>
      </c>
      <c r="Q88" s="881" t="str">
        <f t="shared" si="25"/>
        <v/>
      </c>
      <c r="S88" s="881" t="str">
        <f t="shared" si="26"/>
        <v/>
      </c>
      <c r="U88" s="881" t="str">
        <f t="shared" si="27"/>
        <v/>
      </c>
      <c r="W88" s="881" t="str">
        <f t="shared" si="28"/>
        <v/>
      </c>
      <c r="Y88" s="881" t="str">
        <f t="shared" si="29"/>
        <v/>
      </c>
      <c r="AA88" s="881" t="str">
        <f t="shared" si="30"/>
        <v/>
      </c>
      <c r="AC88" s="881" t="str">
        <f t="shared" si="31"/>
        <v/>
      </c>
      <c r="AE88" s="881" t="str">
        <f t="shared" si="32"/>
        <v/>
      </c>
      <c r="AG88" s="881" t="str">
        <f t="shared" si="33"/>
        <v/>
      </c>
      <c r="AI88" s="881" t="str">
        <f t="shared" si="34"/>
        <v/>
      </c>
      <c r="AK88" s="881" t="str">
        <f t="shared" si="35"/>
        <v/>
      </c>
      <c r="AM88" s="881" t="str">
        <f t="shared" si="36"/>
        <v/>
      </c>
      <c r="AO88" s="881" t="str">
        <f t="shared" si="37"/>
        <v/>
      </c>
      <c r="AQ88" s="881" t="str">
        <f t="shared" si="38"/>
        <v/>
      </c>
    </row>
    <row r="89" spans="5:43" x14ac:dyDescent="0.2">
      <c r="E89" s="881" t="str">
        <f t="shared" si="19"/>
        <v/>
      </c>
      <c r="G89" s="881" t="str">
        <f t="shared" si="20"/>
        <v/>
      </c>
      <c r="I89" s="881" t="str">
        <f t="shared" si="21"/>
        <v/>
      </c>
      <c r="K89" s="881" t="str">
        <f t="shared" si="22"/>
        <v/>
      </c>
      <c r="M89" s="881" t="str">
        <f t="shared" si="23"/>
        <v/>
      </c>
      <c r="O89" s="881" t="str">
        <f t="shared" si="24"/>
        <v/>
      </c>
      <c r="Q89" s="881" t="str">
        <f t="shared" si="25"/>
        <v/>
      </c>
      <c r="S89" s="881" t="str">
        <f t="shared" si="26"/>
        <v/>
      </c>
      <c r="U89" s="881" t="str">
        <f t="shared" si="27"/>
        <v/>
      </c>
      <c r="W89" s="881" t="str">
        <f t="shared" si="28"/>
        <v/>
      </c>
      <c r="Y89" s="881" t="str">
        <f t="shared" si="29"/>
        <v/>
      </c>
      <c r="AA89" s="881" t="str">
        <f t="shared" si="30"/>
        <v/>
      </c>
      <c r="AC89" s="881" t="str">
        <f t="shared" si="31"/>
        <v/>
      </c>
      <c r="AE89" s="881" t="str">
        <f t="shared" si="32"/>
        <v/>
      </c>
      <c r="AG89" s="881" t="str">
        <f t="shared" si="33"/>
        <v/>
      </c>
      <c r="AI89" s="881" t="str">
        <f t="shared" si="34"/>
        <v/>
      </c>
      <c r="AK89" s="881" t="str">
        <f t="shared" si="35"/>
        <v/>
      </c>
      <c r="AM89" s="881" t="str">
        <f t="shared" si="36"/>
        <v/>
      </c>
      <c r="AO89" s="881" t="str">
        <f t="shared" si="37"/>
        <v/>
      </c>
      <c r="AQ89" s="881" t="str">
        <f t="shared" si="38"/>
        <v/>
      </c>
    </row>
    <row r="90" spans="5:43" x14ac:dyDescent="0.2">
      <c r="E90" s="881" t="str">
        <f t="shared" si="19"/>
        <v/>
      </c>
      <c r="G90" s="881" t="str">
        <f t="shared" si="20"/>
        <v/>
      </c>
      <c r="I90" s="881" t="str">
        <f t="shared" si="21"/>
        <v/>
      </c>
      <c r="K90" s="881" t="str">
        <f t="shared" si="22"/>
        <v/>
      </c>
      <c r="M90" s="881" t="str">
        <f t="shared" si="23"/>
        <v/>
      </c>
      <c r="O90" s="881" t="str">
        <f t="shared" si="24"/>
        <v/>
      </c>
      <c r="Q90" s="881" t="str">
        <f t="shared" si="25"/>
        <v/>
      </c>
      <c r="S90" s="881" t="str">
        <f t="shared" si="26"/>
        <v/>
      </c>
      <c r="U90" s="881" t="str">
        <f t="shared" si="27"/>
        <v/>
      </c>
      <c r="W90" s="881" t="str">
        <f t="shared" si="28"/>
        <v/>
      </c>
      <c r="Y90" s="881" t="str">
        <f t="shared" si="29"/>
        <v/>
      </c>
      <c r="AA90" s="881" t="str">
        <f t="shared" si="30"/>
        <v/>
      </c>
      <c r="AC90" s="881" t="str">
        <f t="shared" si="31"/>
        <v/>
      </c>
      <c r="AE90" s="881" t="str">
        <f t="shared" si="32"/>
        <v/>
      </c>
      <c r="AG90" s="881" t="str">
        <f t="shared" si="33"/>
        <v/>
      </c>
      <c r="AI90" s="881" t="str">
        <f t="shared" si="34"/>
        <v/>
      </c>
      <c r="AK90" s="881" t="str">
        <f t="shared" si="35"/>
        <v/>
      </c>
      <c r="AM90" s="881" t="str">
        <f t="shared" si="36"/>
        <v/>
      </c>
      <c r="AO90" s="881" t="str">
        <f t="shared" si="37"/>
        <v/>
      </c>
      <c r="AQ90" s="881" t="str">
        <f t="shared" si="38"/>
        <v/>
      </c>
    </row>
    <row r="91" spans="5:43" x14ac:dyDescent="0.2">
      <c r="E91" s="881" t="str">
        <f t="shared" si="19"/>
        <v/>
      </c>
      <c r="G91" s="881" t="str">
        <f t="shared" si="20"/>
        <v/>
      </c>
      <c r="I91" s="881" t="str">
        <f t="shared" si="21"/>
        <v/>
      </c>
      <c r="K91" s="881" t="str">
        <f t="shared" si="22"/>
        <v/>
      </c>
      <c r="M91" s="881" t="str">
        <f t="shared" si="23"/>
        <v/>
      </c>
      <c r="O91" s="881" t="str">
        <f t="shared" si="24"/>
        <v/>
      </c>
      <c r="Q91" s="881" t="str">
        <f t="shared" si="25"/>
        <v/>
      </c>
      <c r="S91" s="881" t="str">
        <f t="shared" si="26"/>
        <v/>
      </c>
      <c r="U91" s="881" t="str">
        <f t="shared" si="27"/>
        <v/>
      </c>
      <c r="W91" s="881" t="str">
        <f t="shared" si="28"/>
        <v/>
      </c>
      <c r="Y91" s="881" t="str">
        <f t="shared" si="29"/>
        <v/>
      </c>
      <c r="AA91" s="881" t="str">
        <f t="shared" si="30"/>
        <v/>
      </c>
      <c r="AC91" s="881" t="str">
        <f t="shared" si="31"/>
        <v/>
      </c>
      <c r="AE91" s="881" t="str">
        <f t="shared" si="32"/>
        <v/>
      </c>
      <c r="AG91" s="881" t="str">
        <f t="shared" si="33"/>
        <v/>
      </c>
      <c r="AI91" s="881" t="str">
        <f t="shared" si="34"/>
        <v/>
      </c>
      <c r="AK91" s="881" t="str">
        <f t="shared" si="35"/>
        <v/>
      </c>
      <c r="AM91" s="881" t="str">
        <f t="shared" si="36"/>
        <v/>
      </c>
      <c r="AO91" s="881" t="str">
        <f t="shared" si="37"/>
        <v/>
      </c>
      <c r="AQ91" s="881" t="str">
        <f t="shared" si="38"/>
        <v/>
      </c>
    </row>
    <row r="92" spans="5:43" x14ac:dyDescent="0.2">
      <c r="E92" s="881" t="str">
        <f t="shared" si="19"/>
        <v/>
      </c>
      <c r="G92" s="881" t="str">
        <f t="shared" si="20"/>
        <v/>
      </c>
      <c r="I92" s="881" t="str">
        <f t="shared" si="21"/>
        <v/>
      </c>
      <c r="K92" s="881" t="str">
        <f t="shared" si="22"/>
        <v/>
      </c>
      <c r="M92" s="881" t="str">
        <f t="shared" si="23"/>
        <v/>
      </c>
      <c r="O92" s="881" t="str">
        <f t="shared" si="24"/>
        <v/>
      </c>
      <c r="Q92" s="881" t="str">
        <f t="shared" si="25"/>
        <v/>
      </c>
      <c r="S92" s="881" t="str">
        <f t="shared" si="26"/>
        <v/>
      </c>
      <c r="U92" s="881" t="str">
        <f t="shared" si="27"/>
        <v/>
      </c>
      <c r="W92" s="881" t="str">
        <f t="shared" si="28"/>
        <v/>
      </c>
      <c r="Y92" s="881" t="str">
        <f t="shared" si="29"/>
        <v/>
      </c>
      <c r="AA92" s="881" t="str">
        <f t="shared" si="30"/>
        <v/>
      </c>
      <c r="AC92" s="881" t="str">
        <f t="shared" si="31"/>
        <v/>
      </c>
      <c r="AE92" s="881" t="str">
        <f t="shared" si="32"/>
        <v/>
      </c>
      <c r="AG92" s="881" t="str">
        <f t="shared" si="33"/>
        <v/>
      </c>
      <c r="AI92" s="881" t="str">
        <f t="shared" si="34"/>
        <v/>
      </c>
      <c r="AK92" s="881" t="str">
        <f t="shared" si="35"/>
        <v/>
      </c>
      <c r="AM92" s="881" t="str">
        <f t="shared" si="36"/>
        <v/>
      </c>
      <c r="AO92" s="881" t="str">
        <f t="shared" si="37"/>
        <v/>
      </c>
      <c r="AQ92" s="881" t="str">
        <f t="shared" si="38"/>
        <v/>
      </c>
    </row>
    <row r="93" spans="5:43" x14ac:dyDescent="0.2">
      <c r="E93" s="881" t="str">
        <f t="shared" si="19"/>
        <v/>
      </c>
      <c r="G93" s="881" t="str">
        <f t="shared" si="20"/>
        <v/>
      </c>
      <c r="I93" s="881" t="str">
        <f t="shared" si="21"/>
        <v/>
      </c>
      <c r="K93" s="881" t="str">
        <f t="shared" si="22"/>
        <v/>
      </c>
      <c r="M93" s="881" t="str">
        <f t="shared" si="23"/>
        <v/>
      </c>
      <c r="O93" s="881" t="str">
        <f t="shared" si="24"/>
        <v/>
      </c>
      <c r="Q93" s="881" t="str">
        <f t="shared" si="25"/>
        <v/>
      </c>
      <c r="S93" s="881" t="str">
        <f t="shared" si="26"/>
        <v/>
      </c>
      <c r="U93" s="881" t="str">
        <f t="shared" si="27"/>
        <v/>
      </c>
      <c r="W93" s="881" t="str">
        <f t="shared" si="28"/>
        <v/>
      </c>
      <c r="Y93" s="881" t="str">
        <f t="shared" si="29"/>
        <v/>
      </c>
      <c r="AA93" s="881" t="str">
        <f t="shared" si="30"/>
        <v/>
      </c>
      <c r="AC93" s="881" t="str">
        <f t="shared" si="31"/>
        <v/>
      </c>
      <c r="AE93" s="881" t="str">
        <f t="shared" si="32"/>
        <v/>
      </c>
      <c r="AG93" s="881" t="str">
        <f t="shared" si="33"/>
        <v/>
      </c>
      <c r="AI93" s="881" t="str">
        <f t="shared" si="34"/>
        <v/>
      </c>
      <c r="AK93" s="881" t="str">
        <f t="shared" si="35"/>
        <v/>
      </c>
      <c r="AM93" s="881" t="str">
        <f t="shared" si="36"/>
        <v/>
      </c>
      <c r="AO93" s="881" t="str">
        <f t="shared" si="37"/>
        <v/>
      </c>
      <c r="AQ93" s="881" t="str">
        <f t="shared" si="38"/>
        <v/>
      </c>
    </row>
    <row r="94" spans="5:43" x14ac:dyDescent="0.2">
      <c r="E94" s="881" t="str">
        <f t="shared" si="19"/>
        <v/>
      </c>
      <c r="G94" s="881" t="str">
        <f t="shared" si="20"/>
        <v/>
      </c>
      <c r="I94" s="881" t="str">
        <f t="shared" si="21"/>
        <v/>
      </c>
      <c r="K94" s="881" t="str">
        <f t="shared" si="22"/>
        <v/>
      </c>
      <c r="M94" s="881" t="str">
        <f t="shared" si="23"/>
        <v/>
      </c>
      <c r="O94" s="881" t="str">
        <f t="shared" si="24"/>
        <v/>
      </c>
      <c r="Q94" s="881" t="str">
        <f t="shared" si="25"/>
        <v/>
      </c>
      <c r="S94" s="881" t="str">
        <f t="shared" si="26"/>
        <v/>
      </c>
      <c r="U94" s="881" t="str">
        <f t="shared" si="27"/>
        <v/>
      </c>
      <c r="W94" s="881" t="str">
        <f t="shared" si="28"/>
        <v/>
      </c>
      <c r="Y94" s="881" t="str">
        <f t="shared" si="29"/>
        <v/>
      </c>
      <c r="AA94" s="881" t="str">
        <f t="shared" si="30"/>
        <v/>
      </c>
      <c r="AC94" s="881" t="str">
        <f t="shared" si="31"/>
        <v/>
      </c>
      <c r="AE94" s="881" t="str">
        <f t="shared" si="32"/>
        <v/>
      </c>
      <c r="AG94" s="881" t="str">
        <f t="shared" si="33"/>
        <v/>
      </c>
      <c r="AI94" s="881" t="str">
        <f t="shared" si="34"/>
        <v/>
      </c>
      <c r="AK94" s="881" t="str">
        <f t="shared" si="35"/>
        <v/>
      </c>
      <c r="AM94" s="881" t="str">
        <f t="shared" si="36"/>
        <v/>
      </c>
      <c r="AO94" s="881" t="str">
        <f t="shared" si="37"/>
        <v/>
      </c>
      <c r="AQ94" s="881" t="str">
        <f t="shared" si="38"/>
        <v/>
      </c>
    </row>
    <row r="95" spans="5:43" x14ac:dyDescent="0.2">
      <c r="E95" s="881" t="str">
        <f t="shared" si="19"/>
        <v/>
      </c>
      <c r="G95" s="881" t="str">
        <f t="shared" si="20"/>
        <v/>
      </c>
      <c r="I95" s="881" t="str">
        <f t="shared" si="21"/>
        <v/>
      </c>
      <c r="K95" s="881" t="str">
        <f t="shared" si="22"/>
        <v/>
      </c>
      <c r="M95" s="881" t="str">
        <f t="shared" si="23"/>
        <v/>
      </c>
      <c r="O95" s="881" t="str">
        <f t="shared" si="24"/>
        <v/>
      </c>
      <c r="Q95" s="881" t="str">
        <f t="shared" si="25"/>
        <v/>
      </c>
      <c r="S95" s="881" t="str">
        <f t="shared" si="26"/>
        <v/>
      </c>
      <c r="U95" s="881" t="str">
        <f t="shared" si="27"/>
        <v/>
      </c>
      <c r="W95" s="881" t="str">
        <f t="shared" si="28"/>
        <v/>
      </c>
      <c r="Y95" s="881" t="str">
        <f t="shared" si="29"/>
        <v/>
      </c>
      <c r="AA95" s="881" t="str">
        <f t="shared" si="30"/>
        <v/>
      </c>
      <c r="AC95" s="881" t="str">
        <f t="shared" si="31"/>
        <v/>
      </c>
      <c r="AE95" s="881" t="str">
        <f t="shared" si="32"/>
        <v/>
      </c>
      <c r="AG95" s="881" t="str">
        <f t="shared" si="33"/>
        <v/>
      </c>
      <c r="AI95" s="881" t="str">
        <f t="shared" si="34"/>
        <v/>
      </c>
      <c r="AK95" s="881" t="str">
        <f t="shared" si="35"/>
        <v/>
      </c>
      <c r="AM95" s="881" t="str">
        <f t="shared" si="36"/>
        <v/>
      </c>
      <c r="AO95" s="881" t="str">
        <f t="shared" si="37"/>
        <v/>
      </c>
      <c r="AQ95" s="881" t="str">
        <f t="shared" si="38"/>
        <v/>
      </c>
    </row>
    <row r="96" spans="5:43" x14ac:dyDescent="0.2">
      <c r="E96" s="881" t="str">
        <f t="shared" si="19"/>
        <v/>
      </c>
      <c r="G96" s="881" t="str">
        <f t="shared" si="20"/>
        <v/>
      </c>
      <c r="I96" s="881" t="str">
        <f t="shared" si="21"/>
        <v/>
      </c>
      <c r="K96" s="881" t="str">
        <f t="shared" si="22"/>
        <v/>
      </c>
      <c r="M96" s="881" t="str">
        <f t="shared" si="23"/>
        <v/>
      </c>
      <c r="O96" s="881" t="str">
        <f t="shared" si="24"/>
        <v/>
      </c>
      <c r="Q96" s="881" t="str">
        <f t="shared" si="25"/>
        <v/>
      </c>
      <c r="S96" s="881" t="str">
        <f t="shared" si="26"/>
        <v/>
      </c>
      <c r="U96" s="881" t="str">
        <f t="shared" si="27"/>
        <v/>
      </c>
      <c r="W96" s="881" t="str">
        <f t="shared" si="28"/>
        <v/>
      </c>
      <c r="Y96" s="881" t="str">
        <f t="shared" si="29"/>
        <v/>
      </c>
      <c r="AA96" s="881" t="str">
        <f t="shared" si="30"/>
        <v/>
      </c>
      <c r="AC96" s="881" t="str">
        <f t="shared" si="31"/>
        <v/>
      </c>
      <c r="AE96" s="881" t="str">
        <f t="shared" si="32"/>
        <v/>
      </c>
      <c r="AG96" s="881" t="str">
        <f t="shared" si="33"/>
        <v/>
      </c>
      <c r="AI96" s="881" t="str">
        <f t="shared" si="34"/>
        <v/>
      </c>
      <c r="AK96" s="881" t="str">
        <f t="shared" si="35"/>
        <v/>
      </c>
      <c r="AM96" s="881" t="str">
        <f t="shared" si="36"/>
        <v/>
      </c>
      <c r="AO96" s="881" t="str">
        <f t="shared" si="37"/>
        <v/>
      </c>
      <c r="AQ96" s="881" t="str">
        <f t="shared" si="38"/>
        <v/>
      </c>
    </row>
    <row r="97" spans="5:43" x14ac:dyDescent="0.2">
      <c r="E97" s="881" t="str">
        <f t="shared" si="19"/>
        <v/>
      </c>
      <c r="G97" s="881" t="str">
        <f t="shared" si="20"/>
        <v/>
      </c>
      <c r="I97" s="881" t="str">
        <f t="shared" si="21"/>
        <v/>
      </c>
      <c r="K97" s="881" t="str">
        <f t="shared" si="22"/>
        <v/>
      </c>
      <c r="M97" s="881" t="str">
        <f t="shared" si="23"/>
        <v/>
      </c>
      <c r="O97" s="881" t="str">
        <f t="shared" si="24"/>
        <v/>
      </c>
      <c r="Q97" s="881" t="str">
        <f t="shared" si="25"/>
        <v/>
      </c>
      <c r="S97" s="881" t="str">
        <f t="shared" si="26"/>
        <v/>
      </c>
      <c r="U97" s="881" t="str">
        <f t="shared" si="27"/>
        <v/>
      </c>
      <c r="W97" s="881" t="str">
        <f t="shared" si="28"/>
        <v/>
      </c>
      <c r="Y97" s="881" t="str">
        <f t="shared" si="29"/>
        <v/>
      </c>
      <c r="AA97" s="881" t="str">
        <f t="shared" si="30"/>
        <v/>
      </c>
      <c r="AC97" s="881" t="str">
        <f t="shared" si="31"/>
        <v/>
      </c>
      <c r="AE97" s="881" t="str">
        <f t="shared" si="32"/>
        <v/>
      </c>
      <c r="AG97" s="881" t="str">
        <f t="shared" si="33"/>
        <v/>
      </c>
      <c r="AI97" s="881" t="str">
        <f t="shared" si="34"/>
        <v/>
      </c>
      <c r="AK97" s="881" t="str">
        <f t="shared" si="35"/>
        <v/>
      </c>
      <c r="AM97" s="881" t="str">
        <f t="shared" si="36"/>
        <v/>
      </c>
      <c r="AO97" s="881" t="str">
        <f t="shared" si="37"/>
        <v/>
      </c>
      <c r="AQ97" s="881" t="str">
        <f t="shared" si="38"/>
        <v/>
      </c>
    </row>
    <row r="98" spans="5:43" x14ac:dyDescent="0.2">
      <c r="E98" s="881" t="str">
        <f t="shared" si="19"/>
        <v/>
      </c>
      <c r="G98" s="881" t="str">
        <f t="shared" si="20"/>
        <v/>
      </c>
      <c r="I98" s="881" t="str">
        <f t="shared" si="21"/>
        <v/>
      </c>
      <c r="K98" s="881" t="str">
        <f t="shared" si="22"/>
        <v/>
      </c>
      <c r="M98" s="881" t="str">
        <f t="shared" si="23"/>
        <v/>
      </c>
      <c r="O98" s="881" t="str">
        <f t="shared" si="24"/>
        <v/>
      </c>
      <c r="Q98" s="881" t="str">
        <f t="shared" si="25"/>
        <v/>
      </c>
      <c r="S98" s="881" t="str">
        <f t="shared" si="26"/>
        <v/>
      </c>
      <c r="U98" s="881" t="str">
        <f t="shared" si="27"/>
        <v/>
      </c>
      <c r="W98" s="881" t="str">
        <f t="shared" si="28"/>
        <v/>
      </c>
      <c r="Y98" s="881" t="str">
        <f t="shared" si="29"/>
        <v/>
      </c>
      <c r="AA98" s="881" t="str">
        <f t="shared" si="30"/>
        <v/>
      </c>
      <c r="AC98" s="881" t="str">
        <f t="shared" si="31"/>
        <v/>
      </c>
      <c r="AE98" s="881" t="str">
        <f t="shared" si="32"/>
        <v/>
      </c>
      <c r="AG98" s="881" t="str">
        <f t="shared" si="33"/>
        <v/>
      </c>
      <c r="AI98" s="881" t="str">
        <f t="shared" si="34"/>
        <v/>
      </c>
      <c r="AK98" s="881" t="str">
        <f t="shared" si="35"/>
        <v/>
      </c>
      <c r="AM98" s="881" t="str">
        <f t="shared" si="36"/>
        <v/>
      </c>
      <c r="AO98" s="881" t="str">
        <f t="shared" si="37"/>
        <v/>
      </c>
      <c r="AQ98" s="881" t="str">
        <f t="shared" si="38"/>
        <v/>
      </c>
    </row>
    <row r="99" spans="5:43" x14ac:dyDescent="0.2">
      <c r="E99" s="881" t="str">
        <f t="shared" si="19"/>
        <v/>
      </c>
      <c r="G99" s="881" t="str">
        <f t="shared" si="20"/>
        <v/>
      </c>
      <c r="I99" s="881" t="str">
        <f t="shared" si="21"/>
        <v/>
      </c>
      <c r="K99" s="881" t="str">
        <f t="shared" si="22"/>
        <v/>
      </c>
      <c r="M99" s="881" t="str">
        <f t="shared" si="23"/>
        <v/>
      </c>
      <c r="O99" s="881" t="str">
        <f t="shared" si="24"/>
        <v/>
      </c>
      <c r="Q99" s="881" t="str">
        <f t="shared" si="25"/>
        <v/>
      </c>
      <c r="S99" s="881" t="str">
        <f t="shared" si="26"/>
        <v/>
      </c>
      <c r="U99" s="881" t="str">
        <f t="shared" si="27"/>
        <v/>
      </c>
      <c r="W99" s="881" t="str">
        <f t="shared" si="28"/>
        <v/>
      </c>
      <c r="Y99" s="881" t="str">
        <f t="shared" si="29"/>
        <v/>
      </c>
      <c r="AA99" s="881" t="str">
        <f t="shared" si="30"/>
        <v/>
      </c>
      <c r="AC99" s="881" t="str">
        <f t="shared" si="31"/>
        <v/>
      </c>
      <c r="AE99" s="881" t="str">
        <f t="shared" si="32"/>
        <v/>
      </c>
      <c r="AG99" s="881" t="str">
        <f t="shared" si="33"/>
        <v/>
      </c>
      <c r="AI99" s="881" t="str">
        <f t="shared" si="34"/>
        <v/>
      </c>
      <c r="AK99" s="881" t="str">
        <f t="shared" si="35"/>
        <v/>
      </c>
      <c r="AM99" s="881" t="str">
        <f t="shared" si="36"/>
        <v/>
      </c>
      <c r="AO99" s="881" t="str">
        <f t="shared" si="37"/>
        <v/>
      </c>
      <c r="AQ99" s="881" t="str">
        <f t="shared" si="38"/>
        <v/>
      </c>
    </row>
    <row r="100" spans="5:43" x14ac:dyDescent="0.2">
      <c r="E100" s="881" t="str">
        <f t="shared" si="19"/>
        <v/>
      </c>
      <c r="G100" s="881" t="str">
        <f t="shared" si="20"/>
        <v/>
      </c>
      <c r="I100" s="881" t="str">
        <f t="shared" si="21"/>
        <v/>
      </c>
      <c r="K100" s="881" t="str">
        <f t="shared" si="22"/>
        <v/>
      </c>
      <c r="M100" s="881" t="str">
        <f t="shared" si="23"/>
        <v/>
      </c>
      <c r="O100" s="881" t="str">
        <f t="shared" si="24"/>
        <v/>
      </c>
      <c r="Q100" s="881" t="str">
        <f t="shared" si="25"/>
        <v/>
      </c>
      <c r="S100" s="881" t="str">
        <f t="shared" si="26"/>
        <v/>
      </c>
      <c r="U100" s="881" t="str">
        <f t="shared" si="27"/>
        <v/>
      </c>
      <c r="W100" s="881" t="str">
        <f t="shared" si="28"/>
        <v/>
      </c>
      <c r="Y100" s="881" t="str">
        <f t="shared" si="29"/>
        <v/>
      </c>
      <c r="AA100" s="881" t="str">
        <f t="shared" si="30"/>
        <v/>
      </c>
      <c r="AC100" s="881" t="str">
        <f t="shared" si="31"/>
        <v/>
      </c>
      <c r="AE100" s="881" t="str">
        <f t="shared" si="32"/>
        <v/>
      </c>
      <c r="AG100" s="881" t="str">
        <f t="shared" si="33"/>
        <v/>
      </c>
      <c r="AI100" s="881" t="str">
        <f t="shared" si="34"/>
        <v/>
      </c>
      <c r="AK100" s="881" t="str">
        <f t="shared" si="35"/>
        <v/>
      </c>
      <c r="AM100" s="881" t="str">
        <f t="shared" si="36"/>
        <v/>
      </c>
      <c r="AO100" s="881" t="str">
        <f t="shared" si="37"/>
        <v/>
      </c>
      <c r="AQ100" s="881" t="str">
        <f t="shared" si="38"/>
        <v/>
      </c>
    </row>
    <row r="101" spans="5:43" x14ac:dyDescent="0.2">
      <c r="E101" s="881" t="str">
        <f t="shared" ref="E101:E164" si="39">IF(OR($B102=0,D101=0),"",D101/$B102)</f>
        <v/>
      </c>
      <c r="G101" s="881" t="str">
        <f t="shared" ref="G101:G164" si="40">IF(OR($B102=0,F101=0),"",F101/$B102)</f>
        <v/>
      </c>
      <c r="I101" s="881" t="str">
        <f t="shared" ref="I101:I164" si="41">IF(OR($B102=0,H101=0),"",H101/$B102)</f>
        <v/>
      </c>
      <c r="K101" s="881" t="str">
        <f t="shared" ref="K101:K164" si="42">IF(OR($B102=0,J101=0),"",J101/$B102)</f>
        <v/>
      </c>
      <c r="M101" s="881" t="str">
        <f t="shared" ref="M101:M164" si="43">IF(OR($B102=0,L101=0),"",L101/$B102)</f>
        <v/>
      </c>
      <c r="O101" s="881" t="str">
        <f t="shared" ref="O101:O164" si="44">IF(OR($B102=0,N101=0),"",N101/$B102)</f>
        <v/>
      </c>
      <c r="Q101" s="881" t="str">
        <f t="shared" ref="Q101:Q164" si="45">IF(OR($B102=0,P101=0),"",P101/$B102)</f>
        <v/>
      </c>
      <c r="S101" s="881" t="str">
        <f t="shared" ref="S101:S164" si="46">IF(OR($B102=0,R101=0),"",R101/$B102)</f>
        <v/>
      </c>
      <c r="U101" s="881" t="str">
        <f t="shared" ref="U101:U164" si="47">IF(OR($B102=0,T101=0),"",T101/$B102)</f>
        <v/>
      </c>
      <c r="W101" s="881" t="str">
        <f t="shared" ref="W101:W164" si="48">IF(OR($B102=0,V101=0),"",V101/$B102)</f>
        <v/>
      </c>
      <c r="Y101" s="881" t="str">
        <f t="shared" ref="Y101:Y164" si="49">IF(OR($B102=0,X101=0),"",X101/$B102)</f>
        <v/>
      </c>
      <c r="AA101" s="881" t="str">
        <f t="shared" ref="AA101:AA164" si="50">IF(OR($B102=0,Z102=0),"",Z102/$B102)</f>
        <v/>
      </c>
      <c r="AC101" s="881" t="str">
        <f t="shared" ref="AC101:AC164" si="51">IF(OR($B102=0,AB101=0),"",AB101/$B102)</f>
        <v/>
      </c>
      <c r="AE101" s="881" t="str">
        <f t="shared" ref="AE101:AE164" si="52">IF(OR($B102=0,AD101=0),"",AD101/$B102)</f>
        <v/>
      </c>
      <c r="AG101" s="881" t="str">
        <f t="shared" ref="AG101:AG164" si="53">IF(OR($B102=0,AF101=0),"",AF101/$B102)</f>
        <v/>
      </c>
      <c r="AI101" s="881" t="str">
        <f t="shared" ref="AI101:AI164" si="54">IF(OR($B102=0,AH101=0),"",AH101/$B102)</f>
        <v/>
      </c>
      <c r="AK101" s="881" t="str">
        <f t="shared" ref="AK101:AK164" si="55">IF(OR($B102=0,AJ101=0),"",AJ101/$B102)</f>
        <v/>
      </c>
      <c r="AM101" s="881" t="str">
        <f t="shared" ref="AM101:AM164" si="56">IF(OR($B102=0,AL101=0),"",AL101/$B102)</f>
        <v/>
      </c>
      <c r="AO101" s="881" t="str">
        <f t="shared" ref="AO101:AO164" si="57">IF(OR($B102=0,AN101=0),"",AN101/$B102)</f>
        <v/>
      </c>
      <c r="AQ101" s="881" t="str">
        <f t="shared" ref="AQ101:AQ164" si="58">IF(OR($B102=0,AP101=0),"",AP101/$B102)</f>
        <v/>
      </c>
    </row>
    <row r="102" spans="5:43" x14ac:dyDescent="0.2">
      <c r="E102" s="881" t="str">
        <f t="shared" si="39"/>
        <v/>
      </c>
      <c r="G102" s="881" t="str">
        <f t="shared" si="40"/>
        <v/>
      </c>
      <c r="I102" s="881" t="str">
        <f t="shared" si="41"/>
        <v/>
      </c>
      <c r="K102" s="881" t="str">
        <f t="shared" si="42"/>
        <v/>
      </c>
      <c r="M102" s="881" t="str">
        <f t="shared" si="43"/>
        <v/>
      </c>
      <c r="O102" s="881" t="str">
        <f t="shared" si="44"/>
        <v/>
      </c>
      <c r="Q102" s="881" t="str">
        <f t="shared" si="45"/>
        <v/>
      </c>
      <c r="S102" s="881" t="str">
        <f t="shared" si="46"/>
        <v/>
      </c>
      <c r="U102" s="881" t="str">
        <f t="shared" si="47"/>
        <v/>
      </c>
      <c r="W102" s="881" t="str">
        <f t="shared" si="48"/>
        <v/>
      </c>
      <c r="Y102" s="881" t="str">
        <f t="shared" si="49"/>
        <v/>
      </c>
      <c r="AA102" s="881" t="str">
        <f t="shared" si="50"/>
        <v/>
      </c>
      <c r="AC102" s="881" t="str">
        <f t="shared" si="51"/>
        <v/>
      </c>
      <c r="AE102" s="881" t="str">
        <f t="shared" si="52"/>
        <v/>
      </c>
      <c r="AG102" s="881" t="str">
        <f t="shared" si="53"/>
        <v/>
      </c>
      <c r="AI102" s="881" t="str">
        <f t="shared" si="54"/>
        <v/>
      </c>
      <c r="AK102" s="881" t="str">
        <f t="shared" si="55"/>
        <v/>
      </c>
      <c r="AM102" s="881" t="str">
        <f t="shared" si="56"/>
        <v/>
      </c>
      <c r="AO102" s="881" t="str">
        <f t="shared" si="57"/>
        <v/>
      </c>
      <c r="AQ102" s="881" t="str">
        <f t="shared" si="58"/>
        <v/>
      </c>
    </row>
    <row r="103" spans="5:43" x14ac:dyDescent="0.2">
      <c r="E103" s="881" t="str">
        <f t="shared" si="39"/>
        <v/>
      </c>
      <c r="G103" s="881" t="str">
        <f t="shared" si="40"/>
        <v/>
      </c>
      <c r="I103" s="881" t="str">
        <f t="shared" si="41"/>
        <v/>
      </c>
      <c r="K103" s="881" t="str">
        <f t="shared" si="42"/>
        <v/>
      </c>
      <c r="M103" s="881" t="str">
        <f t="shared" si="43"/>
        <v/>
      </c>
      <c r="O103" s="881" t="str">
        <f t="shared" si="44"/>
        <v/>
      </c>
      <c r="Q103" s="881" t="str">
        <f t="shared" si="45"/>
        <v/>
      </c>
      <c r="S103" s="881" t="str">
        <f t="shared" si="46"/>
        <v/>
      </c>
      <c r="U103" s="881" t="str">
        <f t="shared" si="47"/>
        <v/>
      </c>
      <c r="W103" s="881" t="str">
        <f t="shared" si="48"/>
        <v/>
      </c>
      <c r="Y103" s="881" t="str">
        <f t="shared" si="49"/>
        <v/>
      </c>
      <c r="AA103" s="881" t="str">
        <f t="shared" si="50"/>
        <v/>
      </c>
      <c r="AC103" s="881" t="str">
        <f t="shared" si="51"/>
        <v/>
      </c>
      <c r="AE103" s="881" t="str">
        <f t="shared" si="52"/>
        <v/>
      </c>
      <c r="AG103" s="881" t="str">
        <f t="shared" si="53"/>
        <v/>
      </c>
      <c r="AI103" s="881" t="str">
        <f t="shared" si="54"/>
        <v/>
      </c>
      <c r="AK103" s="881" t="str">
        <f t="shared" si="55"/>
        <v/>
      </c>
      <c r="AM103" s="881" t="str">
        <f t="shared" si="56"/>
        <v/>
      </c>
      <c r="AO103" s="881" t="str">
        <f t="shared" si="57"/>
        <v/>
      </c>
      <c r="AQ103" s="881" t="str">
        <f t="shared" si="58"/>
        <v/>
      </c>
    </row>
    <row r="104" spans="5:43" x14ac:dyDescent="0.2">
      <c r="E104" s="881" t="str">
        <f t="shared" si="39"/>
        <v/>
      </c>
      <c r="G104" s="881" t="str">
        <f t="shared" si="40"/>
        <v/>
      </c>
      <c r="I104" s="881" t="str">
        <f t="shared" si="41"/>
        <v/>
      </c>
      <c r="K104" s="881" t="str">
        <f t="shared" si="42"/>
        <v/>
      </c>
      <c r="M104" s="881" t="str">
        <f t="shared" si="43"/>
        <v/>
      </c>
      <c r="O104" s="881" t="str">
        <f t="shared" si="44"/>
        <v/>
      </c>
      <c r="Q104" s="881" t="str">
        <f t="shared" si="45"/>
        <v/>
      </c>
      <c r="S104" s="881" t="str">
        <f t="shared" si="46"/>
        <v/>
      </c>
      <c r="U104" s="881" t="str">
        <f t="shared" si="47"/>
        <v/>
      </c>
      <c r="W104" s="881" t="str">
        <f t="shared" si="48"/>
        <v/>
      </c>
      <c r="Y104" s="881" t="str">
        <f t="shared" si="49"/>
        <v/>
      </c>
      <c r="AA104" s="881" t="str">
        <f t="shared" si="50"/>
        <v/>
      </c>
      <c r="AC104" s="881" t="str">
        <f t="shared" si="51"/>
        <v/>
      </c>
      <c r="AE104" s="881" t="str">
        <f t="shared" si="52"/>
        <v/>
      </c>
      <c r="AG104" s="881" t="str">
        <f t="shared" si="53"/>
        <v/>
      </c>
      <c r="AI104" s="881" t="str">
        <f t="shared" si="54"/>
        <v/>
      </c>
      <c r="AK104" s="881" t="str">
        <f t="shared" si="55"/>
        <v/>
      </c>
      <c r="AM104" s="881" t="str">
        <f t="shared" si="56"/>
        <v/>
      </c>
      <c r="AO104" s="881" t="str">
        <f t="shared" si="57"/>
        <v/>
      </c>
      <c r="AQ104" s="881" t="str">
        <f t="shared" si="58"/>
        <v/>
      </c>
    </row>
    <row r="105" spans="5:43" x14ac:dyDescent="0.2">
      <c r="E105" s="881" t="str">
        <f t="shared" si="39"/>
        <v/>
      </c>
      <c r="G105" s="881" t="str">
        <f t="shared" si="40"/>
        <v/>
      </c>
      <c r="I105" s="881" t="str">
        <f t="shared" si="41"/>
        <v/>
      </c>
      <c r="K105" s="881" t="str">
        <f t="shared" si="42"/>
        <v/>
      </c>
      <c r="M105" s="881" t="str">
        <f t="shared" si="43"/>
        <v/>
      </c>
      <c r="O105" s="881" t="str">
        <f t="shared" si="44"/>
        <v/>
      </c>
      <c r="Q105" s="881" t="str">
        <f t="shared" si="45"/>
        <v/>
      </c>
      <c r="S105" s="881" t="str">
        <f t="shared" si="46"/>
        <v/>
      </c>
      <c r="U105" s="881" t="str">
        <f t="shared" si="47"/>
        <v/>
      </c>
      <c r="W105" s="881" t="str">
        <f t="shared" si="48"/>
        <v/>
      </c>
      <c r="Y105" s="881" t="str">
        <f t="shared" si="49"/>
        <v/>
      </c>
      <c r="AA105" s="881" t="str">
        <f t="shared" si="50"/>
        <v/>
      </c>
      <c r="AC105" s="881" t="str">
        <f t="shared" si="51"/>
        <v/>
      </c>
      <c r="AE105" s="881" t="str">
        <f t="shared" si="52"/>
        <v/>
      </c>
      <c r="AG105" s="881" t="str">
        <f t="shared" si="53"/>
        <v/>
      </c>
      <c r="AI105" s="881" t="str">
        <f t="shared" si="54"/>
        <v/>
      </c>
      <c r="AK105" s="881" t="str">
        <f t="shared" si="55"/>
        <v/>
      </c>
      <c r="AM105" s="881" t="str">
        <f t="shared" si="56"/>
        <v/>
      </c>
      <c r="AO105" s="881" t="str">
        <f t="shared" si="57"/>
        <v/>
      </c>
      <c r="AQ105" s="881" t="str">
        <f t="shared" si="58"/>
        <v/>
      </c>
    </row>
    <row r="106" spans="5:43" x14ac:dyDescent="0.2">
      <c r="E106" s="881" t="str">
        <f t="shared" si="39"/>
        <v/>
      </c>
      <c r="G106" s="881" t="str">
        <f t="shared" si="40"/>
        <v/>
      </c>
      <c r="I106" s="881" t="str">
        <f t="shared" si="41"/>
        <v/>
      </c>
      <c r="K106" s="881" t="str">
        <f t="shared" si="42"/>
        <v/>
      </c>
      <c r="M106" s="881" t="str">
        <f t="shared" si="43"/>
        <v/>
      </c>
      <c r="O106" s="881" t="str">
        <f t="shared" si="44"/>
        <v/>
      </c>
      <c r="Q106" s="881" t="str">
        <f t="shared" si="45"/>
        <v/>
      </c>
      <c r="S106" s="881" t="str">
        <f t="shared" si="46"/>
        <v/>
      </c>
      <c r="U106" s="881" t="str">
        <f t="shared" si="47"/>
        <v/>
      </c>
      <c r="W106" s="881" t="str">
        <f t="shared" si="48"/>
        <v/>
      </c>
      <c r="Y106" s="881" t="str">
        <f t="shared" si="49"/>
        <v/>
      </c>
      <c r="AA106" s="881" t="str">
        <f t="shared" si="50"/>
        <v/>
      </c>
      <c r="AC106" s="881" t="str">
        <f t="shared" si="51"/>
        <v/>
      </c>
      <c r="AE106" s="881" t="str">
        <f t="shared" si="52"/>
        <v/>
      </c>
      <c r="AG106" s="881" t="str">
        <f t="shared" si="53"/>
        <v/>
      </c>
      <c r="AI106" s="881" t="str">
        <f t="shared" si="54"/>
        <v/>
      </c>
      <c r="AK106" s="881" t="str">
        <f t="shared" si="55"/>
        <v/>
      </c>
      <c r="AM106" s="881" t="str">
        <f t="shared" si="56"/>
        <v/>
      </c>
      <c r="AO106" s="881" t="str">
        <f t="shared" si="57"/>
        <v/>
      </c>
      <c r="AQ106" s="881" t="str">
        <f t="shared" si="58"/>
        <v/>
      </c>
    </row>
    <row r="107" spans="5:43" x14ac:dyDescent="0.2">
      <c r="E107" s="881" t="str">
        <f t="shared" si="39"/>
        <v/>
      </c>
      <c r="G107" s="881" t="str">
        <f t="shared" si="40"/>
        <v/>
      </c>
      <c r="I107" s="881" t="str">
        <f t="shared" si="41"/>
        <v/>
      </c>
      <c r="K107" s="881" t="str">
        <f t="shared" si="42"/>
        <v/>
      </c>
      <c r="M107" s="881" t="str">
        <f t="shared" si="43"/>
        <v/>
      </c>
      <c r="O107" s="881" t="str">
        <f t="shared" si="44"/>
        <v/>
      </c>
      <c r="Q107" s="881" t="str">
        <f t="shared" si="45"/>
        <v/>
      </c>
      <c r="S107" s="881" t="str">
        <f t="shared" si="46"/>
        <v/>
      </c>
      <c r="U107" s="881" t="str">
        <f t="shared" si="47"/>
        <v/>
      </c>
      <c r="W107" s="881" t="str">
        <f t="shared" si="48"/>
        <v/>
      </c>
      <c r="Y107" s="881" t="str">
        <f t="shared" si="49"/>
        <v/>
      </c>
      <c r="AA107" s="881" t="str">
        <f t="shared" si="50"/>
        <v/>
      </c>
      <c r="AC107" s="881" t="str">
        <f t="shared" si="51"/>
        <v/>
      </c>
      <c r="AE107" s="881" t="str">
        <f t="shared" si="52"/>
        <v/>
      </c>
      <c r="AG107" s="881" t="str">
        <f t="shared" si="53"/>
        <v/>
      </c>
      <c r="AI107" s="881" t="str">
        <f t="shared" si="54"/>
        <v/>
      </c>
      <c r="AK107" s="881" t="str">
        <f t="shared" si="55"/>
        <v/>
      </c>
      <c r="AM107" s="881" t="str">
        <f t="shared" si="56"/>
        <v/>
      </c>
      <c r="AO107" s="881" t="str">
        <f t="shared" si="57"/>
        <v/>
      </c>
      <c r="AQ107" s="881" t="str">
        <f t="shared" si="58"/>
        <v/>
      </c>
    </row>
    <row r="108" spans="5:43" x14ac:dyDescent="0.2">
      <c r="E108" s="881" t="str">
        <f t="shared" si="39"/>
        <v/>
      </c>
      <c r="G108" s="881" t="str">
        <f t="shared" si="40"/>
        <v/>
      </c>
      <c r="I108" s="881" t="str">
        <f t="shared" si="41"/>
        <v/>
      </c>
      <c r="K108" s="881" t="str">
        <f t="shared" si="42"/>
        <v/>
      </c>
      <c r="M108" s="881" t="str">
        <f t="shared" si="43"/>
        <v/>
      </c>
      <c r="O108" s="881" t="str">
        <f t="shared" si="44"/>
        <v/>
      </c>
      <c r="Q108" s="881" t="str">
        <f t="shared" si="45"/>
        <v/>
      </c>
      <c r="S108" s="881" t="str">
        <f t="shared" si="46"/>
        <v/>
      </c>
      <c r="U108" s="881" t="str">
        <f t="shared" si="47"/>
        <v/>
      </c>
      <c r="W108" s="881" t="str">
        <f t="shared" si="48"/>
        <v/>
      </c>
      <c r="Y108" s="881" t="str">
        <f t="shared" si="49"/>
        <v/>
      </c>
      <c r="AA108" s="881" t="str">
        <f t="shared" si="50"/>
        <v/>
      </c>
      <c r="AC108" s="881" t="str">
        <f t="shared" si="51"/>
        <v/>
      </c>
      <c r="AE108" s="881" t="str">
        <f t="shared" si="52"/>
        <v/>
      </c>
      <c r="AG108" s="881" t="str">
        <f t="shared" si="53"/>
        <v/>
      </c>
      <c r="AI108" s="881" t="str">
        <f t="shared" si="54"/>
        <v/>
      </c>
      <c r="AK108" s="881" t="str">
        <f t="shared" si="55"/>
        <v/>
      </c>
      <c r="AM108" s="881" t="str">
        <f t="shared" si="56"/>
        <v/>
      </c>
      <c r="AO108" s="881" t="str">
        <f t="shared" si="57"/>
        <v/>
      </c>
      <c r="AQ108" s="881" t="str">
        <f t="shared" si="58"/>
        <v/>
      </c>
    </row>
    <row r="109" spans="5:43" x14ac:dyDescent="0.2">
      <c r="E109" s="881" t="str">
        <f t="shared" si="39"/>
        <v/>
      </c>
      <c r="G109" s="881" t="str">
        <f t="shared" si="40"/>
        <v/>
      </c>
      <c r="I109" s="881" t="str">
        <f t="shared" si="41"/>
        <v/>
      </c>
      <c r="K109" s="881" t="str">
        <f t="shared" si="42"/>
        <v/>
      </c>
      <c r="M109" s="881" t="str">
        <f t="shared" si="43"/>
        <v/>
      </c>
      <c r="O109" s="881" t="str">
        <f t="shared" si="44"/>
        <v/>
      </c>
      <c r="Q109" s="881" t="str">
        <f t="shared" si="45"/>
        <v/>
      </c>
      <c r="S109" s="881" t="str">
        <f t="shared" si="46"/>
        <v/>
      </c>
      <c r="U109" s="881" t="str">
        <f t="shared" si="47"/>
        <v/>
      </c>
      <c r="W109" s="881" t="str">
        <f t="shared" si="48"/>
        <v/>
      </c>
      <c r="Y109" s="881" t="str">
        <f t="shared" si="49"/>
        <v/>
      </c>
      <c r="AA109" s="881" t="str">
        <f t="shared" si="50"/>
        <v/>
      </c>
      <c r="AC109" s="881" t="str">
        <f t="shared" si="51"/>
        <v/>
      </c>
      <c r="AE109" s="881" t="str">
        <f t="shared" si="52"/>
        <v/>
      </c>
      <c r="AG109" s="881" t="str">
        <f t="shared" si="53"/>
        <v/>
      </c>
      <c r="AI109" s="881" t="str">
        <f t="shared" si="54"/>
        <v/>
      </c>
      <c r="AK109" s="881" t="str">
        <f t="shared" si="55"/>
        <v/>
      </c>
      <c r="AM109" s="881" t="str">
        <f t="shared" si="56"/>
        <v/>
      </c>
      <c r="AO109" s="881" t="str">
        <f t="shared" si="57"/>
        <v/>
      </c>
      <c r="AQ109" s="881" t="str">
        <f t="shared" si="58"/>
        <v/>
      </c>
    </row>
    <row r="110" spans="5:43" x14ac:dyDescent="0.2">
      <c r="E110" s="881" t="str">
        <f t="shared" si="39"/>
        <v/>
      </c>
      <c r="G110" s="881" t="str">
        <f t="shared" si="40"/>
        <v/>
      </c>
      <c r="I110" s="881" t="str">
        <f t="shared" si="41"/>
        <v/>
      </c>
      <c r="K110" s="881" t="str">
        <f t="shared" si="42"/>
        <v/>
      </c>
      <c r="M110" s="881" t="str">
        <f t="shared" si="43"/>
        <v/>
      </c>
      <c r="O110" s="881" t="str">
        <f t="shared" si="44"/>
        <v/>
      </c>
      <c r="Q110" s="881" t="str">
        <f t="shared" si="45"/>
        <v/>
      </c>
      <c r="S110" s="881" t="str">
        <f t="shared" si="46"/>
        <v/>
      </c>
      <c r="U110" s="881" t="str">
        <f t="shared" si="47"/>
        <v/>
      </c>
      <c r="W110" s="881" t="str">
        <f t="shared" si="48"/>
        <v/>
      </c>
      <c r="Y110" s="881" t="str">
        <f t="shared" si="49"/>
        <v/>
      </c>
      <c r="AA110" s="881" t="str">
        <f t="shared" si="50"/>
        <v/>
      </c>
      <c r="AC110" s="881" t="str">
        <f t="shared" si="51"/>
        <v/>
      </c>
      <c r="AE110" s="881" t="str">
        <f t="shared" si="52"/>
        <v/>
      </c>
      <c r="AG110" s="881" t="str">
        <f t="shared" si="53"/>
        <v/>
      </c>
      <c r="AI110" s="881" t="str">
        <f t="shared" si="54"/>
        <v/>
      </c>
      <c r="AK110" s="881" t="str">
        <f t="shared" si="55"/>
        <v/>
      </c>
      <c r="AM110" s="881" t="str">
        <f t="shared" si="56"/>
        <v/>
      </c>
      <c r="AO110" s="881" t="str">
        <f t="shared" si="57"/>
        <v/>
      </c>
      <c r="AQ110" s="881" t="str">
        <f t="shared" si="58"/>
        <v/>
      </c>
    </row>
    <row r="111" spans="5:43" x14ac:dyDescent="0.2">
      <c r="E111" s="881" t="str">
        <f t="shared" si="39"/>
        <v/>
      </c>
      <c r="G111" s="881" t="str">
        <f t="shared" si="40"/>
        <v/>
      </c>
      <c r="I111" s="881" t="str">
        <f t="shared" si="41"/>
        <v/>
      </c>
      <c r="K111" s="881" t="str">
        <f t="shared" si="42"/>
        <v/>
      </c>
      <c r="M111" s="881" t="str">
        <f t="shared" si="43"/>
        <v/>
      </c>
      <c r="O111" s="881" t="str">
        <f t="shared" si="44"/>
        <v/>
      </c>
      <c r="Q111" s="881" t="str">
        <f t="shared" si="45"/>
        <v/>
      </c>
      <c r="S111" s="881" t="str">
        <f t="shared" si="46"/>
        <v/>
      </c>
      <c r="U111" s="881" t="str">
        <f t="shared" si="47"/>
        <v/>
      </c>
      <c r="W111" s="881" t="str">
        <f t="shared" si="48"/>
        <v/>
      </c>
      <c r="Y111" s="881" t="str">
        <f t="shared" si="49"/>
        <v/>
      </c>
      <c r="AA111" s="881" t="str">
        <f t="shared" si="50"/>
        <v/>
      </c>
      <c r="AC111" s="881" t="str">
        <f t="shared" si="51"/>
        <v/>
      </c>
      <c r="AE111" s="881" t="str">
        <f t="shared" si="52"/>
        <v/>
      </c>
      <c r="AG111" s="881" t="str">
        <f t="shared" si="53"/>
        <v/>
      </c>
      <c r="AI111" s="881" t="str">
        <f t="shared" si="54"/>
        <v/>
      </c>
      <c r="AK111" s="881" t="str">
        <f t="shared" si="55"/>
        <v/>
      </c>
      <c r="AM111" s="881" t="str">
        <f t="shared" si="56"/>
        <v/>
      </c>
      <c r="AO111" s="881" t="str">
        <f t="shared" si="57"/>
        <v/>
      </c>
      <c r="AQ111" s="881" t="str">
        <f t="shared" si="58"/>
        <v/>
      </c>
    </row>
    <row r="112" spans="5:43" x14ac:dyDescent="0.2">
      <c r="E112" s="881" t="str">
        <f t="shared" si="39"/>
        <v/>
      </c>
      <c r="G112" s="881" t="str">
        <f t="shared" si="40"/>
        <v/>
      </c>
      <c r="I112" s="881" t="str">
        <f t="shared" si="41"/>
        <v/>
      </c>
      <c r="K112" s="881" t="str">
        <f t="shared" si="42"/>
        <v/>
      </c>
      <c r="M112" s="881" t="str">
        <f t="shared" si="43"/>
        <v/>
      </c>
      <c r="O112" s="881" t="str">
        <f t="shared" si="44"/>
        <v/>
      </c>
      <c r="Q112" s="881" t="str">
        <f t="shared" si="45"/>
        <v/>
      </c>
      <c r="S112" s="881" t="str">
        <f t="shared" si="46"/>
        <v/>
      </c>
      <c r="U112" s="881" t="str">
        <f t="shared" si="47"/>
        <v/>
      </c>
      <c r="W112" s="881" t="str">
        <f t="shared" si="48"/>
        <v/>
      </c>
      <c r="Y112" s="881" t="str">
        <f t="shared" si="49"/>
        <v/>
      </c>
      <c r="AA112" s="881" t="str">
        <f t="shared" si="50"/>
        <v/>
      </c>
      <c r="AC112" s="881" t="str">
        <f t="shared" si="51"/>
        <v/>
      </c>
      <c r="AE112" s="881" t="str">
        <f t="shared" si="52"/>
        <v/>
      </c>
      <c r="AG112" s="881" t="str">
        <f t="shared" si="53"/>
        <v/>
      </c>
      <c r="AI112" s="881" t="str">
        <f t="shared" si="54"/>
        <v/>
      </c>
      <c r="AK112" s="881" t="str">
        <f t="shared" si="55"/>
        <v/>
      </c>
      <c r="AM112" s="881" t="str">
        <f t="shared" si="56"/>
        <v/>
      </c>
      <c r="AO112" s="881" t="str">
        <f t="shared" si="57"/>
        <v/>
      </c>
      <c r="AQ112" s="881" t="str">
        <f t="shared" si="58"/>
        <v/>
      </c>
    </row>
    <row r="113" spans="5:43" x14ac:dyDescent="0.2">
      <c r="E113" s="881" t="str">
        <f t="shared" si="39"/>
        <v/>
      </c>
      <c r="G113" s="881" t="str">
        <f t="shared" si="40"/>
        <v/>
      </c>
      <c r="I113" s="881" t="str">
        <f t="shared" si="41"/>
        <v/>
      </c>
      <c r="K113" s="881" t="str">
        <f t="shared" si="42"/>
        <v/>
      </c>
      <c r="M113" s="881" t="str">
        <f t="shared" si="43"/>
        <v/>
      </c>
      <c r="O113" s="881" t="str">
        <f t="shared" si="44"/>
        <v/>
      </c>
      <c r="Q113" s="881" t="str">
        <f t="shared" si="45"/>
        <v/>
      </c>
      <c r="S113" s="881" t="str">
        <f t="shared" si="46"/>
        <v/>
      </c>
      <c r="U113" s="881" t="str">
        <f t="shared" si="47"/>
        <v/>
      </c>
      <c r="W113" s="881" t="str">
        <f t="shared" si="48"/>
        <v/>
      </c>
      <c r="Y113" s="881" t="str">
        <f t="shared" si="49"/>
        <v/>
      </c>
      <c r="AA113" s="881" t="str">
        <f t="shared" si="50"/>
        <v/>
      </c>
      <c r="AC113" s="881" t="str">
        <f t="shared" si="51"/>
        <v/>
      </c>
      <c r="AE113" s="881" t="str">
        <f t="shared" si="52"/>
        <v/>
      </c>
      <c r="AG113" s="881" t="str">
        <f t="shared" si="53"/>
        <v/>
      </c>
      <c r="AI113" s="881" t="str">
        <f t="shared" si="54"/>
        <v/>
      </c>
      <c r="AK113" s="881" t="str">
        <f t="shared" si="55"/>
        <v/>
      </c>
      <c r="AM113" s="881" t="str">
        <f t="shared" si="56"/>
        <v/>
      </c>
      <c r="AO113" s="881" t="str">
        <f t="shared" si="57"/>
        <v/>
      </c>
      <c r="AQ113" s="881" t="str">
        <f t="shared" si="58"/>
        <v/>
      </c>
    </row>
    <row r="114" spans="5:43" x14ac:dyDescent="0.2">
      <c r="E114" s="881" t="str">
        <f t="shared" si="39"/>
        <v/>
      </c>
      <c r="G114" s="881" t="str">
        <f t="shared" si="40"/>
        <v/>
      </c>
      <c r="I114" s="881" t="str">
        <f t="shared" si="41"/>
        <v/>
      </c>
      <c r="K114" s="881" t="str">
        <f t="shared" si="42"/>
        <v/>
      </c>
      <c r="M114" s="881" t="str">
        <f t="shared" si="43"/>
        <v/>
      </c>
      <c r="O114" s="881" t="str">
        <f t="shared" si="44"/>
        <v/>
      </c>
      <c r="Q114" s="881" t="str">
        <f t="shared" si="45"/>
        <v/>
      </c>
      <c r="S114" s="881" t="str">
        <f t="shared" si="46"/>
        <v/>
      </c>
      <c r="U114" s="881" t="str">
        <f t="shared" si="47"/>
        <v/>
      </c>
      <c r="W114" s="881" t="str">
        <f t="shared" si="48"/>
        <v/>
      </c>
      <c r="Y114" s="881" t="str">
        <f t="shared" si="49"/>
        <v/>
      </c>
      <c r="AA114" s="881" t="str">
        <f t="shared" si="50"/>
        <v/>
      </c>
      <c r="AC114" s="881" t="str">
        <f t="shared" si="51"/>
        <v/>
      </c>
      <c r="AE114" s="881" t="str">
        <f t="shared" si="52"/>
        <v/>
      </c>
      <c r="AG114" s="881" t="str">
        <f t="shared" si="53"/>
        <v/>
      </c>
      <c r="AI114" s="881" t="str">
        <f t="shared" si="54"/>
        <v/>
      </c>
      <c r="AK114" s="881" t="str">
        <f t="shared" si="55"/>
        <v/>
      </c>
      <c r="AM114" s="881" t="str">
        <f t="shared" si="56"/>
        <v/>
      </c>
      <c r="AO114" s="881" t="str">
        <f t="shared" si="57"/>
        <v/>
      </c>
      <c r="AQ114" s="881" t="str">
        <f t="shared" si="58"/>
        <v/>
      </c>
    </row>
    <row r="115" spans="5:43" x14ac:dyDescent="0.2">
      <c r="E115" s="881" t="str">
        <f t="shared" si="39"/>
        <v/>
      </c>
      <c r="G115" s="881" t="str">
        <f t="shared" si="40"/>
        <v/>
      </c>
      <c r="I115" s="881" t="str">
        <f t="shared" si="41"/>
        <v/>
      </c>
      <c r="K115" s="881" t="str">
        <f t="shared" si="42"/>
        <v/>
      </c>
      <c r="M115" s="881" t="str">
        <f t="shared" si="43"/>
        <v/>
      </c>
      <c r="O115" s="881" t="str">
        <f t="shared" si="44"/>
        <v/>
      </c>
      <c r="Q115" s="881" t="str">
        <f t="shared" si="45"/>
        <v/>
      </c>
      <c r="S115" s="881" t="str">
        <f t="shared" si="46"/>
        <v/>
      </c>
      <c r="U115" s="881" t="str">
        <f t="shared" si="47"/>
        <v/>
      </c>
      <c r="W115" s="881" t="str">
        <f t="shared" si="48"/>
        <v/>
      </c>
      <c r="Y115" s="881" t="str">
        <f t="shared" si="49"/>
        <v/>
      </c>
      <c r="AA115" s="881" t="str">
        <f t="shared" si="50"/>
        <v/>
      </c>
      <c r="AC115" s="881" t="str">
        <f t="shared" si="51"/>
        <v/>
      </c>
      <c r="AE115" s="881" t="str">
        <f t="shared" si="52"/>
        <v/>
      </c>
      <c r="AG115" s="881" t="str">
        <f t="shared" si="53"/>
        <v/>
      </c>
      <c r="AI115" s="881" t="str">
        <f t="shared" si="54"/>
        <v/>
      </c>
      <c r="AK115" s="881" t="str">
        <f t="shared" si="55"/>
        <v/>
      </c>
      <c r="AM115" s="881" t="str">
        <f t="shared" si="56"/>
        <v/>
      </c>
      <c r="AO115" s="881" t="str">
        <f t="shared" si="57"/>
        <v/>
      </c>
      <c r="AQ115" s="881" t="str">
        <f t="shared" si="58"/>
        <v/>
      </c>
    </row>
    <row r="116" spans="5:43" x14ac:dyDescent="0.2">
      <c r="E116" s="881" t="str">
        <f t="shared" si="39"/>
        <v/>
      </c>
      <c r="G116" s="881" t="str">
        <f t="shared" si="40"/>
        <v/>
      </c>
      <c r="I116" s="881" t="str">
        <f t="shared" si="41"/>
        <v/>
      </c>
      <c r="K116" s="881" t="str">
        <f t="shared" si="42"/>
        <v/>
      </c>
      <c r="M116" s="881" t="str">
        <f t="shared" si="43"/>
        <v/>
      </c>
      <c r="O116" s="881" t="str">
        <f t="shared" si="44"/>
        <v/>
      </c>
      <c r="Q116" s="881" t="str">
        <f t="shared" si="45"/>
        <v/>
      </c>
      <c r="S116" s="881" t="str">
        <f t="shared" si="46"/>
        <v/>
      </c>
      <c r="U116" s="881" t="str">
        <f t="shared" si="47"/>
        <v/>
      </c>
      <c r="W116" s="881" t="str">
        <f t="shared" si="48"/>
        <v/>
      </c>
      <c r="Y116" s="881" t="str">
        <f t="shared" si="49"/>
        <v/>
      </c>
      <c r="AA116" s="881" t="str">
        <f t="shared" si="50"/>
        <v/>
      </c>
      <c r="AC116" s="881" t="str">
        <f t="shared" si="51"/>
        <v/>
      </c>
      <c r="AE116" s="881" t="str">
        <f t="shared" si="52"/>
        <v/>
      </c>
      <c r="AG116" s="881" t="str">
        <f t="shared" si="53"/>
        <v/>
      </c>
      <c r="AI116" s="881" t="str">
        <f t="shared" si="54"/>
        <v/>
      </c>
      <c r="AK116" s="881" t="str">
        <f t="shared" si="55"/>
        <v/>
      </c>
      <c r="AM116" s="881" t="str">
        <f t="shared" si="56"/>
        <v/>
      </c>
      <c r="AO116" s="881" t="str">
        <f t="shared" si="57"/>
        <v/>
      </c>
      <c r="AQ116" s="881" t="str">
        <f t="shared" si="58"/>
        <v/>
      </c>
    </row>
    <row r="117" spans="5:43" x14ac:dyDescent="0.2">
      <c r="E117" s="881" t="str">
        <f t="shared" si="39"/>
        <v/>
      </c>
      <c r="G117" s="881" t="str">
        <f t="shared" si="40"/>
        <v/>
      </c>
      <c r="I117" s="881" t="str">
        <f t="shared" si="41"/>
        <v/>
      </c>
      <c r="K117" s="881" t="str">
        <f t="shared" si="42"/>
        <v/>
      </c>
      <c r="M117" s="881" t="str">
        <f t="shared" si="43"/>
        <v/>
      </c>
      <c r="O117" s="881" t="str">
        <f t="shared" si="44"/>
        <v/>
      </c>
      <c r="Q117" s="881" t="str">
        <f t="shared" si="45"/>
        <v/>
      </c>
      <c r="S117" s="881" t="str">
        <f t="shared" si="46"/>
        <v/>
      </c>
      <c r="U117" s="881" t="str">
        <f t="shared" si="47"/>
        <v/>
      </c>
      <c r="W117" s="881" t="str">
        <f t="shared" si="48"/>
        <v/>
      </c>
      <c r="Y117" s="881" t="str">
        <f t="shared" si="49"/>
        <v/>
      </c>
      <c r="AA117" s="881" t="str">
        <f t="shared" si="50"/>
        <v/>
      </c>
      <c r="AC117" s="881" t="str">
        <f t="shared" si="51"/>
        <v/>
      </c>
      <c r="AE117" s="881" t="str">
        <f t="shared" si="52"/>
        <v/>
      </c>
      <c r="AG117" s="881" t="str">
        <f t="shared" si="53"/>
        <v/>
      </c>
      <c r="AI117" s="881" t="str">
        <f t="shared" si="54"/>
        <v/>
      </c>
      <c r="AK117" s="881" t="str">
        <f t="shared" si="55"/>
        <v/>
      </c>
      <c r="AM117" s="881" t="str">
        <f t="shared" si="56"/>
        <v/>
      </c>
      <c r="AO117" s="881" t="str">
        <f t="shared" si="57"/>
        <v/>
      </c>
      <c r="AQ117" s="881" t="str">
        <f t="shared" si="58"/>
        <v/>
      </c>
    </row>
    <row r="118" spans="5:43" x14ac:dyDescent="0.2">
      <c r="E118" s="881" t="str">
        <f t="shared" si="39"/>
        <v/>
      </c>
      <c r="G118" s="881" t="str">
        <f t="shared" si="40"/>
        <v/>
      </c>
      <c r="I118" s="881" t="str">
        <f t="shared" si="41"/>
        <v/>
      </c>
      <c r="K118" s="881" t="str">
        <f t="shared" si="42"/>
        <v/>
      </c>
      <c r="M118" s="881" t="str">
        <f t="shared" si="43"/>
        <v/>
      </c>
      <c r="O118" s="881" t="str">
        <f t="shared" si="44"/>
        <v/>
      </c>
      <c r="Q118" s="881" t="str">
        <f t="shared" si="45"/>
        <v/>
      </c>
      <c r="S118" s="881" t="str">
        <f t="shared" si="46"/>
        <v/>
      </c>
      <c r="U118" s="881" t="str">
        <f t="shared" si="47"/>
        <v/>
      </c>
      <c r="W118" s="881" t="str">
        <f t="shared" si="48"/>
        <v/>
      </c>
      <c r="Y118" s="881" t="str">
        <f t="shared" si="49"/>
        <v/>
      </c>
      <c r="AA118" s="881" t="str">
        <f t="shared" si="50"/>
        <v/>
      </c>
      <c r="AC118" s="881" t="str">
        <f t="shared" si="51"/>
        <v/>
      </c>
      <c r="AE118" s="881" t="str">
        <f t="shared" si="52"/>
        <v/>
      </c>
      <c r="AG118" s="881" t="str">
        <f t="shared" si="53"/>
        <v/>
      </c>
      <c r="AI118" s="881" t="str">
        <f t="shared" si="54"/>
        <v/>
      </c>
      <c r="AK118" s="881" t="str">
        <f t="shared" si="55"/>
        <v/>
      </c>
      <c r="AM118" s="881" t="str">
        <f t="shared" si="56"/>
        <v/>
      </c>
      <c r="AO118" s="881" t="str">
        <f t="shared" si="57"/>
        <v/>
      </c>
      <c r="AQ118" s="881" t="str">
        <f t="shared" si="58"/>
        <v/>
      </c>
    </row>
    <row r="119" spans="5:43" x14ac:dyDescent="0.2">
      <c r="E119" s="881" t="str">
        <f t="shared" si="39"/>
        <v/>
      </c>
      <c r="G119" s="881" t="str">
        <f t="shared" si="40"/>
        <v/>
      </c>
      <c r="I119" s="881" t="str">
        <f t="shared" si="41"/>
        <v/>
      </c>
      <c r="K119" s="881" t="str">
        <f t="shared" si="42"/>
        <v/>
      </c>
      <c r="M119" s="881" t="str">
        <f t="shared" si="43"/>
        <v/>
      </c>
      <c r="O119" s="881" t="str">
        <f t="shared" si="44"/>
        <v/>
      </c>
      <c r="Q119" s="881" t="str">
        <f t="shared" si="45"/>
        <v/>
      </c>
      <c r="S119" s="881" t="str">
        <f t="shared" si="46"/>
        <v/>
      </c>
      <c r="U119" s="881" t="str">
        <f t="shared" si="47"/>
        <v/>
      </c>
      <c r="W119" s="881" t="str">
        <f t="shared" si="48"/>
        <v/>
      </c>
      <c r="Y119" s="881" t="str">
        <f t="shared" si="49"/>
        <v/>
      </c>
      <c r="AA119" s="881" t="str">
        <f t="shared" si="50"/>
        <v/>
      </c>
      <c r="AC119" s="881" t="str">
        <f t="shared" si="51"/>
        <v/>
      </c>
      <c r="AE119" s="881" t="str">
        <f t="shared" si="52"/>
        <v/>
      </c>
      <c r="AG119" s="881" t="str">
        <f t="shared" si="53"/>
        <v/>
      </c>
      <c r="AI119" s="881" t="str">
        <f t="shared" si="54"/>
        <v/>
      </c>
      <c r="AK119" s="881" t="str">
        <f t="shared" si="55"/>
        <v/>
      </c>
      <c r="AM119" s="881" t="str">
        <f t="shared" si="56"/>
        <v/>
      </c>
      <c r="AO119" s="881" t="str">
        <f t="shared" si="57"/>
        <v/>
      </c>
      <c r="AQ119" s="881" t="str">
        <f t="shared" si="58"/>
        <v/>
      </c>
    </row>
    <row r="120" spans="5:43" x14ac:dyDescent="0.2">
      <c r="E120" s="881" t="str">
        <f t="shared" si="39"/>
        <v/>
      </c>
      <c r="G120" s="881" t="str">
        <f t="shared" si="40"/>
        <v/>
      </c>
      <c r="I120" s="881" t="str">
        <f t="shared" si="41"/>
        <v/>
      </c>
      <c r="K120" s="881" t="str">
        <f t="shared" si="42"/>
        <v/>
      </c>
      <c r="M120" s="881" t="str">
        <f t="shared" si="43"/>
        <v/>
      </c>
      <c r="O120" s="881" t="str">
        <f t="shared" si="44"/>
        <v/>
      </c>
      <c r="Q120" s="881" t="str">
        <f t="shared" si="45"/>
        <v/>
      </c>
      <c r="S120" s="881" t="str">
        <f t="shared" si="46"/>
        <v/>
      </c>
      <c r="U120" s="881" t="str">
        <f t="shared" si="47"/>
        <v/>
      </c>
      <c r="W120" s="881" t="str">
        <f t="shared" si="48"/>
        <v/>
      </c>
      <c r="Y120" s="881" t="str">
        <f t="shared" si="49"/>
        <v/>
      </c>
      <c r="AA120" s="881" t="str">
        <f t="shared" si="50"/>
        <v/>
      </c>
      <c r="AC120" s="881" t="str">
        <f t="shared" si="51"/>
        <v/>
      </c>
      <c r="AE120" s="881" t="str">
        <f t="shared" si="52"/>
        <v/>
      </c>
      <c r="AG120" s="881" t="str">
        <f t="shared" si="53"/>
        <v/>
      </c>
      <c r="AI120" s="881" t="str">
        <f t="shared" si="54"/>
        <v/>
      </c>
      <c r="AK120" s="881" t="str">
        <f t="shared" si="55"/>
        <v/>
      </c>
      <c r="AM120" s="881" t="str">
        <f t="shared" si="56"/>
        <v/>
      </c>
      <c r="AO120" s="881" t="str">
        <f t="shared" si="57"/>
        <v/>
      </c>
      <c r="AQ120" s="881" t="str">
        <f t="shared" si="58"/>
        <v/>
      </c>
    </row>
    <row r="121" spans="5:43" x14ac:dyDescent="0.2">
      <c r="E121" s="881" t="str">
        <f t="shared" si="39"/>
        <v/>
      </c>
      <c r="G121" s="881" t="str">
        <f t="shared" si="40"/>
        <v/>
      </c>
      <c r="I121" s="881" t="str">
        <f t="shared" si="41"/>
        <v/>
      </c>
      <c r="K121" s="881" t="str">
        <f t="shared" si="42"/>
        <v/>
      </c>
      <c r="M121" s="881" t="str">
        <f t="shared" si="43"/>
        <v/>
      </c>
      <c r="O121" s="881" t="str">
        <f t="shared" si="44"/>
        <v/>
      </c>
      <c r="Q121" s="881" t="str">
        <f t="shared" si="45"/>
        <v/>
      </c>
      <c r="S121" s="881" t="str">
        <f t="shared" si="46"/>
        <v/>
      </c>
      <c r="U121" s="881" t="str">
        <f t="shared" si="47"/>
        <v/>
      </c>
      <c r="W121" s="881" t="str">
        <f t="shared" si="48"/>
        <v/>
      </c>
      <c r="Y121" s="881" t="str">
        <f t="shared" si="49"/>
        <v/>
      </c>
      <c r="AA121" s="881" t="str">
        <f t="shared" si="50"/>
        <v/>
      </c>
      <c r="AC121" s="881" t="str">
        <f t="shared" si="51"/>
        <v/>
      </c>
      <c r="AE121" s="881" t="str">
        <f t="shared" si="52"/>
        <v/>
      </c>
      <c r="AG121" s="881" t="str">
        <f t="shared" si="53"/>
        <v/>
      </c>
      <c r="AI121" s="881" t="str">
        <f t="shared" si="54"/>
        <v/>
      </c>
      <c r="AK121" s="881" t="str">
        <f t="shared" si="55"/>
        <v/>
      </c>
      <c r="AM121" s="881" t="str">
        <f t="shared" si="56"/>
        <v/>
      </c>
      <c r="AO121" s="881" t="str">
        <f t="shared" si="57"/>
        <v/>
      </c>
      <c r="AQ121" s="881" t="str">
        <f t="shared" si="58"/>
        <v/>
      </c>
    </row>
    <row r="122" spans="5:43" x14ac:dyDescent="0.2">
      <c r="E122" s="881" t="str">
        <f t="shared" si="39"/>
        <v/>
      </c>
      <c r="G122" s="881" t="str">
        <f t="shared" si="40"/>
        <v/>
      </c>
      <c r="I122" s="881" t="str">
        <f t="shared" si="41"/>
        <v/>
      </c>
      <c r="K122" s="881" t="str">
        <f t="shared" si="42"/>
        <v/>
      </c>
      <c r="M122" s="881" t="str">
        <f t="shared" si="43"/>
        <v/>
      </c>
      <c r="O122" s="881" t="str">
        <f t="shared" si="44"/>
        <v/>
      </c>
      <c r="Q122" s="881" t="str">
        <f t="shared" si="45"/>
        <v/>
      </c>
      <c r="S122" s="881" t="str">
        <f t="shared" si="46"/>
        <v/>
      </c>
      <c r="U122" s="881" t="str">
        <f t="shared" si="47"/>
        <v/>
      </c>
      <c r="W122" s="881" t="str">
        <f t="shared" si="48"/>
        <v/>
      </c>
      <c r="Y122" s="881" t="str">
        <f t="shared" si="49"/>
        <v/>
      </c>
      <c r="AA122" s="881" t="str">
        <f t="shared" si="50"/>
        <v/>
      </c>
      <c r="AC122" s="881" t="str">
        <f t="shared" si="51"/>
        <v/>
      </c>
      <c r="AE122" s="881" t="str">
        <f t="shared" si="52"/>
        <v/>
      </c>
      <c r="AG122" s="881" t="str">
        <f t="shared" si="53"/>
        <v/>
      </c>
      <c r="AI122" s="881" t="str">
        <f t="shared" si="54"/>
        <v/>
      </c>
      <c r="AK122" s="881" t="str">
        <f t="shared" si="55"/>
        <v/>
      </c>
      <c r="AM122" s="881" t="str">
        <f t="shared" si="56"/>
        <v/>
      </c>
      <c r="AO122" s="881" t="str">
        <f t="shared" si="57"/>
        <v/>
      </c>
      <c r="AQ122" s="881" t="str">
        <f t="shared" si="58"/>
        <v/>
      </c>
    </row>
    <row r="123" spans="5:43" x14ac:dyDescent="0.2">
      <c r="E123" s="881" t="str">
        <f t="shared" si="39"/>
        <v/>
      </c>
      <c r="G123" s="881" t="str">
        <f t="shared" si="40"/>
        <v/>
      </c>
      <c r="I123" s="881" t="str">
        <f t="shared" si="41"/>
        <v/>
      </c>
      <c r="K123" s="881" t="str">
        <f t="shared" si="42"/>
        <v/>
      </c>
      <c r="M123" s="881" t="str">
        <f t="shared" si="43"/>
        <v/>
      </c>
      <c r="O123" s="881" t="str">
        <f t="shared" si="44"/>
        <v/>
      </c>
      <c r="Q123" s="881" t="str">
        <f t="shared" si="45"/>
        <v/>
      </c>
      <c r="S123" s="881" t="str">
        <f t="shared" si="46"/>
        <v/>
      </c>
      <c r="U123" s="881" t="str">
        <f t="shared" si="47"/>
        <v/>
      </c>
      <c r="W123" s="881" t="str">
        <f t="shared" si="48"/>
        <v/>
      </c>
      <c r="Y123" s="881" t="str">
        <f t="shared" si="49"/>
        <v/>
      </c>
      <c r="AA123" s="881" t="str">
        <f t="shared" si="50"/>
        <v/>
      </c>
      <c r="AC123" s="881" t="str">
        <f t="shared" si="51"/>
        <v/>
      </c>
      <c r="AE123" s="881" t="str">
        <f t="shared" si="52"/>
        <v/>
      </c>
      <c r="AG123" s="881" t="str">
        <f t="shared" si="53"/>
        <v/>
      </c>
      <c r="AI123" s="881" t="str">
        <f t="shared" si="54"/>
        <v/>
      </c>
      <c r="AK123" s="881" t="str">
        <f t="shared" si="55"/>
        <v/>
      </c>
      <c r="AM123" s="881" t="str">
        <f t="shared" si="56"/>
        <v/>
      </c>
      <c r="AO123" s="881" t="str">
        <f t="shared" si="57"/>
        <v/>
      </c>
      <c r="AQ123" s="881" t="str">
        <f t="shared" si="58"/>
        <v/>
      </c>
    </row>
    <row r="124" spans="5:43" x14ac:dyDescent="0.2">
      <c r="E124" s="881" t="str">
        <f t="shared" si="39"/>
        <v/>
      </c>
      <c r="G124" s="881" t="str">
        <f t="shared" si="40"/>
        <v/>
      </c>
      <c r="I124" s="881" t="str">
        <f t="shared" si="41"/>
        <v/>
      </c>
      <c r="K124" s="881" t="str">
        <f t="shared" si="42"/>
        <v/>
      </c>
      <c r="M124" s="881" t="str">
        <f t="shared" si="43"/>
        <v/>
      </c>
      <c r="O124" s="881" t="str">
        <f t="shared" si="44"/>
        <v/>
      </c>
      <c r="Q124" s="881" t="str">
        <f t="shared" si="45"/>
        <v/>
      </c>
      <c r="S124" s="881" t="str">
        <f t="shared" si="46"/>
        <v/>
      </c>
      <c r="U124" s="881" t="str">
        <f t="shared" si="47"/>
        <v/>
      </c>
      <c r="W124" s="881" t="str">
        <f t="shared" si="48"/>
        <v/>
      </c>
      <c r="Y124" s="881" t="str">
        <f t="shared" si="49"/>
        <v/>
      </c>
      <c r="AA124" s="881" t="str">
        <f t="shared" si="50"/>
        <v/>
      </c>
      <c r="AC124" s="881" t="str">
        <f t="shared" si="51"/>
        <v/>
      </c>
      <c r="AE124" s="881" t="str">
        <f t="shared" si="52"/>
        <v/>
      </c>
      <c r="AG124" s="881" t="str">
        <f t="shared" si="53"/>
        <v/>
      </c>
      <c r="AI124" s="881" t="str">
        <f t="shared" si="54"/>
        <v/>
      </c>
      <c r="AK124" s="881" t="str">
        <f t="shared" si="55"/>
        <v/>
      </c>
      <c r="AM124" s="881" t="str">
        <f t="shared" si="56"/>
        <v/>
      </c>
      <c r="AO124" s="881" t="str">
        <f t="shared" si="57"/>
        <v/>
      </c>
      <c r="AQ124" s="881" t="str">
        <f t="shared" si="58"/>
        <v/>
      </c>
    </row>
    <row r="125" spans="5:43" x14ac:dyDescent="0.2">
      <c r="E125" s="881" t="str">
        <f t="shared" si="39"/>
        <v/>
      </c>
      <c r="G125" s="881" t="str">
        <f t="shared" si="40"/>
        <v/>
      </c>
      <c r="I125" s="881" t="str">
        <f t="shared" si="41"/>
        <v/>
      </c>
      <c r="K125" s="881" t="str">
        <f t="shared" si="42"/>
        <v/>
      </c>
      <c r="M125" s="881" t="str">
        <f t="shared" si="43"/>
        <v/>
      </c>
      <c r="O125" s="881" t="str">
        <f t="shared" si="44"/>
        <v/>
      </c>
      <c r="Q125" s="881" t="str">
        <f t="shared" si="45"/>
        <v/>
      </c>
      <c r="S125" s="881" t="str">
        <f t="shared" si="46"/>
        <v/>
      </c>
      <c r="U125" s="881" t="str">
        <f t="shared" si="47"/>
        <v/>
      </c>
      <c r="W125" s="881" t="str">
        <f t="shared" si="48"/>
        <v/>
      </c>
      <c r="Y125" s="881" t="str">
        <f t="shared" si="49"/>
        <v/>
      </c>
      <c r="AA125" s="881" t="str">
        <f t="shared" si="50"/>
        <v/>
      </c>
      <c r="AC125" s="881" t="str">
        <f t="shared" si="51"/>
        <v/>
      </c>
      <c r="AE125" s="881" t="str">
        <f t="shared" si="52"/>
        <v/>
      </c>
      <c r="AG125" s="881" t="str">
        <f t="shared" si="53"/>
        <v/>
      </c>
      <c r="AI125" s="881" t="str">
        <f t="shared" si="54"/>
        <v/>
      </c>
      <c r="AK125" s="881" t="str">
        <f t="shared" si="55"/>
        <v/>
      </c>
      <c r="AM125" s="881" t="str">
        <f t="shared" si="56"/>
        <v/>
      </c>
      <c r="AO125" s="881" t="str">
        <f t="shared" si="57"/>
        <v/>
      </c>
      <c r="AQ125" s="881" t="str">
        <f t="shared" si="58"/>
        <v/>
      </c>
    </row>
    <row r="126" spans="5:43" x14ac:dyDescent="0.2">
      <c r="E126" s="881" t="str">
        <f t="shared" si="39"/>
        <v/>
      </c>
      <c r="G126" s="881" t="str">
        <f t="shared" si="40"/>
        <v/>
      </c>
      <c r="I126" s="881" t="str">
        <f t="shared" si="41"/>
        <v/>
      </c>
      <c r="K126" s="881" t="str">
        <f t="shared" si="42"/>
        <v/>
      </c>
      <c r="M126" s="881" t="str">
        <f t="shared" si="43"/>
        <v/>
      </c>
      <c r="O126" s="881" t="str">
        <f t="shared" si="44"/>
        <v/>
      </c>
      <c r="Q126" s="881" t="str">
        <f t="shared" si="45"/>
        <v/>
      </c>
      <c r="S126" s="881" t="str">
        <f t="shared" si="46"/>
        <v/>
      </c>
      <c r="U126" s="881" t="str">
        <f t="shared" si="47"/>
        <v/>
      </c>
      <c r="W126" s="881" t="str">
        <f t="shared" si="48"/>
        <v/>
      </c>
      <c r="Y126" s="881" t="str">
        <f t="shared" si="49"/>
        <v/>
      </c>
      <c r="AA126" s="881" t="str">
        <f t="shared" si="50"/>
        <v/>
      </c>
      <c r="AC126" s="881" t="str">
        <f t="shared" si="51"/>
        <v/>
      </c>
      <c r="AE126" s="881" t="str">
        <f t="shared" si="52"/>
        <v/>
      </c>
      <c r="AG126" s="881" t="str">
        <f t="shared" si="53"/>
        <v/>
      </c>
      <c r="AI126" s="881" t="str">
        <f t="shared" si="54"/>
        <v/>
      </c>
      <c r="AK126" s="881" t="str">
        <f t="shared" si="55"/>
        <v/>
      </c>
      <c r="AM126" s="881" t="str">
        <f t="shared" si="56"/>
        <v/>
      </c>
      <c r="AO126" s="881" t="str">
        <f t="shared" si="57"/>
        <v/>
      </c>
      <c r="AQ126" s="881" t="str">
        <f t="shared" si="58"/>
        <v/>
      </c>
    </row>
    <row r="127" spans="5:43" x14ac:dyDescent="0.2">
      <c r="E127" s="881" t="str">
        <f t="shared" si="39"/>
        <v/>
      </c>
      <c r="G127" s="881" t="str">
        <f t="shared" si="40"/>
        <v/>
      </c>
      <c r="I127" s="881" t="str">
        <f t="shared" si="41"/>
        <v/>
      </c>
      <c r="K127" s="881" t="str">
        <f t="shared" si="42"/>
        <v/>
      </c>
      <c r="M127" s="881" t="str">
        <f t="shared" si="43"/>
        <v/>
      </c>
      <c r="O127" s="881" t="str">
        <f t="shared" si="44"/>
        <v/>
      </c>
      <c r="Q127" s="881" t="str">
        <f t="shared" si="45"/>
        <v/>
      </c>
      <c r="S127" s="881" t="str">
        <f t="shared" si="46"/>
        <v/>
      </c>
      <c r="U127" s="881" t="str">
        <f t="shared" si="47"/>
        <v/>
      </c>
      <c r="W127" s="881" t="str">
        <f t="shared" si="48"/>
        <v/>
      </c>
      <c r="Y127" s="881" t="str">
        <f t="shared" si="49"/>
        <v/>
      </c>
      <c r="AA127" s="881" t="str">
        <f t="shared" si="50"/>
        <v/>
      </c>
      <c r="AC127" s="881" t="str">
        <f t="shared" si="51"/>
        <v/>
      </c>
      <c r="AE127" s="881" t="str">
        <f t="shared" si="52"/>
        <v/>
      </c>
      <c r="AG127" s="881" t="str">
        <f t="shared" si="53"/>
        <v/>
      </c>
      <c r="AI127" s="881" t="str">
        <f t="shared" si="54"/>
        <v/>
      </c>
      <c r="AK127" s="881" t="str">
        <f t="shared" si="55"/>
        <v/>
      </c>
      <c r="AM127" s="881" t="str">
        <f t="shared" si="56"/>
        <v/>
      </c>
      <c r="AO127" s="881" t="str">
        <f t="shared" si="57"/>
        <v/>
      </c>
      <c r="AQ127" s="881" t="str">
        <f t="shared" si="58"/>
        <v/>
      </c>
    </row>
    <row r="128" spans="5:43" x14ac:dyDescent="0.2">
      <c r="E128" s="881" t="str">
        <f t="shared" si="39"/>
        <v/>
      </c>
      <c r="G128" s="881" t="str">
        <f t="shared" si="40"/>
        <v/>
      </c>
      <c r="I128" s="881" t="str">
        <f t="shared" si="41"/>
        <v/>
      </c>
      <c r="K128" s="881" t="str">
        <f t="shared" si="42"/>
        <v/>
      </c>
      <c r="M128" s="881" t="str">
        <f t="shared" si="43"/>
        <v/>
      </c>
      <c r="O128" s="881" t="str">
        <f t="shared" si="44"/>
        <v/>
      </c>
      <c r="Q128" s="881" t="str">
        <f t="shared" si="45"/>
        <v/>
      </c>
      <c r="S128" s="881" t="str">
        <f t="shared" si="46"/>
        <v/>
      </c>
      <c r="U128" s="881" t="str">
        <f t="shared" si="47"/>
        <v/>
      </c>
      <c r="W128" s="881" t="str">
        <f t="shared" si="48"/>
        <v/>
      </c>
      <c r="Y128" s="881" t="str">
        <f t="shared" si="49"/>
        <v/>
      </c>
      <c r="AA128" s="881" t="str">
        <f t="shared" si="50"/>
        <v/>
      </c>
      <c r="AC128" s="881" t="str">
        <f t="shared" si="51"/>
        <v/>
      </c>
      <c r="AE128" s="881" t="str">
        <f t="shared" si="52"/>
        <v/>
      </c>
      <c r="AG128" s="881" t="str">
        <f t="shared" si="53"/>
        <v/>
      </c>
      <c r="AI128" s="881" t="str">
        <f t="shared" si="54"/>
        <v/>
      </c>
      <c r="AK128" s="881" t="str">
        <f t="shared" si="55"/>
        <v/>
      </c>
      <c r="AM128" s="881" t="str">
        <f t="shared" si="56"/>
        <v/>
      </c>
      <c r="AO128" s="881" t="str">
        <f t="shared" si="57"/>
        <v/>
      </c>
      <c r="AQ128" s="881" t="str">
        <f t="shared" si="58"/>
        <v/>
      </c>
    </row>
    <row r="129" spans="5:43" x14ac:dyDescent="0.2">
      <c r="E129" s="881" t="str">
        <f t="shared" si="39"/>
        <v/>
      </c>
      <c r="G129" s="881" t="str">
        <f t="shared" si="40"/>
        <v/>
      </c>
      <c r="I129" s="881" t="str">
        <f t="shared" si="41"/>
        <v/>
      </c>
      <c r="K129" s="881" t="str">
        <f t="shared" si="42"/>
        <v/>
      </c>
      <c r="M129" s="881" t="str">
        <f t="shared" si="43"/>
        <v/>
      </c>
      <c r="O129" s="881" t="str">
        <f t="shared" si="44"/>
        <v/>
      </c>
      <c r="Q129" s="881" t="str">
        <f t="shared" si="45"/>
        <v/>
      </c>
      <c r="S129" s="881" t="str">
        <f t="shared" si="46"/>
        <v/>
      </c>
      <c r="U129" s="881" t="str">
        <f t="shared" si="47"/>
        <v/>
      </c>
      <c r="W129" s="881" t="str">
        <f t="shared" si="48"/>
        <v/>
      </c>
      <c r="Y129" s="881" t="str">
        <f t="shared" si="49"/>
        <v/>
      </c>
      <c r="AA129" s="881" t="str">
        <f t="shared" si="50"/>
        <v/>
      </c>
      <c r="AC129" s="881" t="str">
        <f t="shared" si="51"/>
        <v/>
      </c>
      <c r="AE129" s="881" t="str">
        <f t="shared" si="52"/>
        <v/>
      </c>
      <c r="AG129" s="881" t="str">
        <f t="shared" si="53"/>
        <v/>
      </c>
      <c r="AI129" s="881" t="str">
        <f t="shared" si="54"/>
        <v/>
      </c>
      <c r="AK129" s="881" t="str">
        <f t="shared" si="55"/>
        <v/>
      </c>
      <c r="AM129" s="881" t="str">
        <f t="shared" si="56"/>
        <v/>
      </c>
      <c r="AO129" s="881" t="str">
        <f t="shared" si="57"/>
        <v/>
      </c>
      <c r="AQ129" s="881" t="str">
        <f t="shared" si="58"/>
        <v/>
      </c>
    </row>
    <row r="130" spans="5:43" x14ac:dyDescent="0.2">
      <c r="E130" s="881" t="str">
        <f t="shared" si="39"/>
        <v/>
      </c>
      <c r="G130" s="881" t="str">
        <f t="shared" si="40"/>
        <v/>
      </c>
      <c r="I130" s="881" t="str">
        <f t="shared" si="41"/>
        <v/>
      </c>
      <c r="K130" s="881" t="str">
        <f t="shared" si="42"/>
        <v/>
      </c>
      <c r="M130" s="881" t="str">
        <f t="shared" si="43"/>
        <v/>
      </c>
      <c r="O130" s="881" t="str">
        <f t="shared" si="44"/>
        <v/>
      </c>
      <c r="Q130" s="881" t="str">
        <f t="shared" si="45"/>
        <v/>
      </c>
      <c r="S130" s="881" t="str">
        <f t="shared" si="46"/>
        <v/>
      </c>
      <c r="U130" s="881" t="str">
        <f t="shared" si="47"/>
        <v/>
      </c>
      <c r="W130" s="881" t="str">
        <f t="shared" si="48"/>
        <v/>
      </c>
      <c r="Y130" s="881" t="str">
        <f t="shared" si="49"/>
        <v/>
      </c>
      <c r="AA130" s="881" t="str">
        <f t="shared" si="50"/>
        <v/>
      </c>
      <c r="AC130" s="881" t="str">
        <f t="shared" si="51"/>
        <v/>
      </c>
      <c r="AE130" s="881" t="str">
        <f t="shared" si="52"/>
        <v/>
      </c>
      <c r="AG130" s="881" t="str">
        <f t="shared" si="53"/>
        <v/>
      </c>
      <c r="AI130" s="881" t="str">
        <f t="shared" si="54"/>
        <v/>
      </c>
      <c r="AK130" s="881" t="str">
        <f t="shared" si="55"/>
        <v/>
      </c>
      <c r="AM130" s="881" t="str">
        <f t="shared" si="56"/>
        <v/>
      </c>
      <c r="AO130" s="881" t="str">
        <f t="shared" si="57"/>
        <v/>
      </c>
      <c r="AQ130" s="881" t="str">
        <f t="shared" si="58"/>
        <v/>
      </c>
    </row>
    <row r="131" spans="5:43" x14ac:dyDescent="0.2">
      <c r="E131" s="881" t="str">
        <f t="shared" si="39"/>
        <v/>
      </c>
      <c r="G131" s="881" t="str">
        <f t="shared" si="40"/>
        <v/>
      </c>
      <c r="I131" s="881" t="str">
        <f t="shared" si="41"/>
        <v/>
      </c>
      <c r="K131" s="881" t="str">
        <f t="shared" si="42"/>
        <v/>
      </c>
      <c r="M131" s="881" t="str">
        <f t="shared" si="43"/>
        <v/>
      </c>
      <c r="O131" s="881" t="str">
        <f t="shared" si="44"/>
        <v/>
      </c>
      <c r="Q131" s="881" t="str">
        <f t="shared" si="45"/>
        <v/>
      </c>
      <c r="S131" s="881" t="str">
        <f t="shared" si="46"/>
        <v/>
      </c>
      <c r="U131" s="881" t="str">
        <f t="shared" si="47"/>
        <v/>
      </c>
      <c r="W131" s="881" t="str">
        <f t="shared" si="48"/>
        <v/>
      </c>
      <c r="Y131" s="881" t="str">
        <f t="shared" si="49"/>
        <v/>
      </c>
      <c r="AA131" s="881" t="str">
        <f t="shared" si="50"/>
        <v/>
      </c>
      <c r="AC131" s="881" t="str">
        <f t="shared" si="51"/>
        <v/>
      </c>
      <c r="AE131" s="881" t="str">
        <f t="shared" si="52"/>
        <v/>
      </c>
      <c r="AG131" s="881" t="str">
        <f t="shared" si="53"/>
        <v/>
      </c>
      <c r="AI131" s="881" t="str">
        <f t="shared" si="54"/>
        <v/>
      </c>
      <c r="AK131" s="881" t="str">
        <f t="shared" si="55"/>
        <v/>
      </c>
      <c r="AM131" s="881" t="str">
        <f t="shared" si="56"/>
        <v/>
      </c>
      <c r="AO131" s="881" t="str">
        <f t="shared" si="57"/>
        <v/>
      </c>
      <c r="AQ131" s="881" t="str">
        <f t="shared" si="58"/>
        <v/>
      </c>
    </row>
    <row r="132" spans="5:43" x14ac:dyDescent="0.2">
      <c r="E132" s="881" t="str">
        <f t="shared" si="39"/>
        <v/>
      </c>
      <c r="G132" s="881" t="str">
        <f t="shared" si="40"/>
        <v/>
      </c>
      <c r="I132" s="881" t="str">
        <f t="shared" si="41"/>
        <v/>
      </c>
      <c r="K132" s="881" t="str">
        <f t="shared" si="42"/>
        <v/>
      </c>
      <c r="M132" s="881" t="str">
        <f t="shared" si="43"/>
        <v/>
      </c>
      <c r="O132" s="881" t="str">
        <f t="shared" si="44"/>
        <v/>
      </c>
      <c r="Q132" s="881" t="str">
        <f t="shared" si="45"/>
        <v/>
      </c>
      <c r="S132" s="881" t="str">
        <f t="shared" si="46"/>
        <v/>
      </c>
      <c r="U132" s="881" t="str">
        <f t="shared" si="47"/>
        <v/>
      </c>
      <c r="W132" s="881" t="str">
        <f t="shared" si="48"/>
        <v/>
      </c>
      <c r="Y132" s="881" t="str">
        <f t="shared" si="49"/>
        <v/>
      </c>
      <c r="AA132" s="881" t="str">
        <f t="shared" si="50"/>
        <v/>
      </c>
      <c r="AC132" s="881" t="str">
        <f t="shared" si="51"/>
        <v/>
      </c>
      <c r="AE132" s="881" t="str">
        <f t="shared" si="52"/>
        <v/>
      </c>
      <c r="AG132" s="881" t="str">
        <f t="shared" si="53"/>
        <v/>
      </c>
      <c r="AI132" s="881" t="str">
        <f t="shared" si="54"/>
        <v/>
      </c>
      <c r="AK132" s="881" t="str">
        <f t="shared" si="55"/>
        <v/>
      </c>
      <c r="AM132" s="881" t="str">
        <f t="shared" si="56"/>
        <v/>
      </c>
      <c r="AO132" s="881" t="str">
        <f t="shared" si="57"/>
        <v/>
      </c>
      <c r="AQ132" s="881" t="str">
        <f t="shared" si="58"/>
        <v/>
      </c>
    </row>
    <row r="133" spans="5:43" x14ac:dyDescent="0.2">
      <c r="E133" s="881" t="str">
        <f t="shared" si="39"/>
        <v/>
      </c>
      <c r="G133" s="881" t="str">
        <f t="shared" si="40"/>
        <v/>
      </c>
      <c r="I133" s="881" t="str">
        <f t="shared" si="41"/>
        <v/>
      </c>
      <c r="K133" s="881" t="str">
        <f t="shared" si="42"/>
        <v/>
      </c>
      <c r="M133" s="881" t="str">
        <f t="shared" si="43"/>
        <v/>
      </c>
      <c r="O133" s="881" t="str">
        <f t="shared" si="44"/>
        <v/>
      </c>
      <c r="Q133" s="881" t="str">
        <f t="shared" si="45"/>
        <v/>
      </c>
      <c r="S133" s="881" t="str">
        <f t="shared" si="46"/>
        <v/>
      </c>
      <c r="U133" s="881" t="str">
        <f t="shared" si="47"/>
        <v/>
      </c>
      <c r="W133" s="881" t="str">
        <f t="shared" si="48"/>
        <v/>
      </c>
      <c r="Y133" s="881" t="str">
        <f t="shared" si="49"/>
        <v/>
      </c>
      <c r="AA133" s="881" t="str">
        <f t="shared" si="50"/>
        <v/>
      </c>
      <c r="AC133" s="881" t="str">
        <f t="shared" si="51"/>
        <v/>
      </c>
      <c r="AE133" s="881" t="str">
        <f t="shared" si="52"/>
        <v/>
      </c>
      <c r="AG133" s="881" t="str">
        <f t="shared" si="53"/>
        <v/>
      </c>
      <c r="AI133" s="881" t="str">
        <f t="shared" si="54"/>
        <v/>
      </c>
      <c r="AK133" s="881" t="str">
        <f t="shared" si="55"/>
        <v/>
      </c>
      <c r="AM133" s="881" t="str">
        <f t="shared" si="56"/>
        <v/>
      </c>
      <c r="AO133" s="881" t="str">
        <f t="shared" si="57"/>
        <v/>
      </c>
      <c r="AQ133" s="881" t="str">
        <f t="shared" si="58"/>
        <v/>
      </c>
    </row>
    <row r="134" spans="5:43" x14ac:dyDescent="0.2">
      <c r="E134" s="881" t="str">
        <f t="shared" si="39"/>
        <v/>
      </c>
      <c r="G134" s="881" t="str">
        <f t="shared" si="40"/>
        <v/>
      </c>
      <c r="I134" s="881" t="str">
        <f t="shared" si="41"/>
        <v/>
      </c>
      <c r="K134" s="881" t="str">
        <f t="shared" si="42"/>
        <v/>
      </c>
      <c r="M134" s="881" t="str">
        <f t="shared" si="43"/>
        <v/>
      </c>
      <c r="O134" s="881" t="str">
        <f t="shared" si="44"/>
        <v/>
      </c>
      <c r="Q134" s="881" t="str">
        <f t="shared" si="45"/>
        <v/>
      </c>
      <c r="S134" s="881" t="str">
        <f t="shared" si="46"/>
        <v/>
      </c>
      <c r="U134" s="881" t="str">
        <f t="shared" si="47"/>
        <v/>
      </c>
      <c r="W134" s="881" t="str">
        <f t="shared" si="48"/>
        <v/>
      </c>
      <c r="Y134" s="881" t="str">
        <f t="shared" si="49"/>
        <v/>
      </c>
      <c r="AA134" s="881" t="str">
        <f t="shared" si="50"/>
        <v/>
      </c>
      <c r="AC134" s="881" t="str">
        <f t="shared" si="51"/>
        <v/>
      </c>
      <c r="AE134" s="881" t="str">
        <f t="shared" si="52"/>
        <v/>
      </c>
      <c r="AG134" s="881" t="str">
        <f t="shared" si="53"/>
        <v/>
      </c>
      <c r="AI134" s="881" t="str">
        <f t="shared" si="54"/>
        <v/>
      </c>
      <c r="AK134" s="881" t="str">
        <f t="shared" si="55"/>
        <v/>
      </c>
      <c r="AM134" s="881" t="str">
        <f t="shared" si="56"/>
        <v/>
      </c>
      <c r="AO134" s="881" t="str">
        <f t="shared" si="57"/>
        <v/>
      </c>
      <c r="AQ134" s="881" t="str">
        <f t="shared" si="58"/>
        <v/>
      </c>
    </row>
    <row r="135" spans="5:43" x14ac:dyDescent="0.2">
      <c r="E135" s="881" t="str">
        <f t="shared" si="39"/>
        <v/>
      </c>
      <c r="G135" s="881" t="str">
        <f t="shared" si="40"/>
        <v/>
      </c>
      <c r="I135" s="881" t="str">
        <f t="shared" si="41"/>
        <v/>
      </c>
      <c r="K135" s="881" t="str">
        <f t="shared" si="42"/>
        <v/>
      </c>
      <c r="M135" s="881" t="str">
        <f t="shared" si="43"/>
        <v/>
      </c>
      <c r="O135" s="881" t="str">
        <f t="shared" si="44"/>
        <v/>
      </c>
      <c r="Q135" s="881" t="str">
        <f t="shared" si="45"/>
        <v/>
      </c>
      <c r="S135" s="881" t="str">
        <f t="shared" si="46"/>
        <v/>
      </c>
      <c r="U135" s="881" t="str">
        <f t="shared" si="47"/>
        <v/>
      </c>
      <c r="W135" s="881" t="str">
        <f t="shared" si="48"/>
        <v/>
      </c>
      <c r="Y135" s="881" t="str">
        <f t="shared" si="49"/>
        <v/>
      </c>
      <c r="AA135" s="881" t="str">
        <f t="shared" si="50"/>
        <v/>
      </c>
      <c r="AC135" s="881" t="str">
        <f t="shared" si="51"/>
        <v/>
      </c>
      <c r="AE135" s="881" t="str">
        <f t="shared" si="52"/>
        <v/>
      </c>
      <c r="AG135" s="881" t="str">
        <f t="shared" si="53"/>
        <v/>
      </c>
      <c r="AI135" s="881" t="str">
        <f t="shared" si="54"/>
        <v/>
      </c>
      <c r="AK135" s="881" t="str">
        <f t="shared" si="55"/>
        <v/>
      </c>
      <c r="AM135" s="881" t="str">
        <f t="shared" si="56"/>
        <v/>
      </c>
      <c r="AO135" s="881" t="str">
        <f t="shared" si="57"/>
        <v/>
      </c>
      <c r="AQ135" s="881" t="str">
        <f t="shared" si="58"/>
        <v/>
      </c>
    </row>
    <row r="136" spans="5:43" x14ac:dyDescent="0.2">
      <c r="E136" s="881" t="str">
        <f t="shared" si="39"/>
        <v/>
      </c>
      <c r="G136" s="881" t="str">
        <f t="shared" si="40"/>
        <v/>
      </c>
      <c r="I136" s="881" t="str">
        <f t="shared" si="41"/>
        <v/>
      </c>
      <c r="K136" s="881" t="str">
        <f t="shared" si="42"/>
        <v/>
      </c>
      <c r="M136" s="881" t="str">
        <f t="shared" si="43"/>
        <v/>
      </c>
      <c r="O136" s="881" t="str">
        <f t="shared" si="44"/>
        <v/>
      </c>
      <c r="Q136" s="881" t="str">
        <f t="shared" si="45"/>
        <v/>
      </c>
      <c r="S136" s="881" t="str">
        <f t="shared" si="46"/>
        <v/>
      </c>
      <c r="U136" s="881" t="str">
        <f t="shared" si="47"/>
        <v/>
      </c>
      <c r="W136" s="881" t="str">
        <f t="shared" si="48"/>
        <v/>
      </c>
      <c r="Y136" s="881" t="str">
        <f t="shared" si="49"/>
        <v/>
      </c>
      <c r="AA136" s="881" t="str">
        <f t="shared" si="50"/>
        <v/>
      </c>
      <c r="AC136" s="881" t="str">
        <f t="shared" si="51"/>
        <v/>
      </c>
      <c r="AE136" s="881" t="str">
        <f t="shared" si="52"/>
        <v/>
      </c>
      <c r="AG136" s="881" t="str">
        <f t="shared" si="53"/>
        <v/>
      </c>
      <c r="AI136" s="881" t="str">
        <f t="shared" si="54"/>
        <v/>
      </c>
      <c r="AK136" s="881" t="str">
        <f t="shared" si="55"/>
        <v/>
      </c>
      <c r="AM136" s="881" t="str">
        <f t="shared" si="56"/>
        <v/>
      </c>
      <c r="AO136" s="881" t="str">
        <f t="shared" si="57"/>
        <v/>
      </c>
      <c r="AQ136" s="881" t="str">
        <f t="shared" si="58"/>
        <v/>
      </c>
    </row>
    <row r="137" spans="5:43" x14ac:dyDescent="0.2">
      <c r="E137" s="881" t="str">
        <f t="shared" si="39"/>
        <v/>
      </c>
      <c r="G137" s="881" t="str">
        <f t="shared" si="40"/>
        <v/>
      </c>
      <c r="I137" s="881" t="str">
        <f t="shared" si="41"/>
        <v/>
      </c>
      <c r="K137" s="881" t="str">
        <f t="shared" si="42"/>
        <v/>
      </c>
      <c r="M137" s="881" t="str">
        <f t="shared" si="43"/>
        <v/>
      </c>
      <c r="O137" s="881" t="str">
        <f t="shared" si="44"/>
        <v/>
      </c>
      <c r="Q137" s="881" t="str">
        <f t="shared" si="45"/>
        <v/>
      </c>
      <c r="S137" s="881" t="str">
        <f t="shared" si="46"/>
        <v/>
      </c>
      <c r="U137" s="881" t="str">
        <f t="shared" si="47"/>
        <v/>
      </c>
      <c r="W137" s="881" t="str">
        <f t="shared" si="48"/>
        <v/>
      </c>
      <c r="Y137" s="881" t="str">
        <f t="shared" si="49"/>
        <v/>
      </c>
      <c r="AA137" s="881" t="str">
        <f t="shared" si="50"/>
        <v/>
      </c>
      <c r="AC137" s="881" t="str">
        <f t="shared" si="51"/>
        <v/>
      </c>
      <c r="AE137" s="881" t="str">
        <f t="shared" si="52"/>
        <v/>
      </c>
      <c r="AG137" s="881" t="str">
        <f t="shared" si="53"/>
        <v/>
      </c>
      <c r="AI137" s="881" t="str">
        <f t="shared" si="54"/>
        <v/>
      </c>
      <c r="AK137" s="881" t="str">
        <f t="shared" si="55"/>
        <v/>
      </c>
      <c r="AM137" s="881" t="str">
        <f t="shared" si="56"/>
        <v/>
      </c>
      <c r="AO137" s="881" t="str">
        <f t="shared" si="57"/>
        <v/>
      </c>
      <c r="AQ137" s="881" t="str">
        <f t="shared" si="58"/>
        <v/>
      </c>
    </row>
    <row r="138" spans="5:43" x14ac:dyDescent="0.2">
      <c r="E138" s="881" t="str">
        <f t="shared" si="39"/>
        <v/>
      </c>
      <c r="G138" s="881" t="str">
        <f t="shared" si="40"/>
        <v/>
      </c>
      <c r="I138" s="881" t="str">
        <f t="shared" si="41"/>
        <v/>
      </c>
      <c r="K138" s="881" t="str">
        <f t="shared" si="42"/>
        <v/>
      </c>
      <c r="M138" s="881" t="str">
        <f t="shared" si="43"/>
        <v/>
      </c>
      <c r="O138" s="881" t="str">
        <f t="shared" si="44"/>
        <v/>
      </c>
      <c r="Q138" s="881" t="str">
        <f t="shared" si="45"/>
        <v/>
      </c>
      <c r="S138" s="881" t="str">
        <f t="shared" si="46"/>
        <v/>
      </c>
      <c r="U138" s="881" t="str">
        <f t="shared" si="47"/>
        <v/>
      </c>
      <c r="W138" s="881" t="str">
        <f t="shared" si="48"/>
        <v/>
      </c>
      <c r="Y138" s="881" t="str">
        <f t="shared" si="49"/>
        <v/>
      </c>
      <c r="AA138" s="881" t="str">
        <f t="shared" si="50"/>
        <v/>
      </c>
      <c r="AC138" s="881" t="str">
        <f t="shared" si="51"/>
        <v/>
      </c>
      <c r="AE138" s="881" t="str">
        <f t="shared" si="52"/>
        <v/>
      </c>
      <c r="AG138" s="881" t="str">
        <f t="shared" si="53"/>
        <v/>
      </c>
      <c r="AI138" s="881" t="str">
        <f t="shared" si="54"/>
        <v/>
      </c>
      <c r="AK138" s="881" t="str">
        <f t="shared" si="55"/>
        <v/>
      </c>
      <c r="AM138" s="881" t="str">
        <f t="shared" si="56"/>
        <v/>
      </c>
      <c r="AO138" s="881" t="str">
        <f t="shared" si="57"/>
        <v/>
      </c>
      <c r="AQ138" s="881" t="str">
        <f t="shared" si="58"/>
        <v/>
      </c>
    </row>
    <row r="139" spans="5:43" x14ac:dyDescent="0.2">
      <c r="E139" s="881" t="str">
        <f t="shared" si="39"/>
        <v/>
      </c>
      <c r="G139" s="881" t="str">
        <f t="shared" si="40"/>
        <v/>
      </c>
      <c r="I139" s="881" t="str">
        <f t="shared" si="41"/>
        <v/>
      </c>
      <c r="K139" s="881" t="str">
        <f t="shared" si="42"/>
        <v/>
      </c>
      <c r="M139" s="881" t="str">
        <f t="shared" si="43"/>
        <v/>
      </c>
      <c r="O139" s="881" t="str">
        <f t="shared" si="44"/>
        <v/>
      </c>
      <c r="Q139" s="881" t="str">
        <f t="shared" si="45"/>
        <v/>
      </c>
      <c r="S139" s="881" t="str">
        <f t="shared" si="46"/>
        <v/>
      </c>
      <c r="U139" s="881" t="str">
        <f t="shared" si="47"/>
        <v/>
      </c>
      <c r="W139" s="881" t="str">
        <f t="shared" si="48"/>
        <v/>
      </c>
      <c r="Y139" s="881" t="str">
        <f t="shared" si="49"/>
        <v/>
      </c>
      <c r="AA139" s="881" t="str">
        <f t="shared" si="50"/>
        <v/>
      </c>
      <c r="AC139" s="881" t="str">
        <f t="shared" si="51"/>
        <v/>
      </c>
      <c r="AE139" s="881" t="str">
        <f t="shared" si="52"/>
        <v/>
      </c>
      <c r="AG139" s="881" t="str">
        <f t="shared" si="53"/>
        <v/>
      </c>
      <c r="AI139" s="881" t="str">
        <f t="shared" si="54"/>
        <v/>
      </c>
      <c r="AK139" s="881" t="str">
        <f t="shared" si="55"/>
        <v/>
      </c>
      <c r="AM139" s="881" t="str">
        <f t="shared" si="56"/>
        <v/>
      </c>
      <c r="AO139" s="881" t="str">
        <f t="shared" si="57"/>
        <v/>
      </c>
      <c r="AQ139" s="881" t="str">
        <f t="shared" si="58"/>
        <v/>
      </c>
    </row>
    <row r="140" spans="5:43" x14ac:dyDescent="0.2">
      <c r="E140" s="881" t="str">
        <f t="shared" si="39"/>
        <v/>
      </c>
      <c r="G140" s="881" t="str">
        <f t="shared" si="40"/>
        <v/>
      </c>
      <c r="I140" s="881" t="str">
        <f t="shared" si="41"/>
        <v/>
      </c>
      <c r="K140" s="881" t="str">
        <f t="shared" si="42"/>
        <v/>
      </c>
      <c r="M140" s="881" t="str">
        <f t="shared" si="43"/>
        <v/>
      </c>
      <c r="O140" s="881" t="str">
        <f t="shared" si="44"/>
        <v/>
      </c>
      <c r="Q140" s="881" t="str">
        <f t="shared" si="45"/>
        <v/>
      </c>
      <c r="S140" s="881" t="str">
        <f t="shared" si="46"/>
        <v/>
      </c>
      <c r="U140" s="881" t="str">
        <f t="shared" si="47"/>
        <v/>
      </c>
      <c r="W140" s="881" t="str">
        <f t="shared" si="48"/>
        <v/>
      </c>
      <c r="Y140" s="881" t="str">
        <f t="shared" si="49"/>
        <v/>
      </c>
      <c r="AA140" s="881" t="str">
        <f t="shared" si="50"/>
        <v/>
      </c>
      <c r="AC140" s="881" t="str">
        <f t="shared" si="51"/>
        <v/>
      </c>
      <c r="AE140" s="881" t="str">
        <f t="shared" si="52"/>
        <v/>
      </c>
      <c r="AG140" s="881" t="str">
        <f t="shared" si="53"/>
        <v/>
      </c>
      <c r="AI140" s="881" t="str">
        <f t="shared" si="54"/>
        <v/>
      </c>
      <c r="AK140" s="881" t="str">
        <f t="shared" si="55"/>
        <v/>
      </c>
      <c r="AM140" s="881" t="str">
        <f t="shared" si="56"/>
        <v/>
      </c>
      <c r="AO140" s="881" t="str">
        <f t="shared" si="57"/>
        <v/>
      </c>
      <c r="AQ140" s="881" t="str">
        <f t="shared" si="58"/>
        <v/>
      </c>
    </row>
    <row r="141" spans="5:43" x14ac:dyDescent="0.2">
      <c r="E141" s="881" t="str">
        <f t="shared" si="39"/>
        <v/>
      </c>
      <c r="G141" s="881" t="str">
        <f t="shared" si="40"/>
        <v/>
      </c>
      <c r="I141" s="881" t="str">
        <f t="shared" si="41"/>
        <v/>
      </c>
      <c r="K141" s="881" t="str">
        <f t="shared" si="42"/>
        <v/>
      </c>
      <c r="M141" s="881" t="str">
        <f t="shared" si="43"/>
        <v/>
      </c>
      <c r="O141" s="881" t="str">
        <f t="shared" si="44"/>
        <v/>
      </c>
      <c r="Q141" s="881" t="str">
        <f t="shared" si="45"/>
        <v/>
      </c>
      <c r="S141" s="881" t="str">
        <f t="shared" si="46"/>
        <v/>
      </c>
      <c r="U141" s="881" t="str">
        <f t="shared" si="47"/>
        <v/>
      </c>
      <c r="W141" s="881" t="str">
        <f t="shared" si="48"/>
        <v/>
      </c>
      <c r="Y141" s="881" t="str">
        <f t="shared" si="49"/>
        <v/>
      </c>
      <c r="AA141" s="881" t="str">
        <f t="shared" si="50"/>
        <v/>
      </c>
      <c r="AC141" s="881" t="str">
        <f t="shared" si="51"/>
        <v/>
      </c>
      <c r="AE141" s="881" t="str">
        <f t="shared" si="52"/>
        <v/>
      </c>
      <c r="AG141" s="881" t="str">
        <f t="shared" si="53"/>
        <v/>
      </c>
      <c r="AI141" s="881" t="str">
        <f t="shared" si="54"/>
        <v/>
      </c>
      <c r="AK141" s="881" t="str">
        <f t="shared" si="55"/>
        <v/>
      </c>
      <c r="AM141" s="881" t="str">
        <f t="shared" si="56"/>
        <v/>
      </c>
      <c r="AO141" s="881" t="str">
        <f t="shared" si="57"/>
        <v/>
      </c>
      <c r="AQ141" s="881" t="str">
        <f t="shared" si="58"/>
        <v/>
      </c>
    </row>
    <row r="142" spans="5:43" x14ac:dyDescent="0.2">
      <c r="E142" s="881" t="str">
        <f t="shared" si="39"/>
        <v/>
      </c>
      <c r="G142" s="881" t="str">
        <f t="shared" si="40"/>
        <v/>
      </c>
      <c r="I142" s="881" t="str">
        <f t="shared" si="41"/>
        <v/>
      </c>
      <c r="K142" s="881" t="str">
        <f t="shared" si="42"/>
        <v/>
      </c>
      <c r="M142" s="881" t="str">
        <f t="shared" si="43"/>
        <v/>
      </c>
      <c r="O142" s="881" t="str">
        <f t="shared" si="44"/>
        <v/>
      </c>
      <c r="Q142" s="881" t="str">
        <f t="shared" si="45"/>
        <v/>
      </c>
      <c r="S142" s="881" t="str">
        <f t="shared" si="46"/>
        <v/>
      </c>
      <c r="U142" s="881" t="str">
        <f t="shared" si="47"/>
        <v/>
      </c>
      <c r="W142" s="881" t="str">
        <f t="shared" si="48"/>
        <v/>
      </c>
      <c r="Y142" s="881" t="str">
        <f t="shared" si="49"/>
        <v/>
      </c>
      <c r="AA142" s="881" t="str">
        <f t="shared" si="50"/>
        <v/>
      </c>
      <c r="AC142" s="881" t="str">
        <f t="shared" si="51"/>
        <v/>
      </c>
      <c r="AE142" s="881" t="str">
        <f t="shared" si="52"/>
        <v/>
      </c>
      <c r="AG142" s="881" t="str">
        <f t="shared" si="53"/>
        <v/>
      </c>
      <c r="AI142" s="881" t="str">
        <f t="shared" si="54"/>
        <v/>
      </c>
      <c r="AK142" s="881" t="str">
        <f t="shared" si="55"/>
        <v/>
      </c>
      <c r="AM142" s="881" t="str">
        <f t="shared" si="56"/>
        <v/>
      </c>
      <c r="AO142" s="881" t="str">
        <f t="shared" si="57"/>
        <v/>
      </c>
      <c r="AQ142" s="881" t="str">
        <f t="shared" si="58"/>
        <v/>
      </c>
    </row>
    <row r="143" spans="5:43" x14ac:dyDescent="0.2">
      <c r="E143" s="881" t="str">
        <f t="shared" si="39"/>
        <v/>
      </c>
      <c r="G143" s="881" t="str">
        <f t="shared" si="40"/>
        <v/>
      </c>
      <c r="I143" s="881" t="str">
        <f t="shared" si="41"/>
        <v/>
      </c>
      <c r="K143" s="881" t="str">
        <f t="shared" si="42"/>
        <v/>
      </c>
      <c r="M143" s="881" t="str">
        <f t="shared" si="43"/>
        <v/>
      </c>
      <c r="O143" s="881" t="str">
        <f t="shared" si="44"/>
        <v/>
      </c>
      <c r="Q143" s="881" t="str">
        <f t="shared" si="45"/>
        <v/>
      </c>
      <c r="S143" s="881" t="str">
        <f t="shared" si="46"/>
        <v/>
      </c>
      <c r="U143" s="881" t="str">
        <f t="shared" si="47"/>
        <v/>
      </c>
      <c r="W143" s="881" t="str">
        <f t="shared" si="48"/>
        <v/>
      </c>
      <c r="Y143" s="881" t="str">
        <f t="shared" si="49"/>
        <v/>
      </c>
      <c r="AA143" s="881" t="str">
        <f t="shared" si="50"/>
        <v/>
      </c>
      <c r="AC143" s="881" t="str">
        <f t="shared" si="51"/>
        <v/>
      </c>
      <c r="AE143" s="881" t="str">
        <f t="shared" si="52"/>
        <v/>
      </c>
      <c r="AG143" s="881" t="str">
        <f t="shared" si="53"/>
        <v/>
      </c>
      <c r="AI143" s="881" t="str">
        <f t="shared" si="54"/>
        <v/>
      </c>
      <c r="AK143" s="881" t="str">
        <f t="shared" si="55"/>
        <v/>
      </c>
      <c r="AM143" s="881" t="str">
        <f t="shared" si="56"/>
        <v/>
      </c>
      <c r="AO143" s="881" t="str">
        <f t="shared" si="57"/>
        <v/>
      </c>
      <c r="AQ143" s="881" t="str">
        <f t="shared" si="58"/>
        <v/>
      </c>
    </row>
    <row r="144" spans="5:43" x14ac:dyDescent="0.2">
      <c r="E144" s="881" t="str">
        <f t="shared" si="39"/>
        <v/>
      </c>
      <c r="G144" s="881" t="str">
        <f t="shared" si="40"/>
        <v/>
      </c>
      <c r="I144" s="881" t="str">
        <f t="shared" si="41"/>
        <v/>
      </c>
      <c r="K144" s="881" t="str">
        <f t="shared" si="42"/>
        <v/>
      </c>
      <c r="M144" s="881" t="str">
        <f t="shared" si="43"/>
        <v/>
      </c>
      <c r="O144" s="881" t="str">
        <f t="shared" si="44"/>
        <v/>
      </c>
      <c r="Q144" s="881" t="str">
        <f t="shared" si="45"/>
        <v/>
      </c>
      <c r="S144" s="881" t="str">
        <f t="shared" si="46"/>
        <v/>
      </c>
      <c r="U144" s="881" t="str">
        <f t="shared" si="47"/>
        <v/>
      </c>
      <c r="W144" s="881" t="str">
        <f t="shared" si="48"/>
        <v/>
      </c>
      <c r="Y144" s="881" t="str">
        <f t="shared" si="49"/>
        <v/>
      </c>
      <c r="AA144" s="881" t="str">
        <f t="shared" si="50"/>
        <v/>
      </c>
      <c r="AC144" s="881" t="str">
        <f t="shared" si="51"/>
        <v/>
      </c>
      <c r="AE144" s="881" t="str">
        <f t="shared" si="52"/>
        <v/>
      </c>
      <c r="AG144" s="881" t="str">
        <f t="shared" si="53"/>
        <v/>
      </c>
      <c r="AI144" s="881" t="str">
        <f t="shared" si="54"/>
        <v/>
      </c>
      <c r="AK144" s="881" t="str">
        <f t="shared" si="55"/>
        <v/>
      </c>
      <c r="AM144" s="881" t="str">
        <f t="shared" si="56"/>
        <v/>
      </c>
      <c r="AO144" s="881" t="str">
        <f t="shared" si="57"/>
        <v/>
      </c>
      <c r="AQ144" s="881" t="str">
        <f t="shared" si="58"/>
        <v/>
      </c>
    </row>
    <row r="145" spans="5:43" x14ac:dyDescent="0.2">
      <c r="E145" s="881" t="str">
        <f t="shared" si="39"/>
        <v/>
      </c>
      <c r="G145" s="881" t="str">
        <f t="shared" si="40"/>
        <v/>
      </c>
      <c r="I145" s="881" t="str">
        <f t="shared" si="41"/>
        <v/>
      </c>
      <c r="K145" s="881" t="str">
        <f t="shared" si="42"/>
        <v/>
      </c>
      <c r="M145" s="881" t="str">
        <f t="shared" si="43"/>
        <v/>
      </c>
      <c r="O145" s="881" t="str">
        <f t="shared" si="44"/>
        <v/>
      </c>
      <c r="Q145" s="881" t="str">
        <f t="shared" si="45"/>
        <v/>
      </c>
      <c r="S145" s="881" t="str">
        <f t="shared" si="46"/>
        <v/>
      </c>
      <c r="U145" s="881" t="str">
        <f t="shared" si="47"/>
        <v/>
      </c>
      <c r="W145" s="881" t="str">
        <f t="shared" si="48"/>
        <v/>
      </c>
      <c r="Y145" s="881" t="str">
        <f t="shared" si="49"/>
        <v/>
      </c>
      <c r="AA145" s="881" t="str">
        <f t="shared" si="50"/>
        <v/>
      </c>
      <c r="AC145" s="881" t="str">
        <f t="shared" si="51"/>
        <v/>
      </c>
      <c r="AE145" s="881" t="str">
        <f t="shared" si="52"/>
        <v/>
      </c>
      <c r="AG145" s="881" t="str">
        <f t="shared" si="53"/>
        <v/>
      </c>
      <c r="AI145" s="881" t="str">
        <f t="shared" si="54"/>
        <v/>
      </c>
      <c r="AK145" s="881" t="str">
        <f t="shared" si="55"/>
        <v/>
      </c>
      <c r="AM145" s="881" t="str">
        <f t="shared" si="56"/>
        <v/>
      </c>
      <c r="AO145" s="881" t="str">
        <f t="shared" si="57"/>
        <v/>
      </c>
      <c r="AQ145" s="881" t="str">
        <f t="shared" si="58"/>
        <v/>
      </c>
    </row>
    <row r="146" spans="5:43" x14ac:dyDescent="0.2">
      <c r="E146" s="881" t="str">
        <f t="shared" si="39"/>
        <v/>
      </c>
      <c r="G146" s="881" t="str">
        <f t="shared" si="40"/>
        <v/>
      </c>
      <c r="I146" s="881" t="str">
        <f t="shared" si="41"/>
        <v/>
      </c>
      <c r="K146" s="881" t="str">
        <f t="shared" si="42"/>
        <v/>
      </c>
      <c r="M146" s="881" t="str">
        <f t="shared" si="43"/>
        <v/>
      </c>
      <c r="O146" s="881" t="str">
        <f t="shared" si="44"/>
        <v/>
      </c>
      <c r="Q146" s="881" t="str">
        <f t="shared" si="45"/>
        <v/>
      </c>
      <c r="S146" s="881" t="str">
        <f t="shared" si="46"/>
        <v/>
      </c>
      <c r="U146" s="881" t="str">
        <f t="shared" si="47"/>
        <v/>
      </c>
      <c r="W146" s="881" t="str">
        <f t="shared" si="48"/>
        <v/>
      </c>
      <c r="Y146" s="881" t="str">
        <f t="shared" si="49"/>
        <v/>
      </c>
      <c r="AA146" s="881" t="str">
        <f t="shared" si="50"/>
        <v/>
      </c>
      <c r="AC146" s="881" t="str">
        <f t="shared" si="51"/>
        <v/>
      </c>
      <c r="AE146" s="881" t="str">
        <f t="shared" si="52"/>
        <v/>
      </c>
      <c r="AG146" s="881" t="str">
        <f t="shared" si="53"/>
        <v/>
      </c>
      <c r="AI146" s="881" t="str">
        <f t="shared" si="54"/>
        <v/>
      </c>
      <c r="AK146" s="881" t="str">
        <f t="shared" si="55"/>
        <v/>
      </c>
      <c r="AM146" s="881" t="str">
        <f t="shared" si="56"/>
        <v/>
      </c>
      <c r="AO146" s="881" t="str">
        <f t="shared" si="57"/>
        <v/>
      </c>
      <c r="AQ146" s="881" t="str">
        <f t="shared" si="58"/>
        <v/>
      </c>
    </row>
    <row r="147" spans="5:43" x14ac:dyDescent="0.2">
      <c r="E147" s="881" t="str">
        <f t="shared" si="39"/>
        <v/>
      </c>
      <c r="G147" s="881" t="str">
        <f t="shared" si="40"/>
        <v/>
      </c>
      <c r="I147" s="881" t="str">
        <f t="shared" si="41"/>
        <v/>
      </c>
      <c r="K147" s="881" t="str">
        <f t="shared" si="42"/>
        <v/>
      </c>
      <c r="M147" s="881" t="str">
        <f t="shared" si="43"/>
        <v/>
      </c>
      <c r="O147" s="881" t="str">
        <f t="shared" si="44"/>
        <v/>
      </c>
      <c r="Q147" s="881" t="str">
        <f t="shared" si="45"/>
        <v/>
      </c>
      <c r="S147" s="881" t="str">
        <f t="shared" si="46"/>
        <v/>
      </c>
      <c r="U147" s="881" t="str">
        <f t="shared" si="47"/>
        <v/>
      </c>
      <c r="W147" s="881" t="str">
        <f t="shared" si="48"/>
        <v/>
      </c>
      <c r="Y147" s="881" t="str">
        <f t="shared" si="49"/>
        <v/>
      </c>
      <c r="AA147" s="881" t="str">
        <f t="shared" si="50"/>
        <v/>
      </c>
      <c r="AC147" s="881" t="str">
        <f t="shared" si="51"/>
        <v/>
      </c>
      <c r="AE147" s="881" t="str">
        <f t="shared" si="52"/>
        <v/>
      </c>
      <c r="AG147" s="881" t="str">
        <f t="shared" si="53"/>
        <v/>
      </c>
      <c r="AI147" s="881" t="str">
        <f t="shared" si="54"/>
        <v/>
      </c>
      <c r="AK147" s="881" t="str">
        <f t="shared" si="55"/>
        <v/>
      </c>
      <c r="AM147" s="881" t="str">
        <f t="shared" si="56"/>
        <v/>
      </c>
      <c r="AO147" s="881" t="str">
        <f t="shared" si="57"/>
        <v/>
      </c>
      <c r="AQ147" s="881" t="str">
        <f t="shared" si="58"/>
        <v/>
      </c>
    </row>
    <row r="148" spans="5:43" x14ac:dyDescent="0.2">
      <c r="E148" s="881" t="str">
        <f t="shared" si="39"/>
        <v/>
      </c>
      <c r="G148" s="881" t="str">
        <f t="shared" si="40"/>
        <v/>
      </c>
      <c r="I148" s="881" t="str">
        <f t="shared" si="41"/>
        <v/>
      </c>
      <c r="K148" s="881" t="str">
        <f t="shared" si="42"/>
        <v/>
      </c>
      <c r="M148" s="881" t="str">
        <f t="shared" si="43"/>
        <v/>
      </c>
      <c r="O148" s="881" t="str">
        <f t="shared" si="44"/>
        <v/>
      </c>
      <c r="Q148" s="881" t="str">
        <f t="shared" si="45"/>
        <v/>
      </c>
      <c r="S148" s="881" t="str">
        <f t="shared" si="46"/>
        <v/>
      </c>
      <c r="U148" s="881" t="str">
        <f t="shared" si="47"/>
        <v/>
      </c>
      <c r="W148" s="881" t="str">
        <f t="shared" si="48"/>
        <v/>
      </c>
      <c r="Y148" s="881" t="str">
        <f t="shared" si="49"/>
        <v/>
      </c>
      <c r="AA148" s="881" t="str">
        <f t="shared" si="50"/>
        <v/>
      </c>
      <c r="AC148" s="881" t="str">
        <f t="shared" si="51"/>
        <v/>
      </c>
      <c r="AE148" s="881" t="str">
        <f t="shared" si="52"/>
        <v/>
      </c>
      <c r="AG148" s="881" t="str">
        <f t="shared" si="53"/>
        <v/>
      </c>
      <c r="AI148" s="881" t="str">
        <f t="shared" si="54"/>
        <v/>
      </c>
      <c r="AK148" s="881" t="str">
        <f t="shared" si="55"/>
        <v/>
      </c>
      <c r="AM148" s="881" t="str">
        <f t="shared" si="56"/>
        <v/>
      </c>
      <c r="AO148" s="881" t="str">
        <f t="shared" si="57"/>
        <v/>
      </c>
      <c r="AQ148" s="881" t="str">
        <f t="shared" si="58"/>
        <v/>
      </c>
    </row>
    <row r="149" spans="5:43" x14ac:dyDescent="0.2">
      <c r="E149" s="881" t="str">
        <f t="shared" si="39"/>
        <v/>
      </c>
      <c r="G149" s="881" t="str">
        <f t="shared" si="40"/>
        <v/>
      </c>
      <c r="I149" s="881" t="str">
        <f t="shared" si="41"/>
        <v/>
      </c>
      <c r="K149" s="881" t="str">
        <f t="shared" si="42"/>
        <v/>
      </c>
      <c r="M149" s="881" t="str">
        <f t="shared" si="43"/>
        <v/>
      </c>
      <c r="O149" s="881" t="str">
        <f t="shared" si="44"/>
        <v/>
      </c>
      <c r="Q149" s="881" t="str">
        <f t="shared" si="45"/>
        <v/>
      </c>
      <c r="S149" s="881" t="str">
        <f t="shared" si="46"/>
        <v/>
      </c>
      <c r="U149" s="881" t="str">
        <f t="shared" si="47"/>
        <v/>
      </c>
      <c r="W149" s="881" t="str">
        <f t="shared" si="48"/>
        <v/>
      </c>
      <c r="Y149" s="881" t="str">
        <f t="shared" si="49"/>
        <v/>
      </c>
      <c r="AA149" s="881" t="str">
        <f t="shared" si="50"/>
        <v/>
      </c>
      <c r="AC149" s="881" t="str">
        <f t="shared" si="51"/>
        <v/>
      </c>
      <c r="AE149" s="881" t="str">
        <f t="shared" si="52"/>
        <v/>
      </c>
      <c r="AG149" s="881" t="str">
        <f t="shared" si="53"/>
        <v/>
      </c>
      <c r="AI149" s="881" t="str">
        <f t="shared" si="54"/>
        <v/>
      </c>
      <c r="AK149" s="881" t="str">
        <f t="shared" si="55"/>
        <v/>
      </c>
      <c r="AM149" s="881" t="str">
        <f t="shared" si="56"/>
        <v/>
      </c>
      <c r="AO149" s="881" t="str">
        <f t="shared" si="57"/>
        <v/>
      </c>
      <c r="AQ149" s="881" t="str">
        <f t="shared" si="58"/>
        <v/>
      </c>
    </row>
    <row r="150" spans="5:43" x14ac:dyDescent="0.2">
      <c r="E150" s="881" t="str">
        <f t="shared" si="39"/>
        <v/>
      </c>
      <c r="G150" s="881" t="str">
        <f t="shared" si="40"/>
        <v/>
      </c>
      <c r="I150" s="881" t="str">
        <f t="shared" si="41"/>
        <v/>
      </c>
      <c r="K150" s="881" t="str">
        <f t="shared" si="42"/>
        <v/>
      </c>
      <c r="M150" s="881" t="str">
        <f t="shared" si="43"/>
        <v/>
      </c>
      <c r="O150" s="881" t="str">
        <f t="shared" si="44"/>
        <v/>
      </c>
      <c r="Q150" s="881" t="str">
        <f t="shared" si="45"/>
        <v/>
      </c>
      <c r="S150" s="881" t="str">
        <f t="shared" si="46"/>
        <v/>
      </c>
      <c r="U150" s="881" t="str">
        <f t="shared" si="47"/>
        <v/>
      </c>
      <c r="W150" s="881" t="str">
        <f t="shared" si="48"/>
        <v/>
      </c>
      <c r="Y150" s="881" t="str">
        <f t="shared" si="49"/>
        <v/>
      </c>
      <c r="AA150" s="881" t="str">
        <f t="shared" si="50"/>
        <v/>
      </c>
      <c r="AC150" s="881" t="str">
        <f t="shared" si="51"/>
        <v/>
      </c>
      <c r="AE150" s="881" t="str">
        <f t="shared" si="52"/>
        <v/>
      </c>
      <c r="AG150" s="881" t="str">
        <f t="shared" si="53"/>
        <v/>
      </c>
      <c r="AI150" s="881" t="str">
        <f t="shared" si="54"/>
        <v/>
      </c>
      <c r="AK150" s="881" t="str">
        <f t="shared" si="55"/>
        <v/>
      </c>
      <c r="AM150" s="881" t="str">
        <f t="shared" si="56"/>
        <v/>
      </c>
      <c r="AO150" s="881" t="str">
        <f t="shared" si="57"/>
        <v/>
      </c>
      <c r="AQ150" s="881" t="str">
        <f t="shared" si="58"/>
        <v/>
      </c>
    </row>
    <row r="151" spans="5:43" x14ac:dyDescent="0.2">
      <c r="E151" s="881" t="str">
        <f t="shared" si="39"/>
        <v/>
      </c>
      <c r="G151" s="881" t="str">
        <f t="shared" si="40"/>
        <v/>
      </c>
      <c r="I151" s="881" t="str">
        <f t="shared" si="41"/>
        <v/>
      </c>
      <c r="K151" s="881" t="str">
        <f t="shared" si="42"/>
        <v/>
      </c>
      <c r="M151" s="881" t="str">
        <f t="shared" si="43"/>
        <v/>
      </c>
      <c r="O151" s="881" t="str">
        <f t="shared" si="44"/>
        <v/>
      </c>
      <c r="Q151" s="881" t="str">
        <f t="shared" si="45"/>
        <v/>
      </c>
      <c r="S151" s="881" t="str">
        <f t="shared" si="46"/>
        <v/>
      </c>
      <c r="U151" s="881" t="str">
        <f t="shared" si="47"/>
        <v/>
      </c>
      <c r="W151" s="881" t="str">
        <f t="shared" si="48"/>
        <v/>
      </c>
      <c r="Y151" s="881" t="str">
        <f t="shared" si="49"/>
        <v/>
      </c>
      <c r="AA151" s="881" t="str">
        <f t="shared" si="50"/>
        <v/>
      </c>
      <c r="AC151" s="881" t="str">
        <f t="shared" si="51"/>
        <v/>
      </c>
      <c r="AE151" s="881" t="str">
        <f t="shared" si="52"/>
        <v/>
      </c>
      <c r="AG151" s="881" t="str">
        <f t="shared" si="53"/>
        <v/>
      </c>
      <c r="AI151" s="881" t="str">
        <f t="shared" si="54"/>
        <v/>
      </c>
      <c r="AK151" s="881" t="str">
        <f t="shared" si="55"/>
        <v/>
      </c>
      <c r="AM151" s="881" t="str">
        <f t="shared" si="56"/>
        <v/>
      </c>
      <c r="AO151" s="881" t="str">
        <f t="shared" si="57"/>
        <v/>
      </c>
      <c r="AQ151" s="881" t="str">
        <f t="shared" si="58"/>
        <v/>
      </c>
    </row>
    <row r="152" spans="5:43" x14ac:dyDescent="0.2">
      <c r="E152" s="881" t="str">
        <f t="shared" si="39"/>
        <v/>
      </c>
      <c r="G152" s="881" t="str">
        <f t="shared" si="40"/>
        <v/>
      </c>
      <c r="I152" s="881" t="str">
        <f t="shared" si="41"/>
        <v/>
      </c>
      <c r="K152" s="881" t="str">
        <f t="shared" si="42"/>
        <v/>
      </c>
      <c r="M152" s="881" t="str">
        <f t="shared" si="43"/>
        <v/>
      </c>
      <c r="O152" s="881" t="str">
        <f t="shared" si="44"/>
        <v/>
      </c>
      <c r="Q152" s="881" t="str">
        <f t="shared" si="45"/>
        <v/>
      </c>
      <c r="S152" s="881" t="str">
        <f t="shared" si="46"/>
        <v/>
      </c>
      <c r="U152" s="881" t="str">
        <f t="shared" si="47"/>
        <v/>
      </c>
      <c r="W152" s="881" t="str">
        <f t="shared" si="48"/>
        <v/>
      </c>
      <c r="Y152" s="881" t="str">
        <f t="shared" si="49"/>
        <v/>
      </c>
      <c r="AA152" s="881" t="str">
        <f t="shared" si="50"/>
        <v/>
      </c>
      <c r="AC152" s="881" t="str">
        <f t="shared" si="51"/>
        <v/>
      </c>
      <c r="AE152" s="881" t="str">
        <f t="shared" si="52"/>
        <v/>
      </c>
      <c r="AG152" s="881" t="str">
        <f t="shared" si="53"/>
        <v/>
      </c>
      <c r="AI152" s="881" t="str">
        <f t="shared" si="54"/>
        <v/>
      </c>
      <c r="AK152" s="881" t="str">
        <f t="shared" si="55"/>
        <v/>
      </c>
      <c r="AM152" s="881" t="str">
        <f t="shared" si="56"/>
        <v/>
      </c>
      <c r="AO152" s="881" t="str">
        <f t="shared" si="57"/>
        <v/>
      </c>
      <c r="AQ152" s="881" t="str">
        <f t="shared" si="58"/>
        <v/>
      </c>
    </row>
    <row r="153" spans="5:43" x14ac:dyDescent="0.2">
      <c r="E153" s="881" t="str">
        <f t="shared" si="39"/>
        <v/>
      </c>
      <c r="G153" s="881" t="str">
        <f t="shared" si="40"/>
        <v/>
      </c>
      <c r="I153" s="881" t="str">
        <f t="shared" si="41"/>
        <v/>
      </c>
      <c r="K153" s="881" t="str">
        <f t="shared" si="42"/>
        <v/>
      </c>
      <c r="M153" s="881" t="str">
        <f t="shared" si="43"/>
        <v/>
      </c>
      <c r="O153" s="881" t="str">
        <f t="shared" si="44"/>
        <v/>
      </c>
      <c r="Q153" s="881" t="str">
        <f t="shared" si="45"/>
        <v/>
      </c>
      <c r="S153" s="881" t="str">
        <f t="shared" si="46"/>
        <v/>
      </c>
      <c r="U153" s="881" t="str">
        <f t="shared" si="47"/>
        <v/>
      </c>
      <c r="W153" s="881" t="str">
        <f t="shared" si="48"/>
        <v/>
      </c>
      <c r="Y153" s="881" t="str">
        <f t="shared" si="49"/>
        <v/>
      </c>
      <c r="AA153" s="881" t="str">
        <f t="shared" si="50"/>
        <v/>
      </c>
      <c r="AC153" s="881" t="str">
        <f t="shared" si="51"/>
        <v/>
      </c>
      <c r="AE153" s="881" t="str">
        <f t="shared" si="52"/>
        <v/>
      </c>
      <c r="AG153" s="881" t="str">
        <f t="shared" si="53"/>
        <v/>
      </c>
      <c r="AI153" s="881" t="str">
        <f t="shared" si="54"/>
        <v/>
      </c>
      <c r="AK153" s="881" t="str">
        <f t="shared" si="55"/>
        <v/>
      </c>
      <c r="AM153" s="881" t="str">
        <f t="shared" si="56"/>
        <v/>
      </c>
      <c r="AO153" s="881" t="str">
        <f t="shared" si="57"/>
        <v/>
      </c>
      <c r="AQ153" s="881" t="str">
        <f t="shared" si="58"/>
        <v/>
      </c>
    </row>
    <row r="154" spans="5:43" x14ac:dyDescent="0.2">
      <c r="E154" s="881" t="str">
        <f t="shared" si="39"/>
        <v/>
      </c>
      <c r="G154" s="881" t="str">
        <f t="shared" si="40"/>
        <v/>
      </c>
      <c r="I154" s="881" t="str">
        <f t="shared" si="41"/>
        <v/>
      </c>
      <c r="K154" s="881" t="str">
        <f t="shared" si="42"/>
        <v/>
      </c>
      <c r="M154" s="881" t="str">
        <f t="shared" si="43"/>
        <v/>
      </c>
      <c r="O154" s="881" t="str">
        <f t="shared" si="44"/>
        <v/>
      </c>
      <c r="Q154" s="881" t="str">
        <f t="shared" si="45"/>
        <v/>
      </c>
      <c r="S154" s="881" t="str">
        <f t="shared" si="46"/>
        <v/>
      </c>
      <c r="U154" s="881" t="str">
        <f t="shared" si="47"/>
        <v/>
      </c>
      <c r="W154" s="881" t="str">
        <f t="shared" si="48"/>
        <v/>
      </c>
      <c r="Y154" s="881" t="str">
        <f t="shared" si="49"/>
        <v/>
      </c>
      <c r="AA154" s="881" t="str">
        <f t="shared" si="50"/>
        <v/>
      </c>
      <c r="AC154" s="881" t="str">
        <f t="shared" si="51"/>
        <v/>
      </c>
      <c r="AE154" s="881" t="str">
        <f t="shared" si="52"/>
        <v/>
      </c>
      <c r="AG154" s="881" t="str">
        <f t="shared" si="53"/>
        <v/>
      </c>
      <c r="AI154" s="881" t="str">
        <f t="shared" si="54"/>
        <v/>
      </c>
      <c r="AK154" s="881" t="str">
        <f t="shared" si="55"/>
        <v/>
      </c>
      <c r="AM154" s="881" t="str">
        <f t="shared" si="56"/>
        <v/>
      </c>
      <c r="AO154" s="881" t="str">
        <f t="shared" si="57"/>
        <v/>
      </c>
      <c r="AQ154" s="881" t="str">
        <f t="shared" si="58"/>
        <v/>
      </c>
    </row>
    <row r="155" spans="5:43" x14ac:dyDescent="0.2">
      <c r="E155" s="881" t="str">
        <f t="shared" si="39"/>
        <v/>
      </c>
      <c r="G155" s="881" t="str">
        <f t="shared" si="40"/>
        <v/>
      </c>
      <c r="I155" s="881" t="str">
        <f t="shared" si="41"/>
        <v/>
      </c>
      <c r="K155" s="881" t="str">
        <f t="shared" si="42"/>
        <v/>
      </c>
      <c r="M155" s="881" t="str">
        <f t="shared" si="43"/>
        <v/>
      </c>
      <c r="O155" s="881" t="str">
        <f t="shared" si="44"/>
        <v/>
      </c>
      <c r="Q155" s="881" t="str">
        <f t="shared" si="45"/>
        <v/>
      </c>
      <c r="S155" s="881" t="str">
        <f t="shared" si="46"/>
        <v/>
      </c>
      <c r="U155" s="881" t="str">
        <f t="shared" si="47"/>
        <v/>
      </c>
      <c r="W155" s="881" t="str">
        <f t="shared" si="48"/>
        <v/>
      </c>
      <c r="Y155" s="881" t="str">
        <f t="shared" si="49"/>
        <v/>
      </c>
      <c r="AA155" s="881" t="str">
        <f t="shared" si="50"/>
        <v/>
      </c>
      <c r="AC155" s="881" t="str">
        <f t="shared" si="51"/>
        <v/>
      </c>
      <c r="AE155" s="881" t="str">
        <f t="shared" si="52"/>
        <v/>
      </c>
      <c r="AG155" s="881" t="str">
        <f t="shared" si="53"/>
        <v/>
      </c>
      <c r="AI155" s="881" t="str">
        <f t="shared" si="54"/>
        <v/>
      </c>
      <c r="AK155" s="881" t="str">
        <f t="shared" si="55"/>
        <v/>
      </c>
      <c r="AM155" s="881" t="str">
        <f t="shared" si="56"/>
        <v/>
      </c>
      <c r="AO155" s="881" t="str">
        <f t="shared" si="57"/>
        <v/>
      </c>
      <c r="AQ155" s="881" t="str">
        <f t="shared" si="58"/>
        <v/>
      </c>
    </row>
    <row r="156" spans="5:43" x14ac:dyDescent="0.2">
      <c r="E156" s="881" t="str">
        <f t="shared" si="39"/>
        <v/>
      </c>
      <c r="G156" s="881" t="str">
        <f t="shared" si="40"/>
        <v/>
      </c>
      <c r="I156" s="881" t="str">
        <f t="shared" si="41"/>
        <v/>
      </c>
      <c r="K156" s="881" t="str">
        <f t="shared" si="42"/>
        <v/>
      </c>
      <c r="M156" s="881" t="str">
        <f t="shared" si="43"/>
        <v/>
      </c>
      <c r="O156" s="881" t="str">
        <f t="shared" si="44"/>
        <v/>
      </c>
      <c r="Q156" s="881" t="str">
        <f t="shared" si="45"/>
        <v/>
      </c>
      <c r="S156" s="881" t="str">
        <f t="shared" si="46"/>
        <v/>
      </c>
      <c r="U156" s="881" t="str">
        <f t="shared" si="47"/>
        <v/>
      </c>
      <c r="W156" s="881" t="str">
        <f t="shared" si="48"/>
        <v/>
      </c>
      <c r="Y156" s="881" t="str">
        <f t="shared" si="49"/>
        <v/>
      </c>
      <c r="AA156" s="881" t="str">
        <f t="shared" si="50"/>
        <v/>
      </c>
      <c r="AC156" s="881" t="str">
        <f t="shared" si="51"/>
        <v/>
      </c>
      <c r="AE156" s="881" t="str">
        <f t="shared" si="52"/>
        <v/>
      </c>
      <c r="AG156" s="881" t="str">
        <f t="shared" si="53"/>
        <v/>
      </c>
      <c r="AI156" s="881" t="str">
        <f t="shared" si="54"/>
        <v/>
      </c>
      <c r="AK156" s="881" t="str">
        <f t="shared" si="55"/>
        <v/>
      </c>
      <c r="AM156" s="881" t="str">
        <f t="shared" si="56"/>
        <v/>
      </c>
      <c r="AO156" s="881" t="str">
        <f t="shared" si="57"/>
        <v/>
      </c>
      <c r="AQ156" s="881" t="str">
        <f t="shared" si="58"/>
        <v/>
      </c>
    </row>
    <row r="157" spans="5:43" x14ac:dyDescent="0.2">
      <c r="E157" s="881" t="str">
        <f t="shared" si="39"/>
        <v/>
      </c>
      <c r="G157" s="881" t="str">
        <f t="shared" si="40"/>
        <v/>
      </c>
      <c r="I157" s="881" t="str">
        <f t="shared" si="41"/>
        <v/>
      </c>
      <c r="K157" s="881" t="str">
        <f t="shared" si="42"/>
        <v/>
      </c>
      <c r="M157" s="881" t="str">
        <f t="shared" si="43"/>
        <v/>
      </c>
      <c r="O157" s="881" t="str">
        <f t="shared" si="44"/>
        <v/>
      </c>
      <c r="Q157" s="881" t="str">
        <f t="shared" si="45"/>
        <v/>
      </c>
      <c r="S157" s="881" t="str">
        <f t="shared" si="46"/>
        <v/>
      </c>
      <c r="U157" s="881" t="str">
        <f t="shared" si="47"/>
        <v/>
      </c>
      <c r="W157" s="881" t="str">
        <f t="shared" si="48"/>
        <v/>
      </c>
      <c r="Y157" s="881" t="str">
        <f t="shared" si="49"/>
        <v/>
      </c>
      <c r="AA157" s="881" t="str">
        <f t="shared" si="50"/>
        <v/>
      </c>
      <c r="AC157" s="881" t="str">
        <f t="shared" si="51"/>
        <v/>
      </c>
      <c r="AE157" s="881" t="str">
        <f t="shared" si="52"/>
        <v/>
      </c>
      <c r="AG157" s="881" t="str">
        <f t="shared" si="53"/>
        <v/>
      </c>
      <c r="AI157" s="881" t="str">
        <f t="shared" si="54"/>
        <v/>
      </c>
      <c r="AK157" s="881" t="str">
        <f t="shared" si="55"/>
        <v/>
      </c>
      <c r="AM157" s="881" t="str">
        <f t="shared" si="56"/>
        <v/>
      </c>
      <c r="AO157" s="881" t="str">
        <f t="shared" si="57"/>
        <v/>
      </c>
      <c r="AQ157" s="881" t="str">
        <f t="shared" si="58"/>
        <v/>
      </c>
    </row>
    <row r="158" spans="5:43" x14ac:dyDescent="0.2">
      <c r="E158" s="881" t="str">
        <f t="shared" si="39"/>
        <v/>
      </c>
      <c r="G158" s="881" t="str">
        <f t="shared" si="40"/>
        <v/>
      </c>
      <c r="I158" s="881" t="str">
        <f t="shared" si="41"/>
        <v/>
      </c>
      <c r="K158" s="881" t="str">
        <f t="shared" si="42"/>
        <v/>
      </c>
      <c r="M158" s="881" t="str">
        <f t="shared" si="43"/>
        <v/>
      </c>
      <c r="O158" s="881" t="str">
        <f t="shared" si="44"/>
        <v/>
      </c>
      <c r="Q158" s="881" t="str">
        <f t="shared" si="45"/>
        <v/>
      </c>
      <c r="S158" s="881" t="str">
        <f t="shared" si="46"/>
        <v/>
      </c>
      <c r="U158" s="881" t="str">
        <f t="shared" si="47"/>
        <v/>
      </c>
      <c r="W158" s="881" t="str">
        <f t="shared" si="48"/>
        <v/>
      </c>
      <c r="Y158" s="881" t="str">
        <f t="shared" si="49"/>
        <v/>
      </c>
      <c r="AA158" s="881" t="str">
        <f t="shared" si="50"/>
        <v/>
      </c>
      <c r="AC158" s="881" t="str">
        <f t="shared" si="51"/>
        <v/>
      </c>
      <c r="AE158" s="881" t="str">
        <f t="shared" si="52"/>
        <v/>
      </c>
      <c r="AG158" s="881" t="str">
        <f t="shared" si="53"/>
        <v/>
      </c>
      <c r="AI158" s="881" t="str">
        <f t="shared" si="54"/>
        <v/>
      </c>
      <c r="AK158" s="881" t="str">
        <f t="shared" si="55"/>
        <v/>
      </c>
      <c r="AM158" s="881" t="str">
        <f t="shared" si="56"/>
        <v/>
      </c>
      <c r="AO158" s="881" t="str">
        <f t="shared" si="57"/>
        <v/>
      </c>
      <c r="AQ158" s="881" t="str">
        <f t="shared" si="58"/>
        <v/>
      </c>
    </row>
    <row r="159" spans="5:43" x14ac:dyDescent="0.2">
      <c r="E159" s="881" t="str">
        <f t="shared" si="39"/>
        <v/>
      </c>
      <c r="G159" s="881" t="str">
        <f t="shared" si="40"/>
        <v/>
      </c>
      <c r="I159" s="881" t="str">
        <f t="shared" si="41"/>
        <v/>
      </c>
      <c r="K159" s="881" t="str">
        <f t="shared" si="42"/>
        <v/>
      </c>
      <c r="M159" s="881" t="str">
        <f t="shared" si="43"/>
        <v/>
      </c>
      <c r="O159" s="881" t="str">
        <f t="shared" si="44"/>
        <v/>
      </c>
      <c r="Q159" s="881" t="str">
        <f t="shared" si="45"/>
        <v/>
      </c>
      <c r="S159" s="881" t="str">
        <f t="shared" si="46"/>
        <v/>
      </c>
      <c r="U159" s="881" t="str">
        <f t="shared" si="47"/>
        <v/>
      </c>
      <c r="W159" s="881" t="str">
        <f t="shared" si="48"/>
        <v/>
      </c>
      <c r="Y159" s="881" t="str">
        <f t="shared" si="49"/>
        <v/>
      </c>
      <c r="AA159" s="881" t="str">
        <f t="shared" si="50"/>
        <v/>
      </c>
      <c r="AC159" s="881" t="str">
        <f t="shared" si="51"/>
        <v/>
      </c>
      <c r="AE159" s="881" t="str">
        <f t="shared" si="52"/>
        <v/>
      </c>
      <c r="AG159" s="881" t="str">
        <f t="shared" si="53"/>
        <v/>
      </c>
      <c r="AI159" s="881" t="str">
        <f t="shared" si="54"/>
        <v/>
      </c>
      <c r="AK159" s="881" t="str">
        <f t="shared" si="55"/>
        <v/>
      </c>
      <c r="AM159" s="881" t="str">
        <f t="shared" si="56"/>
        <v/>
      </c>
      <c r="AO159" s="881" t="str">
        <f t="shared" si="57"/>
        <v/>
      </c>
      <c r="AQ159" s="881" t="str">
        <f t="shared" si="58"/>
        <v/>
      </c>
    </row>
    <row r="160" spans="5:43" x14ac:dyDescent="0.2">
      <c r="E160" s="881" t="str">
        <f t="shared" si="39"/>
        <v/>
      </c>
      <c r="G160" s="881" t="str">
        <f t="shared" si="40"/>
        <v/>
      </c>
      <c r="I160" s="881" t="str">
        <f t="shared" si="41"/>
        <v/>
      </c>
      <c r="K160" s="881" t="str">
        <f t="shared" si="42"/>
        <v/>
      </c>
      <c r="M160" s="881" t="str">
        <f t="shared" si="43"/>
        <v/>
      </c>
      <c r="O160" s="881" t="str">
        <f t="shared" si="44"/>
        <v/>
      </c>
      <c r="Q160" s="881" t="str">
        <f t="shared" si="45"/>
        <v/>
      </c>
      <c r="S160" s="881" t="str">
        <f t="shared" si="46"/>
        <v/>
      </c>
      <c r="U160" s="881" t="str">
        <f t="shared" si="47"/>
        <v/>
      </c>
      <c r="W160" s="881" t="str">
        <f t="shared" si="48"/>
        <v/>
      </c>
      <c r="Y160" s="881" t="str">
        <f t="shared" si="49"/>
        <v/>
      </c>
      <c r="AA160" s="881" t="str">
        <f t="shared" si="50"/>
        <v/>
      </c>
      <c r="AC160" s="881" t="str">
        <f t="shared" si="51"/>
        <v/>
      </c>
      <c r="AE160" s="881" t="str">
        <f t="shared" si="52"/>
        <v/>
      </c>
      <c r="AG160" s="881" t="str">
        <f t="shared" si="53"/>
        <v/>
      </c>
      <c r="AI160" s="881" t="str">
        <f t="shared" si="54"/>
        <v/>
      </c>
      <c r="AK160" s="881" t="str">
        <f t="shared" si="55"/>
        <v/>
      </c>
      <c r="AM160" s="881" t="str">
        <f t="shared" si="56"/>
        <v/>
      </c>
      <c r="AO160" s="881" t="str">
        <f t="shared" si="57"/>
        <v/>
      </c>
      <c r="AQ160" s="881" t="str">
        <f t="shared" si="58"/>
        <v/>
      </c>
    </row>
    <row r="161" spans="5:43" x14ac:dyDescent="0.2">
      <c r="E161" s="881" t="str">
        <f t="shared" si="39"/>
        <v/>
      </c>
      <c r="G161" s="881" t="str">
        <f t="shared" si="40"/>
        <v/>
      </c>
      <c r="I161" s="881" t="str">
        <f t="shared" si="41"/>
        <v/>
      </c>
      <c r="K161" s="881" t="str">
        <f t="shared" si="42"/>
        <v/>
      </c>
      <c r="M161" s="881" t="str">
        <f t="shared" si="43"/>
        <v/>
      </c>
      <c r="O161" s="881" t="str">
        <f t="shared" si="44"/>
        <v/>
      </c>
      <c r="Q161" s="881" t="str">
        <f t="shared" si="45"/>
        <v/>
      </c>
      <c r="S161" s="881" t="str">
        <f t="shared" si="46"/>
        <v/>
      </c>
      <c r="U161" s="881" t="str">
        <f t="shared" si="47"/>
        <v/>
      </c>
      <c r="W161" s="881" t="str">
        <f t="shared" si="48"/>
        <v/>
      </c>
      <c r="Y161" s="881" t="str">
        <f t="shared" si="49"/>
        <v/>
      </c>
      <c r="AA161" s="881" t="str">
        <f t="shared" si="50"/>
        <v/>
      </c>
      <c r="AC161" s="881" t="str">
        <f t="shared" si="51"/>
        <v/>
      </c>
      <c r="AE161" s="881" t="str">
        <f t="shared" si="52"/>
        <v/>
      </c>
      <c r="AG161" s="881" t="str">
        <f t="shared" si="53"/>
        <v/>
      </c>
      <c r="AI161" s="881" t="str">
        <f t="shared" si="54"/>
        <v/>
      </c>
      <c r="AK161" s="881" t="str">
        <f t="shared" si="55"/>
        <v/>
      </c>
      <c r="AM161" s="881" t="str">
        <f t="shared" si="56"/>
        <v/>
      </c>
      <c r="AO161" s="881" t="str">
        <f t="shared" si="57"/>
        <v/>
      </c>
      <c r="AQ161" s="881" t="str">
        <f t="shared" si="58"/>
        <v/>
      </c>
    </row>
    <row r="162" spans="5:43" x14ac:dyDescent="0.2">
      <c r="E162" s="881" t="str">
        <f t="shared" si="39"/>
        <v/>
      </c>
      <c r="G162" s="881" t="str">
        <f t="shared" si="40"/>
        <v/>
      </c>
      <c r="I162" s="881" t="str">
        <f t="shared" si="41"/>
        <v/>
      </c>
      <c r="K162" s="881" t="str">
        <f t="shared" si="42"/>
        <v/>
      </c>
      <c r="M162" s="881" t="str">
        <f t="shared" si="43"/>
        <v/>
      </c>
      <c r="O162" s="881" t="str">
        <f t="shared" si="44"/>
        <v/>
      </c>
      <c r="Q162" s="881" t="str">
        <f t="shared" si="45"/>
        <v/>
      </c>
      <c r="S162" s="881" t="str">
        <f t="shared" si="46"/>
        <v/>
      </c>
      <c r="U162" s="881" t="str">
        <f t="shared" si="47"/>
        <v/>
      </c>
      <c r="W162" s="881" t="str">
        <f t="shared" si="48"/>
        <v/>
      </c>
      <c r="Y162" s="881" t="str">
        <f t="shared" si="49"/>
        <v/>
      </c>
      <c r="AA162" s="881" t="str">
        <f t="shared" si="50"/>
        <v/>
      </c>
      <c r="AC162" s="881" t="str">
        <f t="shared" si="51"/>
        <v/>
      </c>
      <c r="AE162" s="881" t="str">
        <f t="shared" si="52"/>
        <v/>
      </c>
      <c r="AG162" s="881" t="str">
        <f t="shared" si="53"/>
        <v/>
      </c>
      <c r="AI162" s="881" t="str">
        <f t="shared" si="54"/>
        <v/>
      </c>
      <c r="AK162" s="881" t="str">
        <f t="shared" si="55"/>
        <v/>
      </c>
      <c r="AM162" s="881" t="str">
        <f t="shared" si="56"/>
        <v/>
      </c>
      <c r="AO162" s="881" t="str">
        <f t="shared" si="57"/>
        <v/>
      </c>
      <c r="AQ162" s="881" t="str">
        <f t="shared" si="58"/>
        <v/>
      </c>
    </row>
    <row r="163" spans="5:43" x14ac:dyDescent="0.2">
      <c r="E163" s="881" t="str">
        <f t="shared" si="39"/>
        <v/>
      </c>
      <c r="G163" s="881" t="str">
        <f t="shared" si="40"/>
        <v/>
      </c>
      <c r="I163" s="881" t="str">
        <f t="shared" si="41"/>
        <v/>
      </c>
      <c r="K163" s="881" t="str">
        <f t="shared" si="42"/>
        <v/>
      </c>
      <c r="M163" s="881" t="str">
        <f t="shared" si="43"/>
        <v/>
      </c>
      <c r="O163" s="881" t="str">
        <f t="shared" si="44"/>
        <v/>
      </c>
      <c r="Q163" s="881" t="str">
        <f t="shared" si="45"/>
        <v/>
      </c>
      <c r="S163" s="881" t="str">
        <f t="shared" si="46"/>
        <v/>
      </c>
      <c r="U163" s="881" t="str">
        <f t="shared" si="47"/>
        <v/>
      </c>
      <c r="W163" s="881" t="str">
        <f t="shared" si="48"/>
        <v/>
      </c>
      <c r="Y163" s="881" t="str">
        <f t="shared" si="49"/>
        <v/>
      </c>
      <c r="AA163" s="881" t="str">
        <f t="shared" si="50"/>
        <v/>
      </c>
      <c r="AC163" s="881" t="str">
        <f t="shared" si="51"/>
        <v/>
      </c>
      <c r="AE163" s="881" t="str">
        <f t="shared" si="52"/>
        <v/>
      </c>
      <c r="AG163" s="881" t="str">
        <f t="shared" si="53"/>
        <v/>
      </c>
      <c r="AI163" s="881" t="str">
        <f t="shared" si="54"/>
        <v/>
      </c>
      <c r="AK163" s="881" t="str">
        <f t="shared" si="55"/>
        <v/>
      </c>
      <c r="AM163" s="881" t="str">
        <f t="shared" si="56"/>
        <v/>
      </c>
      <c r="AO163" s="881" t="str">
        <f t="shared" si="57"/>
        <v/>
      </c>
      <c r="AQ163" s="881" t="str">
        <f t="shared" si="58"/>
        <v/>
      </c>
    </row>
    <row r="164" spans="5:43" x14ac:dyDescent="0.2">
      <c r="E164" s="881" t="str">
        <f t="shared" si="39"/>
        <v/>
      </c>
      <c r="G164" s="881" t="str">
        <f t="shared" si="40"/>
        <v/>
      </c>
      <c r="I164" s="881" t="str">
        <f t="shared" si="41"/>
        <v/>
      </c>
      <c r="K164" s="881" t="str">
        <f t="shared" si="42"/>
        <v/>
      </c>
      <c r="M164" s="881" t="str">
        <f t="shared" si="43"/>
        <v/>
      </c>
      <c r="O164" s="881" t="str">
        <f t="shared" si="44"/>
        <v/>
      </c>
      <c r="Q164" s="881" t="str">
        <f t="shared" si="45"/>
        <v/>
      </c>
      <c r="S164" s="881" t="str">
        <f t="shared" si="46"/>
        <v/>
      </c>
      <c r="U164" s="881" t="str">
        <f t="shared" si="47"/>
        <v/>
      </c>
      <c r="W164" s="881" t="str">
        <f t="shared" si="48"/>
        <v/>
      </c>
      <c r="Y164" s="881" t="str">
        <f t="shared" si="49"/>
        <v/>
      </c>
      <c r="AA164" s="881" t="str">
        <f t="shared" si="50"/>
        <v/>
      </c>
      <c r="AC164" s="881" t="str">
        <f t="shared" si="51"/>
        <v/>
      </c>
      <c r="AE164" s="881" t="str">
        <f t="shared" si="52"/>
        <v/>
      </c>
      <c r="AG164" s="881" t="str">
        <f t="shared" si="53"/>
        <v/>
      </c>
      <c r="AI164" s="881" t="str">
        <f t="shared" si="54"/>
        <v/>
      </c>
      <c r="AK164" s="881" t="str">
        <f t="shared" si="55"/>
        <v/>
      </c>
      <c r="AM164" s="881" t="str">
        <f t="shared" si="56"/>
        <v/>
      </c>
      <c r="AO164" s="881" t="str">
        <f t="shared" si="57"/>
        <v/>
      </c>
      <c r="AQ164" s="881" t="str">
        <f t="shared" si="58"/>
        <v/>
      </c>
    </row>
    <row r="165" spans="5:43" x14ac:dyDescent="0.2">
      <c r="E165" s="881" t="str">
        <f t="shared" ref="E165:E228" si="59">IF(OR($B166=0,D165=0),"",D165/$B166)</f>
        <v/>
      </c>
      <c r="G165" s="881" t="str">
        <f t="shared" ref="G165:G228" si="60">IF(OR($B166=0,F165=0),"",F165/$B166)</f>
        <v/>
      </c>
      <c r="I165" s="881" t="str">
        <f t="shared" ref="I165:I228" si="61">IF(OR($B166=0,H165=0),"",H165/$B166)</f>
        <v/>
      </c>
      <c r="K165" s="881" t="str">
        <f t="shared" ref="K165:K228" si="62">IF(OR($B166=0,J165=0),"",J165/$B166)</f>
        <v/>
      </c>
      <c r="M165" s="881" t="str">
        <f t="shared" ref="M165:M228" si="63">IF(OR($B166=0,L165=0),"",L165/$B166)</f>
        <v/>
      </c>
      <c r="O165" s="881" t="str">
        <f t="shared" ref="O165:O228" si="64">IF(OR($B166=0,N165=0),"",N165/$B166)</f>
        <v/>
      </c>
      <c r="Q165" s="881" t="str">
        <f t="shared" ref="Q165:Q228" si="65">IF(OR($B166=0,P165=0),"",P165/$B166)</f>
        <v/>
      </c>
      <c r="S165" s="881" t="str">
        <f t="shared" ref="S165:S228" si="66">IF(OR($B166=0,R165=0),"",R165/$B166)</f>
        <v/>
      </c>
      <c r="U165" s="881" t="str">
        <f t="shared" ref="U165:U228" si="67">IF(OR($B166=0,T165=0),"",T165/$B166)</f>
        <v/>
      </c>
      <c r="W165" s="881" t="str">
        <f t="shared" ref="W165:W228" si="68">IF(OR($B166=0,V165=0),"",V165/$B166)</f>
        <v/>
      </c>
      <c r="Y165" s="881" t="str">
        <f t="shared" ref="Y165:Y228" si="69">IF(OR($B166=0,X165=0),"",X165/$B166)</f>
        <v/>
      </c>
      <c r="AA165" s="881" t="str">
        <f t="shared" ref="AA165:AA228" si="70">IF(OR($B166=0,Z166=0),"",Z166/$B166)</f>
        <v/>
      </c>
      <c r="AC165" s="881" t="str">
        <f t="shared" ref="AC165:AC228" si="71">IF(OR($B166=0,AB165=0),"",AB165/$B166)</f>
        <v/>
      </c>
      <c r="AE165" s="881" t="str">
        <f t="shared" ref="AE165:AE228" si="72">IF(OR($B166=0,AD165=0),"",AD165/$B166)</f>
        <v/>
      </c>
      <c r="AG165" s="881" t="str">
        <f t="shared" ref="AG165:AG228" si="73">IF(OR($B166=0,AF165=0),"",AF165/$B166)</f>
        <v/>
      </c>
      <c r="AI165" s="881" t="str">
        <f t="shared" ref="AI165:AI228" si="74">IF(OR($B166=0,AH165=0),"",AH165/$B166)</f>
        <v/>
      </c>
      <c r="AK165" s="881" t="str">
        <f t="shared" ref="AK165:AK228" si="75">IF(OR($B166=0,AJ165=0),"",AJ165/$B166)</f>
        <v/>
      </c>
      <c r="AM165" s="881" t="str">
        <f t="shared" ref="AM165:AM228" si="76">IF(OR($B166=0,AL165=0),"",AL165/$B166)</f>
        <v/>
      </c>
      <c r="AO165" s="881" t="str">
        <f t="shared" ref="AO165:AO228" si="77">IF(OR($B166=0,AN165=0),"",AN165/$B166)</f>
        <v/>
      </c>
      <c r="AQ165" s="881" t="str">
        <f t="shared" ref="AQ165:AQ228" si="78">IF(OR($B166=0,AP165=0),"",AP165/$B166)</f>
        <v/>
      </c>
    </row>
    <row r="166" spans="5:43" x14ac:dyDescent="0.2">
      <c r="E166" s="881" t="str">
        <f t="shared" si="59"/>
        <v/>
      </c>
      <c r="G166" s="881" t="str">
        <f t="shared" si="60"/>
        <v/>
      </c>
      <c r="I166" s="881" t="str">
        <f t="shared" si="61"/>
        <v/>
      </c>
      <c r="K166" s="881" t="str">
        <f t="shared" si="62"/>
        <v/>
      </c>
      <c r="M166" s="881" t="str">
        <f t="shared" si="63"/>
        <v/>
      </c>
      <c r="O166" s="881" t="str">
        <f t="shared" si="64"/>
        <v/>
      </c>
      <c r="Q166" s="881" t="str">
        <f t="shared" si="65"/>
        <v/>
      </c>
      <c r="S166" s="881" t="str">
        <f t="shared" si="66"/>
        <v/>
      </c>
      <c r="U166" s="881" t="str">
        <f t="shared" si="67"/>
        <v/>
      </c>
      <c r="W166" s="881" t="str">
        <f t="shared" si="68"/>
        <v/>
      </c>
      <c r="Y166" s="881" t="str">
        <f t="shared" si="69"/>
        <v/>
      </c>
      <c r="AA166" s="881" t="str">
        <f t="shared" si="70"/>
        <v/>
      </c>
      <c r="AC166" s="881" t="str">
        <f t="shared" si="71"/>
        <v/>
      </c>
      <c r="AE166" s="881" t="str">
        <f t="shared" si="72"/>
        <v/>
      </c>
      <c r="AG166" s="881" t="str">
        <f t="shared" si="73"/>
        <v/>
      </c>
      <c r="AI166" s="881" t="str">
        <f t="shared" si="74"/>
        <v/>
      </c>
      <c r="AK166" s="881" t="str">
        <f t="shared" si="75"/>
        <v/>
      </c>
      <c r="AM166" s="881" t="str">
        <f t="shared" si="76"/>
        <v/>
      </c>
      <c r="AO166" s="881" t="str">
        <f t="shared" si="77"/>
        <v/>
      </c>
      <c r="AQ166" s="881" t="str">
        <f t="shared" si="78"/>
        <v/>
      </c>
    </row>
    <row r="167" spans="5:43" x14ac:dyDescent="0.2">
      <c r="E167" s="881" t="str">
        <f t="shared" si="59"/>
        <v/>
      </c>
      <c r="G167" s="881" t="str">
        <f t="shared" si="60"/>
        <v/>
      </c>
      <c r="I167" s="881" t="str">
        <f t="shared" si="61"/>
        <v/>
      </c>
      <c r="K167" s="881" t="str">
        <f t="shared" si="62"/>
        <v/>
      </c>
      <c r="M167" s="881" t="str">
        <f t="shared" si="63"/>
        <v/>
      </c>
      <c r="O167" s="881" t="str">
        <f t="shared" si="64"/>
        <v/>
      </c>
      <c r="Q167" s="881" t="str">
        <f t="shared" si="65"/>
        <v/>
      </c>
      <c r="S167" s="881" t="str">
        <f t="shared" si="66"/>
        <v/>
      </c>
      <c r="U167" s="881" t="str">
        <f t="shared" si="67"/>
        <v/>
      </c>
      <c r="W167" s="881" t="str">
        <f t="shared" si="68"/>
        <v/>
      </c>
      <c r="Y167" s="881" t="str">
        <f t="shared" si="69"/>
        <v/>
      </c>
      <c r="AA167" s="881" t="str">
        <f t="shared" si="70"/>
        <v/>
      </c>
      <c r="AC167" s="881" t="str">
        <f t="shared" si="71"/>
        <v/>
      </c>
      <c r="AE167" s="881" t="str">
        <f t="shared" si="72"/>
        <v/>
      </c>
      <c r="AG167" s="881" t="str">
        <f t="shared" si="73"/>
        <v/>
      </c>
      <c r="AI167" s="881" t="str">
        <f t="shared" si="74"/>
        <v/>
      </c>
      <c r="AK167" s="881" t="str">
        <f t="shared" si="75"/>
        <v/>
      </c>
      <c r="AM167" s="881" t="str">
        <f t="shared" si="76"/>
        <v/>
      </c>
      <c r="AO167" s="881" t="str">
        <f t="shared" si="77"/>
        <v/>
      </c>
      <c r="AQ167" s="881" t="str">
        <f t="shared" si="78"/>
        <v/>
      </c>
    </row>
    <row r="168" spans="5:43" x14ac:dyDescent="0.2">
      <c r="E168" s="881" t="str">
        <f t="shared" si="59"/>
        <v/>
      </c>
      <c r="G168" s="881" t="str">
        <f t="shared" si="60"/>
        <v/>
      </c>
      <c r="I168" s="881" t="str">
        <f t="shared" si="61"/>
        <v/>
      </c>
      <c r="K168" s="881" t="str">
        <f t="shared" si="62"/>
        <v/>
      </c>
      <c r="M168" s="881" t="str">
        <f t="shared" si="63"/>
        <v/>
      </c>
      <c r="O168" s="881" t="str">
        <f t="shared" si="64"/>
        <v/>
      </c>
      <c r="Q168" s="881" t="str">
        <f t="shared" si="65"/>
        <v/>
      </c>
      <c r="S168" s="881" t="str">
        <f t="shared" si="66"/>
        <v/>
      </c>
      <c r="U168" s="881" t="str">
        <f t="shared" si="67"/>
        <v/>
      </c>
      <c r="W168" s="881" t="str">
        <f t="shared" si="68"/>
        <v/>
      </c>
      <c r="Y168" s="881" t="str">
        <f t="shared" si="69"/>
        <v/>
      </c>
      <c r="AA168" s="881" t="str">
        <f t="shared" si="70"/>
        <v/>
      </c>
      <c r="AC168" s="881" t="str">
        <f t="shared" si="71"/>
        <v/>
      </c>
      <c r="AE168" s="881" t="str">
        <f t="shared" si="72"/>
        <v/>
      </c>
      <c r="AG168" s="881" t="str">
        <f t="shared" si="73"/>
        <v/>
      </c>
      <c r="AI168" s="881" t="str">
        <f t="shared" si="74"/>
        <v/>
      </c>
      <c r="AK168" s="881" t="str">
        <f t="shared" si="75"/>
        <v/>
      </c>
      <c r="AM168" s="881" t="str">
        <f t="shared" si="76"/>
        <v/>
      </c>
      <c r="AO168" s="881" t="str">
        <f t="shared" si="77"/>
        <v/>
      </c>
      <c r="AQ168" s="881" t="str">
        <f t="shared" si="78"/>
        <v/>
      </c>
    </row>
    <row r="169" spans="5:43" x14ac:dyDescent="0.2">
      <c r="E169" s="881" t="str">
        <f t="shared" si="59"/>
        <v/>
      </c>
      <c r="G169" s="881" t="str">
        <f t="shared" si="60"/>
        <v/>
      </c>
      <c r="I169" s="881" t="str">
        <f t="shared" si="61"/>
        <v/>
      </c>
      <c r="K169" s="881" t="str">
        <f t="shared" si="62"/>
        <v/>
      </c>
      <c r="M169" s="881" t="str">
        <f t="shared" si="63"/>
        <v/>
      </c>
      <c r="O169" s="881" t="str">
        <f t="shared" si="64"/>
        <v/>
      </c>
      <c r="Q169" s="881" t="str">
        <f t="shared" si="65"/>
        <v/>
      </c>
      <c r="S169" s="881" t="str">
        <f t="shared" si="66"/>
        <v/>
      </c>
      <c r="U169" s="881" t="str">
        <f t="shared" si="67"/>
        <v/>
      </c>
      <c r="W169" s="881" t="str">
        <f t="shared" si="68"/>
        <v/>
      </c>
      <c r="Y169" s="881" t="str">
        <f t="shared" si="69"/>
        <v/>
      </c>
      <c r="AA169" s="881" t="str">
        <f t="shared" si="70"/>
        <v/>
      </c>
      <c r="AC169" s="881" t="str">
        <f t="shared" si="71"/>
        <v/>
      </c>
      <c r="AE169" s="881" t="str">
        <f t="shared" si="72"/>
        <v/>
      </c>
      <c r="AG169" s="881" t="str">
        <f t="shared" si="73"/>
        <v/>
      </c>
      <c r="AI169" s="881" t="str">
        <f t="shared" si="74"/>
        <v/>
      </c>
      <c r="AK169" s="881" t="str">
        <f t="shared" si="75"/>
        <v/>
      </c>
      <c r="AM169" s="881" t="str">
        <f t="shared" si="76"/>
        <v/>
      </c>
      <c r="AO169" s="881" t="str">
        <f t="shared" si="77"/>
        <v/>
      </c>
      <c r="AQ169" s="881" t="str">
        <f t="shared" si="78"/>
        <v/>
      </c>
    </row>
    <row r="170" spans="5:43" x14ac:dyDescent="0.2">
      <c r="E170" s="881" t="str">
        <f t="shared" si="59"/>
        <v/>
      </c>
      <c r="G170" s="881" t="str">
        <f t="shared" si="60"/>
        <v/>
      </c>
      <c r="I170" s="881" t="str">
        <f t="shared" si="61"/>
        <v/>
      </c>
      <c r="K170" s="881" t="str">
        <f t="shared" si="62"/>
        <v/>
      </c>
      <c r="M170" s="881" t="str">
        <f t="shared" si="63"/>
        <v/>
      </c>
      <c r="O170" s="881" t="str">
        <f t="shared" si="64"/>
        <v/>
      </c>
      <c r="Q170" s="881" t="str">
        <f t="shared" si="65"/>
        <v/>
      </c>
      <c r="S170" s="881" t="str">
        <f t="shared" si="66"/>
        <v/>
      </c>
      <c r="U170" s="881" t="str">
        <f t="shared" si="67"/>
        <v/>
      </c>
      <c r="W170" s="881" t="str">
        <f t="shared" si="68"/>
        <v/>
      </c>
      <c r="Y170" s="881" t="str">
        <f t="shared" si="69"/>
        <v/>
      </c>
      <c r="AA170" s="881" t="str">
        <f t="shared" si="70"/>
        <v/>
      </c>
      <c r="AC170" s="881" t="str">
        <f t="shared" si="71"/>
        <v/>
      </c>
      <c r="AE170" s="881" t="str">
        <f t="shared" si="72"/>
        <v/>
      </c>
      <c r="AG170" s="881" t="str">
        <f t="shared" si="73"/>
        <v/>
      </c>
      <c r="AI170" s="881" t="str">
        <f t="shared" si="74"/>
        <v/>
      </c>
      <c r="AK170" s="881" t="str">
        <f t="shared" si="75"/>
        <v/>
      </c>
      <c r="AM170" s="881" t="str">
        <f t="shared" si="76"/>
        <v/>
      </c>
      <c r="AO170" s="881" t="str">
        <f t="shared" si="77"/>
        <v/>
      </c>
      <c r="AQ170" s="881" t="str">
        <f t="shared" si="78"/>
        <v/>
      </c>
    </row>
    <row r="171" spans="5:43" x14ac:dyDescent="0.2">
      <c r="E171" s="881" t="str">
        <f t="shared" si="59"/>
        <v/>
      </c>
      <c r="G171" s="881" t="str">
        <f t="shared" si="60"/>
        <v/>
      </c>
      <c r="I171" s="881" t="str">
        <f t="shared" si="61"/>
        <v/>
      </c>
      <c r="K171" s="881" t="str">
        <f t="shared" si="62"/>
        <v/>
      </c>
      <c r="M171" s="881" t="str">
        <f t="shared" si="63"/>
        <v/>
      </c>
      <c r="O171" s="881" t="str">
        <f t="shared" si="64"/>
        <v/>
      </c>
      <c r="Q171" s="881" t="str">
        <f t="shared" si="65"/>
        <v/>
      </c>
      <c r="S171" s="881" t="str">
        <f t="shared" si="66"/>
        <v/>
      </c>
      <c r="U171" s="881" t="str">
        <f t="shared" si="67"/>
        <v/>
      </c>
      <c r="W171" s="881" t="str">
        <f t="shared" si="68"/>
        <v/>
      </c>
      <c r="Y171" s="881" t="str">
        <f t="shared" si="69"/>
        <v/>
      </c>
      <c r="AA171" s="881" t="str">
        <f t="shared" si="70"/>
        <v/>
      </c>
      <c r="AC171" s="881" t="str">
        <f t="shared" si="71"/>
        <v/>
      </c>
      <c r="AE171" s="881" t="str">
        <f t="shared" si="72"/>
        <v/>
      </c>
      <c r="AG171" s="881" t="str">
        <f t="shared" si="73"/>
        <v/>
      </c>
      <c r="AI171" s="881" t="str">
        <f t="shared" si="74"/>
        <v/>
      </c>
      <c r="AK171" s="881" t="str">
        <f t="shared" si="75"/>
        <v/>
      </c>
      <c r="AM171" s="881" t="str">
        <f t="shared" si="76"/>
        <v/>
      </c>
      <c r="AO171" s="881" t="str">
        <f t="shared" si="77"/>
        <v/>
      </c>
      <c r="AQ171" s="881" t="str">
        <f t="shared" si="78"/>
        <v/>
      </c>
    </row>
    <row r="172" spans="5:43" x14ac:dyDescent="0.2">
      <c r="E172" s="881" t="str">
        <f t="shared" si="59"/>
        <v/>
      </c>
      <c r="G172" s="881" t="str">
        <f t="shared" si="60"/>
        <v/>
      </c>
      <c r="I172" s="881" t="str">
        <f t="shared" si="61"/>
        <v/>
      </c>
      <c r="K172" s="881" t="str">
        <f t="shared" si="62"/>
        <v/>
      </c>
      <c r="M172" s="881" t="str">
        <f t="shared" si="63"/>
        <v/>
      </c>
      <c r="O172" s="881" t="str">
        <f t="shared" si="64"/>
        <v/>
      </c>
      <c r="Q172" s="881" t="str">
        <f t="shared" si="65"/>
        <v/>
      </c>
      <c r="S172" s="881" t="str">
        <f t="shared" si="66"/>
        <v/>
      </c>
      <c r="U172" s="881" t="str">
        <f t="shared" si="67"/>
        <v/>
      </c>
      <c r="W172" s="881" t="str">
        <f t="shared" si="68"/>
        <v/>
      </c>
      <c r="Y172" s="881" t="str">
        <f t="shared" si="69"/>
        <v/>
      </c>
      <c r="AA172" s="881" t="str">
        <f t="shared" si="70"/>
        <v/>
      </c>
      <c r="AC172" s="881" t="str">
        <f t="shared" si="71"/>
        <v/>
      </c>
      <c r="AE172" s="881" t="str">
        <f t="shared" si="72"/>
        <v/>
      </c>
      <c r="AG172" s="881" t="str">
        <f t="shared" si="73"/>
        <v/>
      </c>
      <c r="AI172" s="881" t="str">
        <f t="shared" si="74"/>
        <v/>
      </c>
      <c r="AK172" s="881" t="str">
        <f t="shared" si="75"/>
        <v/>
      </c>
      <c r="AM172" s="881" t="str">
        <f t="shared" si="76"/>
        <v/>
      </c>
      <c r="AO172" s="881" t="str">
        <f t="shared" si="77"/>
        <v/>
      </c>
      <c r="AQ172" s="881" t="str">
        <f t="shared" si="78"/>
        <v/>
      </c>
    </row>
    <row r="173" spans="5:43" x14ac:dyDescent="0.2">
      <c r="E173" s="881" t="str">
        <f t="shared" si="59"/>
        <v/>
      </c>
      <c r="G173" s="881" t="str">
        <f t="shared" si="60"/>
        <v/>
      </c>
      <c r="I173" s="881" t="str">
        <f t="shared" si="61"/>
        <v/>
      </c>
      <c r="K173" s="881" t="str">
        <f t="shared" si="62"/>
        <v/>
      </c>
      <c r="M173" s="881" t="str">
        <f t="shared" si="63"/>
        <v/>
      </c>
      <c r="O173" s="881" t="str">
        <f t="shared" si="64"/>
        <v/>
      </c>
      <c r="Q173" s="881" t="str">
        <f t="shared" si="65"/>
        <v/>
      </c>
      <c r="S173" s="881" t="str">
        <f t="shared" si="66"/>
        <v/>
      </c>
      <c r="U173" s="881" t="str">
        <f t="shared" si="67"/>
        <v/>
      </c>
      <c r="W173" s="881" t="str">
        <f t="shared" si="68"/>
        <v/>
      </c>
      <c r="Y173" s="881" t="str">
        <f t="shared" si="69"/>
        <v/>
      </c>
      <c r="AA173" s="881" t="str">
        <f t="shared" si="70"/>
        <v/>
      </c>
      <c r="AC173" s="881" t="str">
        <f t="shared" si="71"/>
        <v/>
      </c>
      <c r="AE173" s="881" t="str">
        <f t="shared" si="72"/>
        <v/>
      </c>
      <c r="AG173" s="881" t="str">
        <f t="shared" si="73"/>
        <v/>
      </c>
      <c r="AI173" s="881" t="str">
        <f t="shared" si="74"/>
        <v/>
      </c>
      <c r="AK173" s="881" t="str">
        <f t="shared" si="75"/>
        <v/>
      </c>
      <c r="AM173" s="881" t="str">
        <f t="shared" si="76"/>
        <v/>
      </c>
      <c r="AO173" s="881" t="str">
        <f t="shared" si="77"/>
        <v/>
      </c>
      <c r="AQ173" s="881" t="str">
        <f t="shared" si="78"/>
        <v/>
      </c>
    </row>
    <row r="174" spans="5:43" x14ac:dyDescent="0.2">
      <c r="E174" s="881" t="str">
        <f t="shared" si="59"/>
        <v/>
      </c>
      <c r="G174" s="881" t="str">
        <f t="shared" si="60"/>
        <v/>
      </c>
      <c r="I174" s="881" t="str">
        <f t="shared" si="61"/>
        <v/>
      </c>
      <c r="K174" s="881" t="str">
        <f t="shared" si="62"/>
        <v/>
      </c>
      <c r="M174" s="881" t="str">
        <f t="shared" si="63"/>
        <v/>
      </c>
      <c r="O174" s="881" t="str">
        <f t="shared" si="64"/>
        <v/>
      </c>
      <c r="Q174" s="881" t="str">
        <f t="shared" si="65"/>
        <v/>
      </c>
      <c r="S174" s="881" t="str">
        <f t="shared" si="66"/>
        <v/>
      </c>
      <c r="U174" s="881" t="str">
        <f t="shared" si="67"/>
        <v/>
      </c>
      <c r="W174" s="881" t="str">
        <f t="shared" si="68"/>
        <v/>
      </c>
      <c r="Y174" s="881" t="str">
        <f t="shared" si="69"/>
        <v/>
      </c>
      <c r="AA174" s="881" t="str">
        <f t="shared" si="70"/>
        <v/>
      </c>
      <c r="AC174" s="881" t="str">
        <f t="shared" si="71"/>
        <v/>
      </c>
      <c r="AE174" s="881" t="str">
        <f t="shared" si="72"/>
        <v/>
      </c>
      <c r="AG174" s="881" t="str">
        <f t="shared" si="73"/>
        <v/>
      </c>
      <c r="AI174" s="881" t="str">
        <f t="shared" si="74"/>
        <v/>
      </c>
      <c r="AK174" s="881" t="str">
        <f t="shared" si="75"/>
        <v/>
      </c>
      <c r="AM174" s="881" t="str">
        <f t="shared" si="76"/>
        <v/>
      </c>
      <c r="AO174" s="881" t="str">
        <f t="shared" si="77"/>
        <v/>
      </c>
      <c r="AQ174" s="881" t="str">
        <f t="shared" si="78"/>
        <v/>
      </c>
    </row>
    <row r="175" spans="5:43" x14ac:dyDescent="0.2">
      <c r="E175" s="881" t="str">
        <f t="shared" si="59"/>
        <v/>
      </c>
      <c r="G175" s="881" t="str">
        <f t="shared" si="60"/>
        <v/>
      </c>
      <c r="I175" s="881" t="str">
        <f t="shared" si="61"/>
        <v/>
      </c>
      <c r="K175" s="881" t="str">
        <f t="shared" si="62"/>
        <v/>
      </c>
      <c r="M175" s="881" t="str">
        <f t="shared" si="63"/>
        <v/>
      </c>
      <c r="O175" s="881" t="str">
        <f t="shared" si="64"/>
        <v/>
      </c>
      <c r="Q175" s="881" t="str">
        <f t="shared" si="65"/>
        <v/>
      </c>
      <c r="S175" s="881" t="str">
        <f t="shared" si="66"/>
        <v/>
      </c>
      <c r="U175" s="881" t="str">
        <f t="shared" si="67"/>
        <v/>
      </c>
      <c r="W175" s="881" t="str">
        <f t="shared" si="68"/>
        <v/>
      </c>
      <c r="Y175" s="881" t="str">
        <f t="shared" si="69"/>
        <v/>
      </c>
      <c r="AA175" s="881" t="str">
        <f t="shared" si="70"/>
        <v/>
      </c>
      <c r="AC175" s="881" t="str">
        <f t="shared" si="71"/>
        <v/>
      </c>
      <c r="AE175" s="881" t="str">
        <f t="shared" si="72"/>
        <v/>
      </c>
      <c r="AG175" s="881" t="str">
        <f t="shared" si="73"/>
        <v/>
      </c>
      <c r="AI175" s="881" t="str">
        <f t="shared" si="74"/>
        <v/>
      </c>
      <c r="AK175" s="881" t="str">
        <f t="shared" si="75"/>
        <v/>
      </c>
      <c r="AM175" s="881" t="str">
        <f t="shared" si="76"/>
        <v/>
      </c>
      <c r="AO175" s="881" t="str">
        <f t="shared" si="77"/>
        <v/>
      </c>
      <c r="AQ175" s="881" t="str">
        <f t="shared" si="78"/>
        <v/>
      </c>
    </row>
    <row r="176" spans="5:43" x14ac:dyDescent="0.2">
      <c r="E176" s="881" t="str">
        <f t="shared" si="59"/>
        <v/>
      </c>
      <c r="G176" s="881" t="str">
        <f t="shared" si="60"/>
        <v/>
      </c>
      <c r="I176" s="881" t="str">
        <f t="shared" si="61"/>
        <v/>
      </c>
      <c r="K176" s="881" t="str">
        <f t="shared" si="62"/>
        <v/>
      </c>
      <c r="M176" s="881" t="str">
        <f t="shared" si="63"/>
        <v/>
      </c>
      <c r="O176" s="881" t="str">
        <f t="shared" si="64"/>
        <v/>
      </c>
      <c r="Q176" s="881" t="str">
        <f t="shared" si="65"/>
        <v/>
      </c>
      <c r="S176" s="881" t="str">
        <f t="shared" si="66"/>
        <v/>
      </c>
      <c r="U176" s="881" t="str">
        <f t="shared" si="67"/>
        <v/>
      </c>
      <c r="W176" s="881" t="str">
        <f t="shared" si="68"/>
        <v/>
      </c>
      <c r="Y176" s="881" t="str">
        <f t="shared" si="69"/>
        <v/>
      </c>
      <c r="AA176" s="881" t="str">
        <f t="shared" si="70"/>
        <v/>
      </c>
      <c r="AC176" s="881" t="str">
        <f t="shared" si="71"/>
        <v/>
      </c>
      <c r="AE176" s="881" t="str">
        <f t="shared" si="72"/>
        <v/>
      </c>
      <c r="AG176" s="881" t="str">
        <f t="shared" si="73"/>
        <v/>
      </c>
      <c r="AI176" s="881" t="str">
        <f t="shared" si="74"/>
        <v/>
      </c>
      <c r="AK176" s="881" t="str">
        <f t="shared" si="75"/>
        <v/>
      </c>
      <c r="AM176" s="881" t="str">
        <f t="shared" si="76"/>
        <v/>
      </c>
      <c r="AO176" s="881" t="str">
        <f t="shared" si="77"/>
        <v/>
      </c>
      <c r="AQ176" s="881" t="str">
        <f t="shared" si="78"/>
        <v/>
      </c>
    </row>
    <row r="177" spans="5:43" x14ac:dyDescent="0.2">
      <c r="E177" s="881" t="str">
        <f t="shared" si="59"/>
        <v/>
      </c>
      <c r="G177" s="881" t="str">
        <f t="shared" si="60"/>
        <v/>
      </c>
      <c r="I177" s="881" t="str">
        <f t="shared" si="61"/>
        <v/>
      </c>
      <c r="K177" s="881" t="str">
        <f t="shared" si="62"/>
        <v/>
      </c>
      <c r="M177" s="881" t="str">
        <f t="shared" si="63"/>
        <v/>
      </c>
      <c r="O177" s="881" t="str">
        <f t="shared" si="64"/>
        <v/>
      </c>
      <c r="Q177" s="881" t="str">
        <f t="shared" si="65"/>
        <v/>
      </c>
      <c r="S177" s="881" t="str">
        <f t="shared" si="66"/>
        <v/>
      </c>
      <c r="U177" s="881" t="str">
        <f t="shared" si="67"/>
        <v/>
      </c>
      <c r="W177" s="881" t="str">
        <f t="shared" si="68"/>
        <v/>
      </c>
      <c r="Y177" s="881" t="str">
        <f t="shared" si="69"/>
        <v/>
      </c>
      <c r="AA177" s="881" t="str">
        <f t="shared" si="70"/>
        <v/>
      </c>
      <c r="AC177" s="881" t="str">
        <f t="shared" si="71"/>
        <v/>
      </c>
      <c r="AE177" s="881" t="str">
        <f t="shared" si="72"/>
        <v/>
      </c>
      <c r="AG177" s="881" t="str">
        <f t="shared" si="73"/>
        <v/>
      </c>
      <c r="AI177" s="881" t="str">
        <f t="shared" si="74"/>
        <v/>
      </c>
      <c r="AK177" s="881" t="str">
        <f t="shared" si="75"/>
        <v/>
      </c>
      <c r="AM177" s="881" t="str">
        <f t="shared" si="76"/>
        <v/>
      </c>
      <c r="AO177" s="881" t="str">
        <f t="shared" si="77"/>
        <v/>
      </c>
      <c r="AQ177" s="881" t="str">
        <f t="shared" si="78"/>
        <v/>
      </c>
    </row>
    <row r="178" spans="5:43" x14ac:dyDescent="0.2">
      <c r="E178" s="881" t="str">
        <f t="shared" si="59"/>
        <v/>
      </c>
      <c r="G178" s="881" t="str">
        <f t="shared" si="60"/>
        <v/>
      </c>
      <c r="I178" s="881" t="str">
        <f t="shared" si="61"/>
        <v/>
      </c>
      <c r="K178" s="881" t="str">
        <f t="shared" si="62"/>
        <v/>
      </c>
      <c r="M178" s="881" t="str">
        <f t="shared" si="63"/>
        <v/>
      </c>
      <c r="O178" s="881" t="str">
        <f t="shared" si="64"/>
        <v/>
      </c>
      <c r="Q178" s="881" t="str">
        <f t="shared" si="65"/>
        <v/>
      </c>
      <c r="S178" s="881" t="str">
        <f t="shared" si="66"/>
        <v/>
      </c>
      <c r="U178" s="881" t="str">
        <f t="shared" si="67"/>
        <v/>
      </c>
      <c r="W178" s="881" t="str">
        <f t="shared" si="68"/>
        <v/>
      </c>
      <c r="Y178" s="881" t="str">
        <f t="shared" si="69"/>
        <v/>
      </c>
      <c r="AA178" s="881" t="str">
        <f t="shared" si="70"/>
        <v/>
      </c>
      <c r="AC178" s="881" t="str">
        <f t="shared" si="71"/>
        <v/>
      </c>
      <c r="AE178" s="881" t="str">
        <f t="shared" si="72"/>
        <v/>
      </c>
      <c r="AG178" s="881" t="str">
        <f t="shared" si="73"/>
        <v/>
      </c>
      <c r="AI178" s="881" t="str">
        <f t="shared" si="74"/>
        <v/>
      </c>
      <c r="AK178" s="881" t="str">
        <f t="shared" si="75"/>
        <v/>
      </c>
      <c r="AM178" s="881" t="str">
        <f t="shared" si="76"/>
        <v/>
      </c>
      <c r="AO178" s="881" t="str">
        <f t="shared" si="77"/>
        <v/>
      </c>
      <c r="AQ178" s="881" t="str">
        <f t="shared" si="78"/>
        <v/>
      </c>
    </row>
    <row r="179" spans="5:43" x14ac:dyDescent="0.2">
      <c r="E179" s="881" t="str">
        <f t="shared" si="59"/>
        <v/>
      </c>
      <c r="G179" s="881" t="str">
        <f t="shared" si="60"/>
        <v/>
      </c>
      <c r="I179" s="881" t="str">
        <f t="shared" si="61"/>
        <v/>
      </c>
      <c r="K179" s="881" t="str">
        <f t="shared" si="62"/>
        <v/>
      </c>
      <c r="M179" s="881" t="str">
        <f t="shared" si="63"/>
        <v/>
      </c>
      <c r="O179" s="881" t="str">
        <f t="shared" si="64"/>
        <v/>
      </c>
      <c r="Q179" s="881" t="str">
        <f t="shared" si="65"/>
        <v/>
      </c>
      <c r="S179" s="881" t="str">
        <f t="shared" si="66"/>
        <v/>
      </c>
      <c r="U179" s="881" t="str">
        <f t="shared" si="67"/>
        <v/>
      </c>
      <c r="W179" s="881" t="str">
        <f t="shared" si="68"/>
        <v/>
      </c>
      <c r="Y179" s="881" t="str">
        <f t="shared" si="69"/>
        <v/>
      </c>
      <c r="AA179" s="881" t="str">
        <f t="shared" si="70"/>
        <v/>
      </c>
      <c r="AC179" s="881" t="str">
        <f t="shared" si="71"/>
        <v/>
      </c>
      <c r="AE179" s="881" t="str">
        <f t="shared" si="72"/>
        <v/>
      </c>
      <c r="AG179" s="881" t="str">
        <f t="shared" si="73"/>
        <v/>
      </c>
      <c r="AI179" s="881" t="str">
        <f t="shared" si="74"/>
        <v/>
      </c>
      <c r="AK179" s="881" t="str">
        <f t="shared" si="75"/>
        <v/>
      </c>
      <c r="AM179" s="881" t="str">
        <f t="shared" si="76"/>
        <v/>
      </c>
      <c r="AO179" s="881" t="str">
        <f t="shared" si="77"/>
        <v/>
      </c>
      <c r="AQ179" s="881" t="str">
        <f t="shared" si="78"/>
        <v/>
      </c>
    </row>
    <row r="180" spans="5:43" x14ac:dyDescent="0.2">
      <c r="E180" s="881" t="str">
        <f t="shared" si="59"/>
        <v/>
      </c>
      <c r="G180" s="881" t="str">
        <f t="shared" si="60"/>
        <v/>
      </c>
      <c r="I180" s="881" t="str">
        <f t="shared" si="61"/>
        <v/>
      </c>
      <c r="K180" s="881" t="str">
        <f t="shared" si="62"/>
        <v/>
      </c>
      <c r="M180" s="881" t="str">
        <f t="shared" si="63"/>
        <v/>
      </c>
      <c r="O180" s="881" t="str">
        <f t="shared" si="64"/>
        <v/>
      </c>
      <c r="Q180" s="881" t="str">
        <f t="shared" si="65"/>
        <v/>
      </c>
      <c r="S180" s="881" t="str">
        <f t="shared" si="66"/>
        <v/>
      </c>
      <c r="U180" s="881" t="str">
        <f t="shared" si="67"/>
        <v/>
      </c>
      <c r="W180" s="881" t="str">
        <f t="shared" si="68"/>
        <v/>
      </c>
      <c r="Y180" s="881" t="str">
        <f t="shared" si="69"/>
        <v/>
      </c>
      <c r="AA180" s="881" t="str">
        <f t="shared" si="70"/>
        <v/>
      </c>
      <c r="AC180" s="881" t="str">
        <f t="shared" si="71"/>
        <v/>
      </c>
      <c r="AE180" s="881" t="str">
        <f t="shared" si="72"/>
        <v/>
      </c>
      <c r="AG180" s="881" t="str">
        <f t="shared" si="73"/>
        <v/>
      </c>
      <c r="AI180" s="881" t="str">
        <f t="shared" si="74"/>
        <v/>
      </c>
      <c r="AK180" s="881" t="str">
        <f t="shared" si="75"/>
        <v/>
      </c>
      <c r="AM180" s="881" t="str">
        <f t="shared" si="76"/>
        <v/>
      </c>
      <c r="AO180" s="881" t="str">
        <f t="shared" si="77"/>
        <v/>
      </c>
      <c r="AQ180" s="881" t="str">
        <f t="shared" si="78"/>
        <v/>
      </c>
    </row>
    <row r="181" spans="5:43" x14ac:dyDescent="0.2">
      <c r="E181" s="881" t="str">
        <f t="shared" si="59"/>
        <v/>
      </c>
      <c r="G181" s="881" t="str">
        <f t="shared" si="60"/>
        <v/>
      </c>
      <c r="I181" s="881" t="str">
        <f t="shared" si="61"/>
        <v/>
      </c>
      <c r="K181" s="881" t="str">
        <f t="shared" si="62"/>
        <v/>
      </c>
      <c r="M181" s="881" t="str">
        <f t="shared" si="63"/>
        <v/>
      </c>
      <c r="O181" s="881" t="str">
        <f t="shared" si="64"/>
        <v/>
      </c>
      <c r="Q181" s="881" t="str">
        <f t="shared" si="65"/>
        <v/>
      </c>
      <c r="S181" s="881" t="str">
        <f t="shared" si="66"/>
        <v/>
      </c>
      <c r="U181" s="881" t="str">
        <f t="shared" si="67"/>
        <v/>
      </c>
      <c r="W181" s="881" t="str">
        <f t="shared" si="68"/>
        <v/>
      </c>
      <c r="Y181" s="881" t="str">
        <f t="shared" si="69"/>
        <v/>
      </c>
      <c r="AA181" s="881" t="str">
        <f t="shared" si="70"/>
        <v/>
      </c>
      <c r="AC181" s="881" t="str">
        <f t="shared" si="71"/>
        <v/>
      </c>
      <c r="AE181" s="881" t="str">
        <f t="shared" si="72"/>
        <v/>
      </c>
      <c r="AG181" s="881" t="str">
        <f t="shared" si="73"/>
        <v/>
      </c>
      <c r="AI181" s="881" t="str">
        <f t="shared" si="74"/>
        <v/>
      </c>
      <c r="AK181" s="881" t="str">
        <f t="shared" si="75"/>
        <v/>
      </c>
      <c r="AM181" s="881" t="str">
        <f t="shared" si="76"/>
        <v/>
      </c>
      <c r="AO181" s="881" t="str">
        <f t="shared" si="77"/>
        <v/>
      </c>
      <c r="AQ181" s="881" t="str">
        <f t="shared" si="78"/>
        <v/>
      </c>
    </row>
    <row r="182" spans="5:43" x14ac:dyDescent="0.2">
      <c r="E182" s="881" t="str">
        <f t="shared" si="59"/>
        <v/>
      </c>
      <c r="G182" s="881" t="str">
        <f t="shared" si="60"/>
        <v/>
      </c>
      <c r="I182" s="881" t="str">
        <f t="shared" si="61"/>
        <v/>
      </c>
      <c r="K182" s="881" t="str">
        <f t="shared" si="62"/>
        <v/>
      </c>
      <c r="M182" s="881" t="str">
        <f t="shared" si="63"/>
        <v/>
      </c>
      <c r="O182" s="881" t="str">
        <f t="shared" si="64"/>
        <v/>
      </c>
      <c r="Q182" s="881" t="str">
        <f t="shared" si="65"/>
        <v/>
      </c>
      <c r="S182" s="881" t="str">
        <f t="shared" si="66"/>
        <v/>
      </c>
      <c r="U182" s="881" t="str">
        <f t="shared" si="67"/>
        <v/>
      </c>
      <c r="W182" s="881" t="str">
        <f t="shared" si="68"/>
        <v/>
      </c>
      <c r="Y182" s="881" t="str">
        <f t="shared" si="69"/>
        <v/>
      </c>
      <c r="AA182" s="881" t="str">
        <f t="shared" si="70"/>
        <v/>
      </c>
      <c r="AC182" s="881" t="str">
        <f t="shared" si="71"/>
        <v/>
      </c>
      <c r="AE182" s="881" t="str">
        <f t="shared" si="72"/>
        <v/>
      </c>
      <c r="AG182" s="881" t="str">
        <f t="shared" si="73"/>
        <v/>
      </c>
      <c r="AI182" s="881" t="str">
        <f t="shared" si="74"/>
        <v/>
      </c>
      <c r="AK182" s="881" t="str">
        <f t="shared" si="75"/>
        <v/>
      </c>
      <c r="AM182" s="881" t="str">
        <f t="shared" si="76"/>
        <v/>
      </c>
      <c r="AO182" s="881" t="str">
        <f t="shared" si="77"/>
        <v/>
      </c>
      <c r="AQ182" s="881" t="str">
        <f t="shared" si="78"/>
        <v/>
      </c>
    </row>
    <row r="183" spans="5:43" x14ac:dyDescent="0.2">
      <c r="E183" s="881" t="str">
        <f t="shared" si="59"/>
        <v/>
      </c>
      <c r="G183" s="881" t="str">
        <f t="shared" si="60"/>
        <v/>
      </c>
      <c r="I183" s="881" t="str">
        <f t="shared" si="61"/>
        <v/>
      </c>
      <c r="K183" s="881" t="str">
        <f t="shared" si="62"/>
        <v/>
      </c>
      <c r="M183" s="881" t="str">
        <f t="shared" si="63"/>
        <v/>
      </c>
      <c r="O183" s="881" t="str">
        <f t="shared" si="64"/>
        <v/>
      </c>
      <c r="Q183" s="881" t="str">
        <f t="shared" si="65"/>
        <v/>
      </c>
      <c r="S183" s="881" t="str">
        <f t="shared" si="66"/>
        <v/>
      </c>
      <c r="U183" s="881" t="str">
        <f t="shared" si="67"/>
        <v/>
      </c>
      <c r="W183" s="881" t="str">
        <f t="shared" si="68"/>
        <v/>
      </c>
      <c r="Y183" s="881" t="str">
        <f t="shared" si="69"/>
        <v/>
      </c>
      <c r="AA183" s="881" t="str">
        <f t="shared" si="70"/>
        <v/>
      </c>
      <c r="AC183" s="881" t="str">
        <f t="shared" si="71"/>
        <v/>
      </c>
      <c r="AE183" s="881" t="str">
        <f t="shared" si="72"/>
        <v/>
      </c>
      <c r="AG183" s="881" t="str">
        <f t="shared" si="73"/>
        <v/>
      </c>
      <c r="AI183" s="881" t="str">
        <f t="shared" si="74"/>
        <v/>
      </c>
      <c r="AK183" s="881" t="str">
        <f t="shared" si="75"/>
        <v/>
      </c>
      <c r="AM183" s="881" t="str">
        <f t="shared" si="76"/>
        <v/>
      </c>
      <c r="AO183" s="881" t="str">
        <f t="shared" si="77"/>
        <v/>
      </c>
      <c r="AQ183" s="881" t="str">
        <f t="shared" si="78"/>
        <v/>
      </c>
    </row>
    <row r="184" spans="5:43" x14ac:dyDescent="0.2">
      <c r="E184" s="881" t="str">
        <f t="shared" si="59"/>
        <v/>
      </c>
      <c r="G184" s="881" t="str">
        <f t="shared" si="60"/>
        <v/>
      </c>
      <c r="I184" s="881" t="str">
        <f t="shared" si="61"/>
        <v/>
      </c>
      <c r="K184" s="881" t="str">
        <f t="shared" si="62"/>
        <v/>
      </c>
      <c r="M184" s="881" t="str">
        <f t="shared" si="63"/>
        <v/>
      </c>
      <c r="O184" s="881" t="str">
        <f t="shared" si="64"/>
        <v/>
      </c>
      <c r="Q184" s="881" t="str">
        <f t="shared" si="65"/>
        <v/>
      </c>
      <c r="S184" s="881" t="str">
        <f t="shared" si="66"/>
        <v/>
      </c>
      <c r="U184" s="881" t="str">
        <f t="shared" si="67"/>
        <v/>
      </c>
      <c r="W184" s="881" t="str">
        <f t="shared" si="68"/>
        <v/>
      </c>
      <c r="Y184" s="881" t="str">
        <f t="shared" si="69"/>
        <v/>
      </c>
      <c r="AA184" s="881" t="str">
        <f t="shared" si="70"/>
        <v/>
      </c>
      <c r="AC184" s="881" t="str">
        <f t="shared" si="71"/>
        <v/>
      </c>
      <c r="AE184" s="881" t="str">
        <f t="shared" si="72"/>
        <v/>
      </c>
      <c r="AG184" s="881" t="str">
        <f t="shared" si="73"/>
        <v/>
      </c>
      <c r="AI184" s="881" t="str">
        <f t="shared" si="74"/>
        <v/>
      </c>
      <c r="AK184" s="881" t="str">
        <f t="shared" si="75"/>
        <v/>
      </c>
      <c r="AM184" s="881" t="str">
        <f t="shared" si="76"/>
        <v/>
      </c>
      <c r="AO184" s="881" t="str">
        <f t="shared" si="77"/>
        <v/>
      </c>
      <c r="AQ184" s="881" t="str">
        <f t="shared" si="78"/>
        <v/>
      </c>
    </row>
    <row r="185" spans="5:43" x14ac:dyDescent="0.2">
      <c r="E185" s="881" t="str">
        <f t="shared" si="59"/>
        <v/>
      </c>
      <c r="G185" s="881" t="str">
        <f t="shared" si="60"/>
        <v/>
      </c>
      <c r="I185" s="881" t="str">
        <f t="shared" si="61"/>
        <v/>
      </c>
      <c r="K185" s="881" t="str">
        <f t="shared" si="62"/>
        <v/>
      </c>
      <c r="M185" s="881" t="str">
        <f t="shared" si="63"/>
        <v/>
      </c>
      <c r="O185" s="881" t="str">
        <f t="shared" si="64"/>
        <v/>
      </c>
      <c r="Q185" s="881" t="str">
        <f t="shared" si="65"/>
        <v/>
      </c>
      <c r="S185" s="881" t="str">
        <f t="shared" si="66"/>
        <v/>
      </c>
      <c r="U185" s="881" t="str">
        <f t="shared" si="67"/>
        <v/>
      </c>
      <c r="W185" s="881" t="str">
        <f t="shared" si="68"/>
        <v/>
      </c>
      <c r="Y185" s="881" t="str">
        <f t="shared" si="69"/>
        <v/>
      </c>
      <c r="AA185" s="881" t="str">
        <f t="shared" si="70"/>
        <v/>
      </c>
      <c r="AC185" s="881" t="str">
        <f t="shared" si="71"/>
        <v/>
      </c>
      <c r="AE185" s="881" t="str">
        <f t="shared" si="72"/>
        <v/>
      </c>
      <c r="AG185" s="881" t="str">
        <f t="shared" si="73"/>
        <v/>
      </c>
      <c r="AI185" s="881" t="str">
        <f t="shared" si="74"/>
        <v/>
      </c>
      <c r="AK185" s="881" t="str">
        <f t="shared" si="75"/>
        <v/>
      </c>
      <c r="AM185" s="881" t="str">
        <f t="shared" si="76"/>
        <v/>
      </c>
      <c r="AO185" s="881" t="str">
        <f t="shared" si="77"/>
        <v/>
      </c>
      <c r="AQ185" s="881" t="str">
        <f t="shared" si="78"/>
        <v/>
      </c>
    </row>
    <row r="186" spans="5:43" x14ac:dyDescent="0.2">
      <c r="E186" s="881" t="str">
        <f t="shared" si="59"/>
        <v/>
      </c>
      <c r="G186" s="881" t="str">
        <f t="shared" si="60"/>
        <v/>
      </c>
      <c r="I186" s="881" t="str">
        <f t="shared" si="61"/>
        <v/>
      </c>
      <c r="K186" s="881" t="str">
        <f t="shared" si="62"/>
        <v/>
      </c>
      <c r="M186" s="881" t="str">
        <f t="shared" si="63"/>
        <v/>
      </c>
      <c r="O186" s="881" t="str">
        <f t="shared" si="64"/>
        <v/>
      </c>
      <c r="Q186" s="881" t="str">
        <f t="shared" si="65"/>
        <v/>
      </c>
      <c r="S186" s="881" t="str">
        <f t="shared" si="66"/>
        <v/>
      </c>
      <c r="U186" s="881" t="str">
        <f t="shared" si="67"/>
        <v/>
      </c>
      <c r="W186" s="881" t="str">
        <f t="shared" si="68"/>
        <v/>
      </c>
      <c r="Y186" s="881" t="str">
        <f t="shared" si="69"/>
        <v/>
      </c>
      <c r="AA186" s="881" t="str">
        <f t="shared" si="70"/>
        <v/>
      </c>
      <c r="AC186" s="881" t="str">
        <f t="shared" si="71"/>
        <v/>
      </c>
      <c r="AE186" s="881" t="str">
        <f t="shared" si="72"/>
        <v/>
      </c>
      <c r="AG186" s="881" t="str">
        <f t="shared" si="73"/>
        <v/>
      </c>
      <c r="AI186" s="881" t="str">
        <f t="shared" si="74"/>
        <v/>
      </c>
      <c r="AK186" s="881" t="str">
        <f t="shared" si="75"/>
        <v/>
      </c>
      <c r="AM186" s="881" t="str">
        <f t="shared" si="76"/>
        <v/>
      </c>
      <c r="AO186" s="881" t="str">
        <f t="shared" si="77"/>
        <v/>
      </c>
      <c r="AQ186" s="881" t="str">
        <f t="shared" si="78"/>
        <v/>
      </c>
    </row>
    <row r="187" spans="5:43" x14ac:dyDescent="0.2">
      <c r="E187" s="881" t="str">
        <f t="shared" si="59"/>
        <v/>
      </c>
      <c r="G187" s="881" t="str">
        <f t="shared" si="60"/>
        <v/>
      </c>
      <c r="I187" s="881" t="str">
        <f t="shared" si="61"/>
        <v/>
      </c>
      <c r="K187" s="881" t="str">
        <f t="shared" si="62"/>
        <v/>
      </c>
      <c r="M187" s="881" t="str">
        <f t="shared" si="63"/>
        <v/>
      </c>
      <c r="O187" s="881" t="str">
        <f t="shared" si="64"/>
        <v/>
      </c>
      <c r="Q187" s="881" t="str">
        <f t="shared" si="65"/>
        <v/>
      </c>
      <c r="S187" s="881" t="str">
        <f t="shared" si="66"/>
        <v/>
      </c>
      <c r="U187" s="881" t="str">
        <f t="shared" si="67"/>
        <v/>
      </c>
      <c r="W187" s="881" t="str">
        <f t="shared" si="68"/>
        <v/>
      </c>
      <c r="Y187" s="881" t="str">
        <f t="shared" si="69"/>
        <v/>
      </c>
      <c r="AA187" s="881" t="str">
        <f t="shared" si="70"/>
        <v/>
      </c>
      <c r="AC187" s="881" t="str">
        <f t="shared" si="71"/>
        <v/>
      </c>
      <c r="AE187" s="881" t="str">
        <f t="shared" si="72"/>
        <v/>
      </c>
      <c r="AG187" s="881" t="str">
        <f t="shared" si="73"/>
        <v/>
      </c>
      <c r="AI187" s="881" t="str">
        <f t="shared" si="74"/>
        <v/>
      </c>
      <c r="AK187" s="881" t="str">
        <f t="shared" si="75"/>
        <v/>
      </c>
      <c r="AM187" s="881" t="str">
        <f t="shared" si="76"/>
        <v/>
      </c>
      <c r="AO187" s="881" t="str">
        <f t="shared" si="77"/>
        <v/>
      </c>
      <c r="AQ187" s="881" t="str">
        <f t="shared" si="78"/>
        <v/>
      </c>
    </row>
    <row r="188" spans="5:43" x14ac:dyDescent="0.2">
      <c r="E188" s="881" t="str">
        <f t="shared" si="59"/>
        <v/>
      </c>
      <c r="G188" s="881" t="str">
        <f t="shared" si="60"/>
        <v/>
      </c>
      <c r="I188" s="881" t="str">
        <f t="shared" si="61"/>
        <v/>
      </c>
      <c r="K188" s="881" t="str">
        <f t="shared" si="62"/>
        <v/>
      </c>
      <c r="M188" s="881" t="str">
        <f t="shared" si="63"/>
        <v/>
      </c>
      <c r="O188" s="881" t="str">
        <f t="shared" si="64"/>
        <v/>
      </c>
      <c r="Q188" s="881" t="str">
        <f t="shared" si="65"/>
        <v/>
      </c>
      <c r="S188" s="881" t="str">
        <f t="shared" si="66"/>
        <v/>
      </c>
      <c r="U188" s="881" t="str">
        <f t="shared" si="67"/>
        <v/>
      </c>
      <c r="W188" s="881" t="str">
        <f t="shared" si="68"/>
        <v/>
      </c>
      <c r="Y188" s="881" t="str">
        <f t="shared" si="69"/>
        <v/>
      </c>
      <c r="AA188" s="881" t="str">
        <f t="shared" si="70"/>
        <v/>
      </c>
      <c r="AC188" s="881" t="str">
        <f t="shared" si="71"/>
        <v/>
      </c>
      <c r="AE188" s="881" t="str">
        <f t="shared" si="72"/>
        <v/>
      </c>
      <c r="AG188" s="881" t="str">
        <f t="shared" si="73"/>
        <v/>
      </c>
      <c r="AI188" s="881" t="str">
        <f t="shared" si="74"/>
        <v/>
      </c>
      <c r="AK188" s="881" t="str">
        <f t="shared" si="75"/>
        <v/>
      </c>
      <c r="AM188" s="881" t="str">
        <f t="shared" si="76"/>
        <v/>
      </c>
      <c r="AO188" s="881" t="str">
        <f t="shared" si="77"/>
        <v/>
      </c>
      <c r="AQ188" s="881" t="str">
        <f t="shared" si="78"/>
        <v/>
      </c>
    </row>
    <row r="189" spans="5:43" x14ac:dyDescent="0.2">
      <c r="E189" s="881" t="str">
        <f t="shared" si="59"/>
        <v/>
      </c>
      <c r="G189" s="881" t="str">
        <f t="shared" si="60"/>
        <v/>
      </c>
      <c r="I189" s="881" t="str">
        <f t="shared" si="61"/>
        <v/>
      </c>
      <c r="K189" s="881" t="str">
        <f t="shared" si="62"/>
        <v/>
      </c>
      <c r="M189" s="881" t="str">
        <f t="shared" si="63"/>
        <v/>
      </c>
      <c r="O189" s="881" t="str">
        <f t="shared" si="64"/>
        <v/>
      </c>
      <c r="Q189" s="881" t="str">
        <f t="shared" si="65"/>
        <v/>
      </c>
      <c r="S189" s="881" t="str">
        <f t="shared" si="66"/>
        <v/>
      </c>
      <c r="U189" s="881" t="str">
        <f t="shared" si="67"/>
        <v/>
      </c>
      <c r="W189" s="881" t="str">
        <f t="shared" si="68"/>
        <v/>
      </c>
      <c r="Y189" s="881" t="str">
        <f t="shared" si="69"/>
        <v/>
      </c>
      <c r="AA189" s="881" t="str">
        <f t="shared" si="70"/>
        <v/>
      </c>
      <c r="AC189" s="881" t="str">
        <f t="shared" si="71"/>
        <v/>
      </c>
      <c r="AE189" s="881" t="str">
        <f t="shared" si="72"/>
        <v/>
      </c>
      <c r="AG189" s="881" t="str">
        <f t="shared" si="73"/>
        <v/>
      </c>
      <c r="AI189" s="881" t="str">
        <f t="shared" si="74"/>
        <v/>
      </c>
      <c r="AK189" s="881" t="str">
        <f t="shared" si="75"/>
        <v/>
      </c>
      <c r="AM189" s="881" t="str">
        <f t="shared" si="76"/>
        <v/>
      </c>
      <c r="AO189" s="881" t="str">
        <f t="shared" si="77"/>
        <v/>
      </c>
      <c r="AQ189" s="881" t="str">
        <f t="shared" si="78"/>
        <v/>
      </c>
    </row>
    <row r="190" spans="5:43" x14ac:dyDescent="0.2">
      <c r="E190" s="881" t="str">
        <f t="shared" si="59"/>
        <v/>
      </c>
      <c r="G190" s="881" t="str">
        <f t="shared" si="60"/>
        <v/>
      </c>
      <c r="I190" s="881" t="str">
        <f t="shared" si="61"/>
        <v/>
      </c>
      <c r="K190" s="881" t="str">
        <f t="shared" si="62"/>
        <v/>
      </c>
      <c r="M190" s="881" t="str">
        <f t="shared" si="63"/>
        <v/>
      </c>
      <c r="O190" s="881" t="str">
        <f t="shared" si="64"/>
        <v/>
      </c>
      <c r="Q190" s="881" t="str">
        <f t="shared" si="65"/>
        <v/>
      </c>
      <c r="S190" s="881" t="str">
        <f t="shared" si="66"/>
        <v/>
      </c>
      <c r="U190" s="881" t="str">
        <f t="shared" si="67"/>
        <v/>
      </c>
      <c r="W190" s="881" t="str">
        <f t="shared" si="68"/>
        <v/>
      </c>
      <c r="Y190" s="881" t="str">
        <f t="shared" si="69"/>
        <v/>
      </c>
      <c r="AA190" s="881" t="str">
        <f t="shared" si="70"/>
        <v/>
      </c>
      <c r="AC190" s="881" t="str">
        <f t="shared" si="71"/>
        <v/>
      </c>
      <c r="AE190" s="881" t="str">
        <f t="shared" si="72"/>
        <v/>
      </c>
      <c r="AG190" s="881" t="str">
        <f t="shared" si="73"/>
        <v/>
      </c>
      <c r="AI190" s="881" t="str">
        <f t="shared" si="74"/>
        <v/>
      </c>
      <c r="AK190" s="881" t="str">
        <f t="shared" si="75"/>
        <v/>
      </c>
      <c r="AM190" s="881" t="str">
        <f t="shared" si="76"/>
        <v/>
      </c>
      <c r="AO190" s="881" t="str">
        <f t="shared" si="77"/>
        <v/>
      </c>
      <c r="AQ190" s="881" t="str">
        <f t="shared" si="78"/>
        <v/>
      </c>
    </row>
    <row r="191" spans="5:43" x14ac:dyDescent="0.2">
      <c r="E191" s="881" t="str">
        <f t="shared" si="59"/>
        <v/>
      </c>
      <c r="G191" s="881" t="str">
        <f t="shared" si="60"/>
        <v/>
      </c>
      <c r="I191" s="881" t="str">
        <f t="shared" si="61"/>
        <v/>
      </c>
      <c r="K191" s="881" t="str">
        <f t="shared" si="62"/>
        <v/>
      </c>
      <c r="M191" s="881" t="str">
        <f t="shared" si="63"/>
        <v/>
      </c>
      <c r="O191" s="881" t="str">
        <f t="shared" si="64"/>
        <v/>
      </c>
      <c r="Q191" s="881" t="str">
        <f t="shared" si="65"/>
        <v/>
      </c>
      <c r="S191" s="881" t="str">
        <f t="shared" si="66"/>
        <v/>
      </c>
      <c r="U191" s="881" t="str">
        <f t="shared" si="67"/>
        <v/>
      </c>
      <c r="W191" s="881" t="str">
        <f t="shared" si="68"/>
        <v/>
      </c>
      <c r="Y191" s="881" t="str">
        <f t="shared" si="69"/>
        <v/>
      </c>
      <c r="AA191" s="881" t="str">
        <f t="shared" si="70"/>
        <v/>
      </c>
      <c r="AC191" s="881" t="str">
        <f t="shared" si="71"/>
        <v/>
      </c>
      <c r="AE191" s="881" t="str">
        <f t="shared" si="72"/>
        <v/>
      </c>
      <c r="AG191" s="881" t="str">
        <f t="shared" si="73"/>
        <v/>
      </c>
      <c r="AI191" s="881" t="str">
        <f t="shared" si="74"/>
        <v/>
      </c>
      <c r="AK191" s="881" t="str">
        <f t="shared" si="75"/>
        <v/>
      </c>
      <c r="AM191" s="881" t="str">
        <f t="shared" si="76"/>
        <v/>
      </c>
      <c r="AO191" s="881" t="str">
        <f t="shared" si="77"/>
        <v/>
      </c>
      <c r="AQ191" s="881" t="str">
        <f t="shared" si="78"/>
        <v/>
      </c>
    </row>
    <row r="192" spans="5:43" x14ac:dyDescent="0.2">
      <c r="E192" s="881" t="str">
        <f t="shared" si="59"/>
        <v/>
      </c>
      <c r="G192" s="881" t="str">
        <f t="shared" si="60"/>
        <v/>
      </c>
      <c r="I192" s="881" t="str">
        <f t="shared" si="61"/>
        <v/>
      </c>
      <c r="K192" s="881" t="str">
        <f t="shared" si="62"/>
        <v/>
      </c>
      <c r="M192" s="881" t="str">
        <f t="shared" si="63"/>
        <v/>
      </c>
      <c r="O192" s="881" t="str">
        <f t="shared" si="64"/>
        <v/>
      </c>
      <c r="Q192" s="881" t="str">
        <f t="shared" si="65"/>
        <v/>
      </c>
      <c r="S192" s="881" t="str">
        <f t="shared" si="66"/>
        <v/>
      </c>
      <c r="U192" s="881" t="str">
        <f t="shared" si="67"/>
        <v/>
      </c>
      <c r="W192" s="881" t="str">
        <f t="shared" si="68"/>
        <v/>
      </c>
      <c r="Y192" s="881" t="str">
        <f t="shared" si="69"/>
        <v/>
      </c>
      <c r="AA192" s="881" t="str">
        <f t="shared" si="70"/>
        <v/>
      </c>
      <c r="AC192" s="881" t="str">
        <f t="shared" si="71"/>
        <v/>
      </c>
      <c r="AE192" s="881" t="str">
        <f t="shared" si="72"/>
        <v/>
      </c>
      <c r="AG192" s="881" t="str">
        <f t="shared" si="73"/>
        <v/>
      </c>
      <c r="AI192" s="881" t="str">
        <f t="shared" si="74"/>
        <v/>
      </c>
      <c r="AK192" s="881" t="str">
        <f t="shared" si="75"/>
        <v/>
      </c>
      <c r="AM192" s="881" t="str">
        <f t="shared" si="76"/>
        <v/>
      </c>
      <c r="AO192" s="881" t="str">
        <f t="shared" si="77"/>
        <v/>
      </c>
      <c r="AQ192" s="881" t="str">
        <f t="shared" si="78"/>
        <v/>
      </c>
    </row>
    <row r="193" spans="5:43" x14ac:dyDescent="0.2">
      <c r="E193" s="881" t="str">
        <f t="shared" si="59"/>
        <v/>
      </c>
      <c r="G193" s="881" t="str">
        <f t="shared" si="60"/>
        <v/>
      </c>
      <c r="I193" s="881" t="str">
        <f t="shared" si="61"/>
        <v/>
      </c>
      <c r="K193" s="881" t="str">
        <f t="shared" si="62"/>
        <v/>
      </c>
      <c r="M193" s="881" t="str">
        <f t="shared" si="63"/>
        <v/>
      </c>
      <c r="O193" s="881" t="str">
        <f t="shared" si="64"/>
        <v/>
      </c>
      <c r="Q193" s="881" t="str">
        <f t="shared" si="65"/>
        <v/>
      </c>
      <c r="S193" s="881" t="str">
        <f t="shared" si="66"/>
        <v/>
      </c>
      <c r="U193" s="881" t="str">
        <f t="shared" si="67"/>
        <v/>
      </c>
      <c r="W193" s="881" t="str">
        <f t="shared" si="68"/>
        <v/>
      </c>
      <c r="Y193" s="881" t="str">
        <f t="shared" si="69"/>
        <v/>
      </c>
      <c r="AA193" s="881" t="str">
        <f t="shared" si="70"/>
        <v/>
      </c>
      <c r="AC193" s="881" t="str">
        <f t="shared" si="71"/>
        <v/>
      </c>
      <c r="AE193" s="881" t="str">
        <f t="shared" si="72"/>
        <v/>
      </c>
      <c r="AG193" s="881" t="str">
        <f t="shared" si="73"/>
        <v/>
      </c>
      <c r="AI193" s="881" t="str">
        <f t="shared" si="74"/>
        <v/>
      </c>
      <c r="AK193" s="881" t="str">
        <f t="shared" si="75"/>
        <v/>
      </c>
      <c r="AM193" s="881" t="str">
        <f t="shared" si="76"/>
        <v/>
      </c>
      <c r="AO193" s="881" t="str">
        <f t="shared" si="77"/>
        <v/>
      </c>
      <c r="AQ193" s="881" t="str">
        <f t="shared" si="78"/>
        <v/>
      </c>
    </row>
    <row r="194" spans="5:43" x14ac:dyDescent="0.2">
      <c r="E194" s="881" t="str">
        <f t="shared" si="59"/>
        <v/>
      </c>
      <c r="G194" s="881" t="str">
        <f t="shared" si="60"/>
        <v/>
      </c>
      <c r="I194" s="881" t="str">
        <f t="shared" si="61"/>
        <v/>
      </c>
      <c r="K194" s="881" t="str">
        <f t="shared" si="62"/>
        <v/>
      </c>
      <c r="M194" s="881" t="str">
        <f t="shared" si="63"/>
        <v/>
      </c>
      <c r="O194" s="881" t="str">
        <f t="shared" si="64"/>
        <v/>
      </c>
      <c r="Q194" s="881" t="str">
        <f t="shared" si="65"/>
        <v/>
      </c>
      <c r="S194" s="881" t="str">
        <f t="shared" si="66"/>
        <v/>
      </c>
      <c r="U194" s="881" t="str">
        <f t="shared" si="67"/>
        <v/>
      </c>
      <c r="W194" s="881" t="str">
        <f t="shared" si="68"/>
        <v/>
      </c>
      <c r="Y194" s="881" t="str">
        <f t="shared" si="69"/>
        <v/>
      </c>
      <c r="AA194" s="881" t="str">
        <f t="shared" si="70"/>
        <v/>
      </c>
      <c r="AC194" s="881" t="str">
        <f t="shared" si="71"/>
        <v/>
      </c>
      <c r="AE194" s="881" t="str">
        <f t="shared" si="72"/>
        <v/>
      </c>
      <c r="AG194" s="881" t="str">
        <f t="shared" si="73"/>
        <v/>
      </c>
      <c r="AI194" s="881" t="str">
        <f t="shared" si="74"/>
        <v/>
      </c>
      <c r="AK194" s="881" t="str">
        <f t="shared" si="75"/>
        <v/>
      </c>
      <c r="AM194" s="881" t="str">
        <f t="shared" si="76"/>
        <v/>
      </c>
      <c r="AO194" s="881" t="str">
        <f t="shared" si="77"/>
        <v/>
      </c>
      <c r="AQ194" s="881" t="str">
        <f t="shared" si="78"/>
        <v/>
      </c>
    </row>
    <row r="195" spans="5:43" x14ac:dyDescent="0.2">
      <c r="E195" s="881" t="str">
        <f t="shared" si="59"/>
        <v/>
      </c>
      <c r="G195" s="881" t="str">
        <f t="shared" si="60"/>
        <v/>
      </c>
      <c r="I195" s="881" t="str">
        <f t="shared" si="61"/>
        <v/>
      </c>
      <c r="K195" s="881" t="str">
        <f t="shared" si="62"/>
        <v/>
      </c>
      <c r="M195" s="881" t="str">
        <f t="shared" si="63"/>
        <v/>
      </c>
      <c r="O195" s="881" t="str">
        <f t="shared" si="64"/>
        <v/>
      </c>
      <c r="Q195" s="881" t="str">
        <f t="shared" si="65"/>
        <v/>
      </c>
      <c r="S195" s="881" t="str">
        <f t="shared" si="66"/>
        <v/>
      </c>
      <c r="U195" s="881" t="str">
        <f t="shared" si="67"/>
        <v/>
      </c>
      <c r="W195" s="881" t="str">
        <f t="shared" si="68"/>
        <v/>
      </c>
      <c r="Y195" s="881" t="str">
        <f t="shared" si="69"/>
        <v/>
      </c>
      <c r="AA195" s="881" t="str">
        <f t="shared" si="70"/>
        <v/>
      </c>
      <c r="AC195" s="881" t="str">
        <f t="shared" si="71"/>
        <v/>
      </c>
      <c r="AE195" s="881" t="str">
        <f t="shared" si="72"/>
        <v/>
      </c>
      <c r="AG195" s="881" t="str">
        <f t="shared" si="73"/>
        <v/>
      </c>
      <c r="AI195" s="881" t="str">
        <f t="shared" si="74"/>
        <v/>
      </c>
      <c r="AK195" s="881" t="str">
        <f t="shared" si="75"/>
        <v/>
      </c>
      <c r="AM195" s="881" t="str">
        <f t="shared" si="76"/>
        <v/>
      </c>
      <c r="AO195" s="881" t="str">
        <f t="shared" si="77"/>
        <v/>
      </c>
      <c r="AQ195" s="881" t="str">
        <f t="shared" si="78"/>
        <v/>
      </c>
    </row>
    <row r="196" spans="5:43" x14ac:dyDescent="0.2">
      <c r="E196" s="881" t="str">
        <f t="shared" si="59"/>
        <v/>
      </c>
      <c r="G196" s="881" t="str">
        <f t="shared" si="60"/>
        <v/>
      </c>
      <c r="I196" s="881" t="str">
        <f t="shared" si="61"/>
        <v/>
      </c>
      <c r="K196" s="881" t="str">
        <f t="shared" si="62"/>
        <v/>
      </c>
      <c r="M196" s="881" t="str">
        <f t="shared" si="63"/>
        <v/>
      </c>
      <c r="O196" s="881" t="str">
        <f t="shared" si="64"/>
        <v/>
      </c>
      <c r="Q196" s="881" t="str">
        <f t="shared" si="65"/>
        <v/>
      </c>
      <c r="S196" s="881" t="str">
        <f t="shared" si="66"/>
        <v/>
      </c>
      <c r="U196" s="881" t="str">
        <f t="shared" si="67"/>
        <v/>
      </c>
      <c r="W196" s="881" t="str">
        <f t="shared" si="68"/>
        <v/>
      </c>
      <c r="Y196" s="881" t="str">
        <f t="shared" si="69"/>
        <v/>
      </c>
      <c r="AA196" s="881" t="str">
        <f t="shared" si="70"/>
        <v/>
      </c>
      <c r="AC196" s="881" t="str">
        <f t="shared" si="71"/>
        <v/>
      </c>
      <c r="AE196" s="881" t="str">
        <f t="shared" si="72"/>
        <v/>
      </c>
      <c r="AG196" s="881" t="str">
        <f t="shared" si="73"/>
        <v/>
      </c>
      <c r="AI196" s="881" t="str">
        <f t="shared" si="74"/>
        <v/>
      </c>
      <c r="AK196" s="881" t="str">
        <f t="shared" si="75"/>
        <v/>
      </c>
      <c r="AM196" s="881" t="str">
        <f t="shared" si="76"/>
        <v/>
      </c>
      <c r="AO196" s="881" t="str">
        <f t="shared" si="77"/>
        <v/>
      </c>
      <c r="AQ196" s="881" t="str">
        <f t="shared" si="78"/>
        <v/>
      </c>
    </row>
    <row r="197" spans="5:43" x14ac:dyDescent="0.2">
      <c r="E197" s="881" t="str">
        <f t="shared" si="59"/>
        <v/>
      </c>
      <c r="G197" s="881" t="str">
        <f t="shared" si="60"/>
        <v/>
      </c>
      <c r="I197" s="881" t="str">
        <f t="shared" si="61"/>
        <v/>
      </c>
      <c r="K197" s="881" t="str">
        <f t="shared" si="62"/>
        <v/>
      </c>
      <c r="M197" s="881" t="str">
        <f t="shared" si="63"/>
        <v/>
      </c>
      <c r="O197" s="881" t="str">
        <f t="shared" si="64"/>
        <v/>
      </c>
      <c r="Q197" s="881" t="str">
        <f t="shared" si="65"/>
        <v/>
      </c>
      <c r="S197" s="881" t="str">
        <f t="shared" si="66"/>
        <v/>
      </c>
      <c r="U197" s="881" t="str">
        <f t="shared" si="67"/>
        <v/>
      </c>
      <c r="W197" s="881" t="str">
        <f t="shared" si="68"/>
        <v/>
      </c>
      <c r="Y197" s="881" t="str">
        <f t="shared" si="69"/>
        <v/>
      </c>
      <c r="AA197" s="881" t="str">
        <f t="shared" si="70"/>
        <v/>
      </c>
      <c r="AC197" s="881" t="str">
        <f t="shared" si="71"/>
        <v/>
      </c>
      <c r="AE197" s="881" t="str">
        <f t="shared" si="72"/>
        <v/>
      </c>
      <c r="AG197" s="881" t="str">
        <f t="shared" si="73"/>
        <v/>
      </c>
      <c r="AI197" s="881" t="str">
        <f t="shared" si="74"/>
        <v/>
      </c>
      <c r="AK197" s="881" t="str">
        <f t="shared" si="75"/>
        <v/>
      </c>
      <c r="AM197" s="881" t="str">
        <f t="shared" si="76"/>
        <v/>
      </c>
      <c r="AO197" s="881" t="str">
        <f t="shared" si="77"/>
        <v/>
      </c>
      <c r="AQ197" s="881" t="str">
        <f t="shared" si="78"/>
        <v/>
      </c>
    </row>
    <row r="198" spans="5:43" x14ac:dyDescent="0.2">
      <c r="E198" s="881" t="str">
        <f t="shared" si="59"/>
        <v/>
      </c>
      <c r="G198" s="881" t="str">
        <f t="shared" si="60"/>
        <v/>
      </c>
      <c r="I198" s="881" t="str">
        <f t="shared" si="61"/>
        <v/>
      </c>
      <c r="K198" s="881" t="str">
        <f t="shared" si="62"/>
        <v/>
      </c>
      <c r="M198" s="881" t="str">
        <f t="shared" si="63"/>
        <v/>
      </c>
      <c r="O198" s="881" t="str">
        <f t="shared" si="64"/>
        <v/>
      </c>
      <c r="Q198" s="881" t="str">
        <f t="shared" si="65"/>
        <v/>
      </c>
      <c r="S198" s="881" t="str">
        <f t="shared" si="66"/>
        <v/>
      </c>
      <c r="U198" s="881" t="str">
        <f t="shared" si="67"/>
        <v/>
      </c>
      <c r="W198" s="881" t="str">
        <f t="shared" si="68"/>
        <v/>
      </c>
      <c r="Y198" s="881" t="str">
        <f t="shared" si="69"/>
        <v/>
      </c>
      <c r="AA198" s="881" t="str">
        <f t="shared" si="70"/>
        <v/>
      </c>
      <c r="AC198" s="881" t="str">
        <f t="shared" si="71"/>
        <v/>
      </c>
      <c r="AE198" s="881" t="str">
        <f t="shared" si="72"/>
        <v/>
      </c>
      <c r="AG198" s="881" t="str">
        <f t="shared" si="73"/>
        <v/>
      </c>
      <c r="AI198" s="881" t="str">
        <f t="shared" si="74"/>
        <v/>
      </c>
      <c r="AK198" s="881" t="str">
        <f t="shared" si="75"/>
        <v/>
      </c>
      <c r="AM198" s="881" t="str">
        <f t="shared" si="76"/>
        <v/>
      </c>
      <c r="AO198" s="881" t="str">
        <f t="shared" si="77"/>
        <v/>
      </c>
      <c r="AQ198" s="881" t="str">
        <f t="shared" si="78"/>
        <v/>
      </c>
    </row>
    <row r="199" spans="5:43" x14ac:dyDescent="0.2">
      <c r="E199" s="881" t="str">
        <f t="shared" si="59"/>
        <v/>
      </c>
      <c r="G199" s="881" t="str">
        <f t="shared" si="60"/>
        <v/>
      </c>
      <c r="I199" s="881" t="str">
        <f t="shared" si="61"/>
        <v/>
      </c>
      <c r="K199" s="881" t="str">
        <f t="shared" si="62"/>
        <v/>
      </c>
      <c r="M199" s="881" t="str">
        <f t="shared" si="63"/>
        <v/>
      </c>
      <c r="O199" s="881" t="str">
        <f t="shared" si="64"/>
        <v/>
      </c>
      <c r="Q199" s="881" t="str">
        <f t="shared" si="65"/>
        <v/>
      </c>
      <c r="S199" s="881" t="str">
        <f t="shared" si="66"/>
        <v/>
      </c>
      <c r="U199" s="881" t="str">
        <f t="shared" si="67"/>
        <v/>
      </c>
      <c r="W199" s="881" t="str">
        <f t="shared" si="68"/>
        <v/>
      </c>
      <c r="Y199" s="881" t="str">
        <f t="shared" si="69"/>
        <v/>
      </c>
      <c r="AA199" s="881" t="str">
        <f t="shared" si="70"/>
        <v/>
      </c>
      <c r="AC199" s="881" t="str">
        <f t="shared" si="71"/>
        <v/>
      </c>
      <c r="AE199" s="881" t="str">
        <f t="shared" si="72"/>
        <v/>
      </c>
      <c r="AG199" s="881" t="str">
        <f t="shared" si="73"/>
        <v/>
      </c>
      <c r="AI199" s="881" t="str">
        <f t="shared" si="74"/>
        <v/>
      </c>
      <c r="AK199" s="881" t="str">
        <f t="shared" si="75"/>
        <v/>
      </c>
      <c r="AM199" s="881" t="str">
        <f t="shared" si="76"/>
        <v/>
      </c>
      <c r="AO199" s="881" t="str">
        <f t="shared" si="77"/>
        <v/>
      </c>
      <c r="AQ199" s="881" t="str">
        <f t="shared" si="78"/>
        <v/>
      </c>
    </row>
    <row r="200" spans="5:43" x14ac:dyDescent="0.2">
      <c r="E200" s="881" t="str">
        <f t="shared" si="59"/>
        <v/>
      </c>
      <c r="G200" s="881" t="str">
        <f t="shared" si="60"/>
        <v/>
      </c>
      <c r="I200" s="881" t="str">
        <f t="shared" si="61"/>
        <v/>
      </c>
      <c r="K200" s="881" t="str">
        <f t="shared" si="62"/>
        <v/>
      </c>
      <c r="M200" s="881" t="str">
        <f t="shared" si="63"/>
        <v/>
      </c>
      <c r="O200" s="881" t="str">
        <f t="shared" si="64"/>
        <v/>
      </c>
      <c r="Q200" s="881" t="str">
        <f t="shared" si="65"/>
        <v/>
      </c>
      <c r="S200" s="881" t="str">
        <f t="shared" si="66"/>
        <v/>
      </c>
      <c r="U200" s="881" t="str">
        <f t="shared" si="67"/>
        <v/>
      </c>
      <c r="W200" s="881" t="str">
        <f t="shared" si="68"/>
        <v/>
      </c>
      <c r="Y200" s="881" t="str">
        <f t="shared" si="69"/>
        <v/>
      </c>
      <c r="AA200" s="881" t="str">
        <f t="shared" si="70"/>
        <v/>
      </c>
      <c r="AC200" s="881" t="str">
        <f t="shared" si="71"/>
        <v/>
      </c>
      <c r="AE200" s="881" t="str">
        <f t="shared" si="72"/>
        <v/>
      </c>
      <c r="AG200" s="881" t="str">
        <f t="shared" si="73"/>
        <v/>
      </c>
      <c r="AI200" s="881" t="str">
        <f t="shared" si="74"/>
        <v/>
      </c>
      <c r="AK200" s="881" t="str">
        <f t="shared" si="75"/>
        <v/>
      </c>
      <c r="AM200" s="881" t="str">
        <f t="shared" si="76"/>
        <v/>
      </c>
      <c r="AO200" s="881" t="str">
        <f t="shared" si="77"/>
        <v/>
      </c>
      <c r="AQ200" s="881" t="str">
        <f t="shared" si="78"/>
        <v/>
      </c>
    </row>
    <row r="201" spans="5:43" x14ac:dyDescent="0.2">
      <c r="E201" s="881" t="str">
        <f t="shared" si="59"/>
        <v/>
      </c>
      <c r="G201" s="881" t="str">
        <f t="shared" si="60"/>
        <v/>
      </c>
      <c r="I201" s="881" t="str">
        <f t="shared" si="61"/>
        <v/>
      </c>
      <c r="K201" s="881" t="str">
        <f t="shared" si="62"/>
        <v/>
      </c>
      <c r="M201" s="881" t="str">
        <f t="shared" si="63"/>
        <v/>
      </c>
      <c r="O201" s="881" t="str">
        <f t="shared" si="64"/>
        <v/>
      </c>
      <c r="Q201" s="881" t="str">
        <f t="shared" si="65"/>
        <v/>
      </c>
      <c r="S201" s="881" t="str">
        <f t="shared" si="66"/>
        <v/>
      </c>
      <c r="U201" s="881" t="str">
        <f t="shared" si="67"/>
        <v/>
      </c>
      <c r="W201" s="881" t="str">
        <f t="shared" si="68"/>
        <v/>
      </c>
      <c r="Y201" s="881" t="str">
        <f t="shared" si="69"/>
        <v/>
      </c>
      <c r="AA201" s="881" t="str">
        <f t="shared" si="70"/>
        <v/>
      </c>
      <c r="AC201" s="881" t="str">
        <f t="shared" si="71"/>
        <v/>
      </c>
      <c r="AE201" s="881" t="str">
        <f t="shared" si="72"/>
        <v/>
      </c>
      <c r="AG201" s="881" t="str">
        <f t="shared" si="73"/>
        <v/>
      </c>
      <c r="AI201" s="881" t="str">
        <f t="shared" si="74"/>
        <v/>
      </c>
      <c r="AK201" s="881" t="str">
        <f t="shared" si="75"/>
        <v/>
      </c>
      <c r="AM201" s="881" t="str">
        <f t="shared" si="76"/>
        <v/>
      </c>
      <c r="AO201" s="881" t="str">
        <f t="shared" si="77"/>
        <v/>
      </c>
      <c r="AQ201" s="881" t="str">
        <f t="shared" si="78"/>
        <v/>
      </c>
    </row>
    <row r="202" spans="5:43" x14ac:dyDescent="0.2">
      <c r="E202" s="881" t="str">
        <f t="shared" si="59"/>
        <v/>
      </c>
      <c r="G202" s="881" t="str">
        <f t="shared" si="60"/>
        <v/>
      </c>
      <c r="I202" s="881" t="str">
        <f t="shared" si="61"/>
        <v/>
      </c>
      <c r="K202" s="881" t="str">
        <f t="shared" si="62"/>
        <v/>
      </c>
      <c r="M202" s="881" t="str">
        <f t="shared" si="63"/>
        <v/>
      </c>
      <c r="O202" s="881" t="str">
        <f t="shared" si="64"/>
        <v/>
      </c>
      <c r="Q202" s="881" t="str">
        <f t="shared" si="65"/>
        <v/>
      </c>
      <c r="S202" s="881" t="str">
        <f t="shared" si="66"/>
        <v/>
      </c>
      <c r="U202" s="881" t="str">
        <f t="shared" si="67"/>
        <v/>
      </c>
      <c r="W202" s="881" t="str">
        <f t="shared" si="68"/>
        <v/>
      </c>
      <c r="Y202" s="881" t="str">
        <f t="shared" si="69"/>
        <v/>
      </c>
      <c r="AA202" s="881" t="str">
        <f t="shared" si="70"/>
        <v/>
      </c>
      <c r="AC202" s="881" t="str">
        <f t="shared" si="71"/>
        <v/>
      </c>
      <c r="AE202" s="881" t="str">
        <f t="shared" si="72"/>
        <v/>
      </c>
      <c r="AG202" s="881" t="str">
        <f t="shared" si="73"/>
        <v/>
      </c>
      <c r="AI202" s="881" t="str">
        <f t="shared" si="74"/>
        <v/>
      </c>
      <c r="AK202" s="881" t="str">
        <f t="shared" si="75"/>
        <v/>
      </c>
      <c r="AM202" s="881" t="str">
        <f t="shared" si="76"/>
        <v/>
      </c>
      <c r="AO202" s="881" t="str">
        <f t="shared" si="77"/>
        <v/>
      </c>
      <c r="AQ202" s="881" t="str">
        <f t="shared" si="78"/>
        <v/>
      </c>
    </row>
    <row r="203" spans="5:43" x14ac:dyDescent="0.2">
      <c r="E203" s="881" t="str">
        <f t="shared" si="59"/>
        <v/>
      </c>
      <c r="G203" s="881" t="str">
        <f t="shared" si="60"/>
        <v/>
      </c>
      <c r="I203" s="881" t="str">
        <f t="shared" si="61"/>
        <v/>
      </c>
      <c r="K203" s="881" t="str">
        <f t="shared" si="62"/>
        <v/>
      </c>
      <c r="M203" s="881" t="str">
        <f t="shared" si="63"/>
        <v/>
      </c>
      <c r="O203" s="881" t="str">
        <f t="shared" si="64"/>
        <v/>
      </c>
      <c r="Q203" s="881" t="str">
        <f t="shared" si="65"/>
        <v/>
      </c>
      <c r="S203" s="881" t="str">
        <f t="shared" si="66"/>
        <v/>
      </c>
      <c r="U203" s="881" t="str">
        <f t="shared" si="67"/>
        <v/>
      </c>
      <c r="W203" s="881" t="str">
        <f t="shared" si="68"/>
        <v/>
      </c>
      <c r="Y203" s="881" t="str">
        <f t="shared" si="69"/>
        <v/>
      </c>
      <c r="AA203" s="881" t="str">
        <f t="shared" si="70"/>
        <v/>
      </c>
      <c r="AC203" s="881" t="str">
        <f t="shared" si="71"/>
        <v/>
      </c>
      <c r="AE203" s="881" t="str">
        <f t="shared" si="72"/>
        <v/>
      </c>
      <c r="AG203" s="881" t="str">
        <f t="shared" si="73"/>
        <v/>
      </c>
      <c r="AI203" s="881" t="str">
        <f t="shared" si="74"/>
        <v/>
      </c>
      <c r="AK203" s="881" t="str">
        <f t="shared" si="75"/>
        <v/>
      </c>
      <c r="AM203" s="881" t="str">
        <f t="shared" si="76"/>
        <v/>
      </c>
      <c r="AO203" s="881" t="str">
        <f t="shared" si="77"/>
        <v/>
      </c>
      <c r="AQ203" s="881" t="str">
        <f t="shared" si="78"/>
        <v/>
      </c>
    </row>
    <row r="204" spans="5:43" x14ac:dyDescent="0.2">
      <c r="E204" s="881" t="str">
        <f t="shared" si="59"/>
        <v/>
      </c>
      <c r="G204" s="881" t="str">
        <f t="shared" si="60"/>
        <v/>
      </c>
      <c r="I204" s="881" t="str">
        <f t="shared" si="61"/>
        <v/>
      </c>
      <c r="K204" s="881" t="str">
        <f t="shared" si="62"/>
        <v/>
      </c>
      <c r="M204" s="881" t="str">
        <f t="shared" si="63"/>
        <v/>
      </c>
      <c r="O204" s="881" t="str">
        <f t="shared" si="64"/>
        <v/>
      </c>
      <c r="Q204" s="881" t="str">
        <f t="shared" si="65"/>
        <v/>
      </c>
      <c r="S204" s="881" t="str">
        <f t="shared" si="66"/>
        <v/>
      </c>
      <c r="U204" s="881" t="str">
        <f t="shared" si="67"/>
        <v/>
      </c>
      <c r="W204" s="881" t="str">
        <f t="shared" si="68"/>
        <v/>
      </c>
      <c r="Y204" s="881" t="str">
        <f t="shared" si="69"/>
        <v/>
      </c>
      <c r="AA204" s="881" t="str">
        <f t="shared" si="70"/>
        <v/>
      </c>
      <c r="AC204" s="881" t="str">
        <f t="shared" si="71"/>
        <v/>
      </c>
      <c r="AE204" s="881" t="str">
        <f t="shared" si="72"/>
        <v/>
      </c>
      <c r="AG204" s="881" t="str">
        <f t="shared" si="73"/>
        <v/>
      </c>
      <c r="AI204" s="881" t="str">
        <f t="shared" si="74"/>
        <v/>
      </c>
      <c r="AK204" s="881" t="str">
        <f t="shared" si="75"/>
        <v/>
      </c>
      <c r="AM204" s="881" t="str">
        <f t="shared" si="76"/>
        <v/>
      </c>
      <c r="AO204" s="881" t="str">
        <f t="shared" si="77"/>
        <v/>
      </c>
      <c r="AQ204" s="881" t="str">
        <f t="shared" si="78"/>
        <v/>
      </c>
    </row>
    <row r="205" spans="5:43" x14ac:dyDescent="0.2">
      <c r="E205" s="881" t="str">
        <f t="shared" si="59"/>
        <v/>
      </c>
      <c r="G205" s="881" t="str">
        <f t="shared" si="60"/>
        <v/>
      </c>
      <c r="I205" s="881" t="str">
        <f t="shared" si="61"/>
        <v/>
      </c>
      <c r="K205" s="881" t="str">
        <f t="shared" si="62"/>
        <v/>
      </c>
      <c r="M205" s="881" t="str">
        <f t="shared" si="63"/>
        <v/>
      </c>
      <c r="O205" s="881" t="str">
        <f t="shared" si="64"/>
        <v/>
      </c>
      <c r="Q205" s="881" t="str">
        <f t="shared" si="65"/>
        <v/>
      </c>
      <c r="S205" s="881" t="str">
        <f t="shared" si="66"/>
        <v/>
      </c>
      <c r="U205" s="881" t="str">
        <f t="shared" si="67"/>
        <v/>
      </c>
      <c r="W205" s="881" t="str">
        <f t="shared" si="68"/>
        <v/>
      </c>
      <c r="Y205" s="881" t="str">
        <f t="shared" si="69"/>
        <v/>
      </c>
      <c r="AA205" s="881" t="str">
        <f t="shared" si="70"/>
        <v/>
      </c>
      <c r="AC205" s="881" t="str">
        <f t="shared" si="71"/>
        <v/>
      </c>
      <c r="AE205" s="881" t="str">
        <f t="shared" si="72"/>
        <v/>
      </c>
      <c r="AG205" s="881" t="str">
        <f t="shared" si="73"/>
        <v/>
      </c>
      <c r="AI205" s="881" t="str">
        <f t="shared" si="74"/>
        <v/>
      </c>
      <c r="AK205" s="881" t="str">
        <f t="shared" si="75"/>
        <v/>
      </c>
      <c r="AM205" s="881" t="str">
        <f t="shared" si="76"/>
        <v/>
      </c>
      <c r="AO205" s="881" t="str">
        <f t="shared" si="77"/>
        <v/>
      </c>
      <c r="AQ205" s="881" t="str">
        <f t="shared" si="78"/>
        <v/>
      </c>
    </row>
    <row r="206" spans="5:43" x14ac:dyDescent="0.2">
      <c r="E206" s="881" t="str">
        <f t="shared" si="59"/>
        <v/>
      </c>
      <c r="G206" s="881" t="str">
        <f t="shared" si="60"/>
        <v/>
      </c>
      <c r="I206" s="881" t="str">
        <f t="shared" si="61"/>
        <v/>
      </c>
      <c r="K206" s="881" t="str">
        <f t="shared" si="62"/>
        <v/>
      </c>
      <c r="M206" s="881" t="str">
        <f t="shared" si="63"/>
        <v/>
      </c>
      <c r="O206" s="881" t="str">
        <f t="shared" si="64"/>
        <v/>
      </c>
      <c r="Q206" s="881" t="str">
        <f t="shared" si="65"/>
        <v/>
      </c>
      <c r="S206" s="881" t="str">
        <f t="shared" si="66"/>
        <v/>
      </c>
      <c r="U206" s="881" t="str">
        <f t="shared" si="67"/>
        <v/>
      </c>
      <c r="W206" s="881" t="str">
        <f t="shared" si="68"/>
        <v/>
      </c>
      <c r="Y206" s="881" t="str">
        <f t="shared" si="69"/>
        <v/>
      </c>
      <c r="AA206" s="881" t="str">
        <f t="shared" si="70"/>
        <v/>
      </c>
      <c r="AC206" s="881" t="str">
        <f t="shared" si="71"/>
        <v/>
      </c>
      <c r="AE206" s="881" t="str">
        <f t="shared" si="72"/>
        <v/>
      </c>
      <c r="AG206" s="881" t="str">
        <f t="shared" si="73"/>
        <v/>
      </c>
      <c r="AI206" s="881" t="str">
        <f t="shared" si="74"/>
        <v/>
      </c>
      <c r="AK206" s="881" t="str">
        <f t="shared" si="75"/>
        <v/>
      </c>
      <c r="AM206" s="881" t="str">
        <f t="shared" si="76"/>
        <v/>
      </c>
      <c r="AO206" s="881" t="str">
        <f t="shared" si="77"/>
        <v/>
      </c>
      <c r="AQ206" s="881" t="str">
        <f t="shared" si="78"/>
        <v/>
      </c>
    </row>
    <row r="207" spans="5:43" x14ac:dyDescent="0.2">
      <c r="E207" s="881" t="str">
        <f t="shared" si="59"/>
        <v/>
      </c>
      <c r="G207" s="881" t="str">
        <f t="shared" si="60"/>
        <v/>
      </c>
      <c r="I207" s="881" t="str">
        <f t="shared" si="61"/>
        <v/>
      </c>
      <c r="K207" s="881" t="str">
        <f t="shared" si="62"/>
        <v/>
      </c>
      <c r="M207" s="881" t="str">
        <f t="shared" si="63"/>
        <v/>
      </c>
      <c r="O207" s="881" t="str">
        <f t="shared" si="64"/>
        <v/>
      </c>
      <c r="Q207" s="881" t="str">
        <f t="shared" si="65"/>
        <v/>
      </c>
      <c r="S207" s="881" t="str">
        <f t="shared" si="66"/>
        <v/>
      </c>
      <c r="U207" s="881" t="str">
        <f t="shared" si="67"/>
        <v/>
      </c>
      <c r="W207" s="881" t="str">
        <f t="shared" si="68"/>
        <v/>
      </c>
      <c r="Y207" s="881" t="str">
        <f t="shared" si="69"/>
        <v/>
      </c>
      <c r="AA207" s="881" t="str">
        <f t="shared" si="70"/>
        <v/>
      </c>
      <c r="AC207" s="881" t="str">
        <f t="shared" si="71"/>
        <v/>
      </c>
      <c r="AE207" s="881" t="str">
        <f t="shared" si="72"/>
        <v/>
      </c>
      <c r="AG207" s="881" t="str">
        <f t="shared" si="73"/>
        <v/>
      </c>
      <c r="AI207" s="881" t="str">
        <f t="shared" si="74"/>
        <v/>
      </c>
      <c r="AK207" s="881" t="str">
        <f t="shared" si="75"/>
        <v/>
      </c>
      <c r="AM207" s="881" t="str">
        <f t="shared" si="76"/>
        <v/>
      </c>
      <c r="AO207" s="881" t="str">
        <f t="shared" si="77"/>
        <v/>
      </c>
      <c r="AQ207" s="881" t="str">
        <f t="shared" si="78"/>
        <v/>
      </c>
    </row>
    <row r="208" spans="5:43" x14ac:dyDescent="0.2">
      <c r="E208" s="881" t="str">
        <f t="shared" si="59"/>
        <v/>
      </c>
      <c r="G208" s="881" t="str">
        <f t="shared" si="60"/>
        <v/>
      </c>
      <c r="I208" s="881" t="str">
        <f t="shared" si="61"/>
        <v/>
      </c>
      <c r="K208" s="881" t="str">
        <f t="shared" si="62"/>
        <v/>
      </c>
      <c r="M208" s="881" t="str">
        <f t="shared" si="63"/>
        <v/>
      </c>
      <c r="O208" s="881" t="str">
        <f t="shared" si="64"/>
        <v/>
      </c>
      <c r="Q208" s="881" t="str">
        <f t="shared" si="65"/>
        <v/>
      </c>
      <c r="S208" s="881" t="str">
        <f t="shared" si="66"/>
        <v/>
      </c>
      <c r="U208" s="881" t="str">
        <f t="shared" si="67"/>
        <v/>
      </c>
      <c r="W208" s="881" t="str">
        <f t="shared" si="68"/>
        <v/>
      </c>
      <c r="Y208" s="881" t="str">
        <f t="shared" si="69"/>
        <v/>
      </c>
      <c r="AA208" s="881" t="str">
        <f t="shared" si="70"/>
        <v/>
      </c>
      <c r="AC208" s="881" t="str">
        <f t="shared" si="71"/>
        <v/>
      </c>
      <c r="AE208" s="881" t="str">
        <f t="shared" si="72"/>
        <v/>
      </c>
      <c r="AG208" s="881" t="str">
        <f t="shared" si="73"/>
        <v/>
      </c>
      <c r="AI208" s="881" t="str">
        <f t="shared" si="74"/>
        <v/>
      </c>
      <c r="AK208" s="881" t="str">
        <f t="shared" si="75"/>
        <v/>
      </c>
      <c r="AM208" s="881" t="str">
        <f t="shared" si="76"/>
        <v/>
      </c>
      <c r="AO208" s="881" t="str">
        <f t="shared" si="77"/>
        <v/>
      </c>
      <c r="AQ208" s="881" t="str">
        <f t="shared" si="78"/>
        <v/>
      </c>
    </row>
    <row r="209" spans="5:43" x14ac:dyDescent="0.2">
      <c r="E209" s="881" t="str">
        <f t="shared" si="59"/>
        <v/>
      </c>
      <c r="G209" s="881" t="str">
        <f t="shared" si="60"/>
        <v/>
      </c>
      <c r="I209" s="881" t="str">
        <f t="shared" si="61"/>
        <v/>
      </c>
      <c r="K209" s="881" t="str">
        <f t="shared" si="62"/>
        <v/>
      </c>
      <c r="M209" s="881" t="str">
        <f t="shared" si="63"/>
        <v/>
      </c>
      <c r="O209" s="881" t="str">
        <f t="shared" si="64"/>
        <v/>
      </c>
      <c r="Q209" s="881" t="str">
        <f t="shared" si="65"/>
        <v/>
      </c>
      <c r="S209" s="881" t="str">
        <f t="shared" si="66"/>
        <v/>
      </c>
      <c r="U209" s="881" t="str">
        <f t="shared" si="67"/>
        <v/>
      </c>
      <c r="W209" s="881" t="str">
        <f t="shared" si="68"/>
        <v/>
      </c>
      <c r="Y209" s="881" t="str">
        <f t="shared" si="69"/>
        <v/>
      </c>
      <c r="AA209" s="881" t="str">
        <f t="shared" si="70"/>
        <v/>
      </c>
      <c r="AC209" s="881" t="str">
        <f t="shared" si="71"/>
        <v/>
      </c>
      <c r="AE209" s="881" t="str">
        <f t="shared" si="72"/>
        <v/>
      </c>
      <c r="AG209" s="881" t="str">
        <f t="shared" si="73"/>
        <v/>
      </c>
      <c r="AI209" s="881" t="str">
        <f t="shared" si="74"/>
        <v/>
      </c>
      <c r="AK209" s="881" t="str">
        <f t="shared" si="75"/>
        <v/>
      </c>
      <c r="AM209" s="881" t="str">
        <f t="shared" si="76"/>
        <v/>
      </c>
      <c r="AO209" s="881" t="str">
        <f t="shared" si="77"/>
        <v/>
      </c>
      <c r="AQ209" s="881" t="str">
        <f t="shared" si="78"/>
        <v/>
      </c>
    </row>
    <row r="210" spans="5:43" x14ac:dyDescent="0.2">
      <c r="E210" s="881" t="str">
        <f t="shared" si="59"/>
        <v/>
      </c>
      <c r="G210" s="881" t="str">
        <f t="shared" si="60"/>
        <v/>
      </c>
      <c r="I210" s="881" t="str">
        <f t="shared" si="61"/>
        <v/>
      </c>
      <c r="K210" s="881" t="str">
        <f t="shared" si="62"/>
        <v/>
      </c>
      <c r="M210" s="881" t="str">
        <f t="shared" si="63"/>
        <v/>
      </c>
      <c r="O210" s="881" t="str">
        <f t="shared" si="64"/>
        <v/>
      </c>
      <c r="Q210" s="881" t="str">
        <f t="shared" si="65"/>
        <v/>
      </c>
      <c r="S210" s="881" t="str">
        <f t="shared" si="66"/>
        <v/>
      </c>
      <c r="U210" s="881" t="str">
        <f t="shared" si="67"/>
        <v/>
      </c>
      <c r="W210" s="881" t="str">
        <f t="shared" si="68"/>
        <v/>
      </c>
      <c r="Y210" s="881" t="str">
        <f t="shared" si="69"/>
        <v/>
      </c>
      <c r="AA210" s="881" t="str">
        <f t="shared" si="70"/>
        <v/>
      </c>
      <c r="AC210" s="881" t="str">
        <f t="shared" si="71"/>
        <v/>
      </c>
      <c r="AE210" s="881" t="str">
        <f t="shared" si="72"/>
        <v/>
      </c>
      <c r="AG210" s="881" t="str">
        <f t="shared" si="73"/>
        <v/>
      </c>
      <c r="AI210" s="881" t="str">
        <f t="shared" si="74"/>
        <v/>
      </c>
      <c r="AK210" s="881" t="str">
        <f t="shared" si="75"/>
        <v/>
      </c>
      <c r="AM210" s="881" t="str">
        <f t="shared" si="76"/>
        <v/>
      </c>
      <c r="AO210" s="881" t="str">
        <f t="shared" si="77"/>
        <v/>
      </c>
      <c r="AQ210" s="881" t="str">
        <f t="shared" si="78"/>
        <v/>
      </c>
    </row>
    <row r="211" spans="5:43" x14ac:dyDescent="0.2">
      <c r="E211" s="881" t="str">
        <f t="shared" si="59"/>
        <v/>
      </c>
      <c r="G211" s="881" t="str">
        <f t="shared" si="60"/>
        <v/>
      </c>
      <c r="I211" s="881" t="str">
        <f t="shared" si="61"/>
        <v/>
      </c>
      <c r="K211" s="881" t="str">
        <f t="shared" si="62"/>
        <v/>
      </c>
      <c r="M211" s="881" t="str">
        <f t="shared" si="63"/>
        <v/>
      </c>
      <c r="O211" s="881" t="str">
        <f t="shared" si="64"/>
        <v/>
      </c>
      <c r="Q211" s="881" t="str">
        <f t="shared" si="65"/>
        <v/>
      </c>
      <c r="S211" s="881" t="str">
        <f t="shared" si="66"/>
        <v/>
      </c>
      <c r="U211" s="881" t="str">
        <f t="shared" si="67"/>
        <v/>
      </c>
      <c r="W211" s="881" t="str">
        <f t="shared" si="68"/>
        <v/>
      </c>
      <c r="Y211" s="881" t="str">
        <f t="shared" si="69"/>
        <v/>
      </c>
      <c r="AA211" s="881" t="str">
        <f t="shared" si="70"/>
        <v/>
      </c>
      <c r="AC211" s="881" t="str">
        <f t="shared" si="71"/>
        <v/>
      </c>
      <c r="AE211" s="881" t="str">
        <f t="shared" si="72"/>
        <v/>
      </c>
      <c r="AG211" s="881" t="str">
        <f t="shared" si="73"/>
        <v/>
      </c>
      <c r="AI211" s="881" t="str">
        <f t="shared" si="74"/>
        <v/>
      </c>
      <c r="AK211" s="881" t="str">
        <f t="shared" si="75"/>
        <v/>
      </c>
      <c r="AM211" s="881" t="str">
        <f t="shared" si="76"/>
        <v/>
      </c>
      <c r="AO211" s="881" t="str">
        <f t="shared" si="77"/>
        <v/>
      </c>
      <c r="AQ211" s="881" t="str">
        <f t="shared" si="78"/>
        <v/>
      </c>
    </row>
    <row r="212" spans="5:43" x14ac:dyDescent="0.2">
      <c r="E212" s="881" t="str">
        <f t="shared" si="59"/>
        <v/>
      </c>
      <c r="G212" s="881" t="str">
        <f t="shared" si="60"/>
        <v/>
      </c>
      <c r="I212" s="881" t="str">
        <f t="shared" si="61"/>
        <v/>
      </c>
      <c r="K212" s="881" t="str">
        <f t="shared" si="62"/>
        <v/>
      </c>
      <c r="M212" s="881" t="str">
        <f t="shared" si="63"/>
        <v/>
      </c>
      <c r="O212" s="881" t="str">
        <f t="shared" si="64"/>
        <v/>
      </c>
      <c r="Q212" s="881" t="str">
        <f t="shared" si="65"/>
        <v/>
      </c>
      <c r="S212" s="881" t="str">
        <f t="shared" si="66"/>
        <v/>
      </c>
      <c r="U212" s="881" t="str">
        <f t="shared" si="67"/>
        <v/>
      </c>
      <c r="W212" s="881" t="str">
        <f t="shared" si="68"/>
        <v/>
      </c>
      <c r="Y212" s="881" t="str">
        <f t="shared" si="69"/>
        <v/>
      </c>
      <c r="AA212" s="881" t="str">
        <f t="shared" si="70"/>
        <v/>
      </c>
      <c r="AC212" s="881" t="str">
        <f t="shared" si="71"/>
        <v/>
      </c>
      <c r="AE212" s="881" t="str">
        <f t="shared" si="72"/>
        <v/>
      </c>
      <c r="AG212" s="881" t="str">
        <f t="shared" si="73"/>
        <v/>
      </c>
      <c r="AI212" s="881" t="str">
        <f t="shared" si="74"/>
        <v/>
      </c>
      <c r="AK212" s="881" t="str">
        <f t="shared" si="75"/>
        <v/>
      </c>
      <c r="AM212" s="881" t="str">
        <f t="shared" si="76"/>
        <v/>
      </c>
      <c r="AO212" s="881" t="str">
        <f t="shared" si="77"/>
        <v/>
      </c>
      <c r="AQ212" s="881" t="str">
        <f t="shared" si="78"/>
        <v/>
      </c>
    </row>
    <row r="213" spans="5:43" x14ac:dyDescent="0.2">
      <c r="E213" s="881" t="str">
        <f t="shared" si="59"/>
        <v/>
      </c>
      <c r="G213" s="881" t="str">
        <f t="shared" si="60"/>
        <v/>
      </c>
      <c r="I213" s="881" t="str">
        <f t="shared" si="61"/>
        <v/>
      </c>
      <c r="K213" s="881" t="str">
        <f t="shared" si="62"/>
        <v/>
      </c>
      <c r="M213" s="881" t="str">
        <f t="shared" si="63"/>
        <v/>
      </c>
      <c r="O213" s="881" t="str">
        <f t="shared" si="64"/>
        <v/>
      </c>
      <c r="Q213" s="881" t="str">
        <f t="shared" si="65"/>
        <v/>
      </c>
      <c r="S213" s="881" t="str">
        <f t="shared" si="66"/>
        <v/>
      </c>
      <c r="U213" s="881" t="str">
        <f t="shared" si="67"/>
        <v/>
      </c>
      <c r="W213" s="881" t="str">
        <f t="shared" si="68"/>
        <v/>
      </c>
      <c r="Y213" s="881" t="str">
        <f t="shared" si="69"/>
        <v/>
      </c>
      <c r="AA213" s="881" t="str">
        <f t="shared" si="70"/>
        <v/>
      </c>
      <c r="AC213" s="881" t="str">
        <f t="shared" si="71"/>
        <v/>
      </c>
      <c r="AE213" s="881" t="str">
        <f t="shared" si="72"/>
        <v/>
      </c>
      <c r="AG213" s="881" t="str">
        <f t="shared" si="73"/>
        <v/>
      </c>
      <c r="AI213" s="881" t="str">
        <f t="shared" si="74"/>
        <v/>
      </c>
      <c r="AK213" s="881" t="str">
        <f t="shared" si="75"/>
        <v/>
      </c>
      <c r="AM213" s="881" t="str">
        <f t="shared" si="76"/>
        <v/>
      </c>
      <c r="AO213" s="881" t="str">
        <f t="shared" si="77"/>
        <v/>
      </c>
      <c r="AQ213" s="881" t="str">
        <f t="shared" si="78"/>
        <v/>
      </c>
    </row>
    <row r="214" spans="5:43" x14ac:dyDescent="0.2">
      <c r="E214" s="881" t="str">
        <f t="shared" si="59"/>
        <v/>
      </c>
      <c r="G214" s="881" t="str">
        <f t="shared" si="60"/>
        <v/>
      </c>
      <c r="I214" s="881" t="str">
        <f t="shared" si="61"/>
        <v/>
      </c>
      <c r="K214" s="881" t="str">
        <f t="shared" si="62"/>
        <v/>
      </c>
      <c r="M214" s="881" t="str">
        <f t="shared" si="63"/>
        <v/>
      </c>
      <c r="O214" s="881" t="str">
        <f t="shared" si="64"/>
        <v/>
      </c>
      <c r="Q214" s="881" t="str">
        <f t="shared" si="65"/>
        <v/>
      </c>
      <c r="S214" s="881" t="str">
        <f t="shared" si="66"/>
        <v/>
      </c>
      <c r="U214" s="881" t="str">
        <f t="shared" si="67"/>
        <v/>
      </c>
      <c r="W214" s="881" t="str">
        <f t="shared" si="68"/>
        <v/>
      </c>
      <c r="Y214" s="881" t="str">
        <f t="shared" si="69"/>
        <v/>
      </c>
      <c r="AA214" s="881" t="str">
        <f t="shared" si="70"/>
        <v/>
      </c>
      <c r="AC214" s="881" t="str">
        <f t="shared" si="71"/>
        <v/>
      </c>
      <c r="AE214" s="881" t="str">
        <f t="shared" si="72"/>
        <v/>
      </c>
      <c r="AG214" s="881" t="str">
        <f t="shared" si="73"/>
        <v/>
      </c>
      <c r="AI214" s="881" t="str">
        <f t="shared" si="74"/>
        <v/>
      </c>
      <c r="AK214" s="881" t="str">
        <f t="shared" si="75"/>
        <v/>
      </c>
      <c r="AM214" s="881" t="str">
        <f t="shared" si="76"/>
        <v/>
      </c>
      <c r="AO214" s="881" t="str">
        <f t="shared" si="77"/>
        <v/>
      </c>
      <c r="AQ214" s="881" t="str">
        <f t="shared" si="78"/>
        <v/>
      </c>
    </row>
    <row r="215" spans="5:43" x14ac:dyDescent="0.2">
      <c r="E215" s="881" t="str">
        <f t="shared" si="59"/>
        <v/>
      </c>
      <c r="G215" s="881" t="str">
        <f t="shared" si="60"/>
        <v/>
      </c>
      <c r="I215" s="881" t="str">
        <f t="shared" si="61"/>
        <v/>
      </c>
      <c r="K215" s="881" t="str">
        <f t="shared" si="62"/>
        <v/>
      </c>
      <c r="M215" s="881" t="str">
        <f t="shared" si="63"/>
        <v/>
      </c>
      <c r="O215" s="881" t="str">
        <f t="shared" si="64"/>
        <v/>
      </c>
      <c r="Q215" s="881" t="str">
        <f t="shared" si="65"/>
        <v/>
      </c>
      <c r="S215" s="881" t="str">
        <f t="shared" si="66"/>
        <v/>
      </c>
      <c r="U215" s="881" t="str">
        <f t="shared" si="67"/>
        <v/>
      </c>
      <c r="W215" s="881" t="str">
        <f t="shared" si="68"/>
        <v/>
      </c>
      <c r="Y215" s="881" t="str">
        <f t="shared" si="69"/>
        <v/>
      </c>
      <c r="AA215" s="881" t="str">
        <f t="shared" si="70"/>
        <v/>
      </c>
      <c r="AC215" s="881" t="str">
        <f t="shared" si="71"/>
        <v/>
      </c>
      <c r="AE215" s="881" t="str">
        <f t="shared" si="72"/>
        <v/>
      </c>
      <c r="AG215" s="881" t="str">
        <f t="shared" si="73"/>
        <v/>
      </c>
      <c r="AI215" s="881" t="str">
        <f t="shared" si="74"/>
        <v/>
      </c>
      <c r="AK215" s="881" t="str">
        <f t="shared" si="75"/>
        <v/>
      </c>
      <c r="AM215" s="881" t="str">
        <f t="shared" si="76"/>
        <v/>
      </c>
      <c r="AO215" s="881" t="str">
        <f t="shared" si="77"/>
        <v/>
      </c>
      <c r="AQ215" s="881" t="str">
        <f t="shared" si="78"/>
        <v/>
      </c>
    </row>
    <row r="216" spans="5:43" x14ac:dyDescent="0.2">
      <c r="E216" s="881" t="str">
        <f t="shared" si="59"/>
        <v/>
      </c>
      <c r="G216" s="881" t="str">
        <f t="shared" si="60"/>
        <v/>
      </c>
      <c r="I216" s="881" t="str">
        <f t="shared" si="61"/>
        <v/>
      </c>
      <c r="K216" s="881" t="str">
        <f t="shared" si="62"/>
        <v/>
      </c>
      <c r="M216" s="881" t="str">
        <f t="shared" si="63"/>
        <v/>
      </c>
      <c r="O216" s="881" t="str">
        <f t="shared" si="64"/>
        <v/>
      </c>
      <c r="Q216" s="881" t="str">
        <f t="shared" si="65"/>
        <v/>
      </c>
      <c r="S216" s="881" t="str">
        <f t="shared" si="66"/>
        <v/>
      </c>
      <c r="U216" s="881" t="str">
        <f t="shared" si="67"/>
        <v/>
      </c>
      <c r="W216" s="881" t="str">
        <f t="shared" si="68"/>
        <v/>
      </c>
      <c r="Y216" s="881" t="str">
        <f t="shared" si="69"/>
        <v/>
      </c>
      <c r="AA216" s="881" t="str">
        <f t="shared" si="70"/>
        <v/>
      </c>
      <c r="AC216" s="881" t="str">
        <f t="shared" si="71"/>
        <v/>
      </c>
      <c r="AE216" s="881" t="str">
        <f t="shared" si="72"/>
        <v/>
      </c>
      <c r="AG216" s="881" t="str">
        <f t="shared" si="73"/>
        <v/>
      </c>
      <c r="AI216" s="881" t="str">
        <f t="shared" si="74"/>
        <v/>
      </c>
      <c r="AK216" s="881" t="str">
        <f t="shared" si="75"/>
        <v/>
      </c>
      <c r="AM216" s="881" t="str">
        <f t="shared" si="76"/>
        <v/>
      </c>
      <c r="AO216" s="881" t="str">
        <f t="shared" si="77"/>
        <v/>
      </c>
      <c r="AQ216" s="881" t="str">
        <f t="shared" si="78"/>
        <v/>
      </c>
    </row>
    <row r="217" spans="5:43" x14ac:dyDescent="0.2">
      <c r="E217" s="881" t="str">
        <f t="shared" si="59"/>
        <v/>
      </c>
      <c r="G217" s="881" t="str">
        <f t="shared" si="60"/>
        <v/>
      </c>
      <c r="I217" s="881" t="str">
        <f t="shared" si="61"/>
        <v/>
      </c>
      <c r="K217" s="881" t="str">
        <f t="shared" si="62"/>
        <v/>
      </c>
      <c r="M217" s="881" t="str">
        <f t="shared" si="63"/>
        <v/>
      </c>
      <c r="O217" s="881" t="str">
        <f t="shared" si="64"/>
        <v/>
      </c>
      <c r="Q217" s="881" t="str">
        <f t="shared" si="65"/>
        <v/>
      </c>
      <c r="S217" s="881" t="str">
        <f t="shared" si="66"/>
        <v/>
      </c>
      <c r="U217" s="881" t="str">
        <f t="shared" si="67"/>
        <v/>
      </c>
      <c r="W217" s="881" t="str">
        <f t="shared" si="68"/>
        <v/>
      </c>
      <c r="Y217" s="881" t="str">
        <f t="shared" si="69"/>
        <v/>
      </c>
      <c r="AA217" s="881" t="str">
        <f t="shared" si="70"/>
        <v/>
      </c>
      <c r="AC217" s="881" t="str">
        <f t="shared" si="71"/>
        <v/>
      </c>
      <c r="AE217" s="881" t="str">
        <f t="shared" si="72"/>
        <v/>
      </c>
      <c r="AG217" s="881" t="str">
        <f t="shared" si="73"/>
        <v/>
      </c>
      <c r="AI217" s="881" t="str">
        <f t="shared" si="74"/>
        <v/>
      </c>
      <c r="AK217" s="881" t="str">
        <f t="shared" si="75"/>
        <v/>
      </c>
      <c r="AM217" s="881" t="str">
        <f t="shared" si="76"/>
        <v/>
      </c>
      <c r="AO217" s="881" t="str">
        <f t="shared" si="77"/>
        <v/>
      </c>
      <c r="AQ217" s="881" t="str">
        <f t="shared" si="78"/>
        <v/>
      </c>
    </row>
    <row r="218" spans="5:43" x14ac:dyDescent="0.2">
      <c r="E218" s="881" t="str">
        <f t="shared" si="59"/>
        <v/>
      </c>
      <c r="G218" s="881" t="str">
        <f t="shared" si="60"/>
        <v/>
      </c>
      <c r="I218" s="881" t="str">
        <f t="shared" si="61"/>
        <v/>
      </c>
      <c r="K218" s="881" t="str">
        <f t="shared" si="62"/>
        <v/>
      </c>
      <c r="M218" s="881" t="str">
        <f t="shared" si="63"/>
        <v/>
      </c>
      <c r="O218" s="881" t="str">
        <f t="shared" si="64"/>
        <v/>
      </c>
      <c r="Q218" s="881" t="str">
        <f t="shared" si="65"/>
        <v/>
      </c>
      <c r="S218" s="881" t="str">
        <f t="shared" si="66"/>
        <v/>
      </c>
      <c r="U218" s="881" t="str">
        <f t="shared" si="67"/>
        <v/>
      </c>
      <c r="W218" s="881" t="str">
        <f t="shared" si="68"/>
        <v/>
      </c>
      <c r="Y218" s="881" t="str">
        <f t="shared" si="69"/>
        <v/>
      </c>
      <c r="AA218" s="881" t="str">
        <f t="shared" si="70"/>
        <v/>
      </c>
      <c r="AC218" s="881" t="str">
        <f t="shared" si="71"/>
        <v/>
      </c>
      <c r="AE218" s="881" t="str">
        <f t="shared" si="72"/>
        <v/>
      </c>
      <c r="AG218" s="881" t="str">
        <f t="shared" si="73"/>
        <v/>
      </c>
      <c r="AI218" s="881" t="str">
        <f t="shared" si="74"/>
        <v/>
      </c>
      <c r="AK218" s="881" t="str">
        <f t="shared" si="75"/>
        <v/>
      </c>
      <c r="AM218" s="881" t="str">
        <f t="shared" si="76"/>
        <v/>
      </c>
      <c r="AO218" s="881" t="str">
        <f t="shared" si="77"/>
        <v/>
      </c>
      <c r="AQ218" s="881" t="str">
        <f t="shared" si="78"/>
        <v/>
      </c>
    </row>
    <row r="219" spans="5:43" x14ac:dyDescent="0.2">
      <c r="E219" s="881" t="str">
        <f t="shared" si="59"/>
        <v/>
      </c>
      <c r="G219" s="881" t="str">
        <f t="shared" si="60"/>
        <v/>
      </c>
      <c r="I219" s="881" t="str">
        <f t="shared" si="61"/>
        <v/>
      </c>
      <c r="K219" s="881" t="str">
        <f t="shared" si="62"/>
        <v/>
      </c>
      <c r="M219" s="881" t="str">
        <f t="shared" si="63"/>
        <v/>
      </c>
      <c r="O219" s="881" t="str">
        <f t="shared" si="64"/>
        <v/>
      </c>
      <c r="Q219" s="881" t="str">
        <f t="shared" si="65"/>
        <v/>
      </c>
      <c r="S219" s="881" t="str">
        <f t="shared" si="66"/>
        <v/>
      </c>
      <c r="U219" s="881" t="str">
        <f t="shared" si="67"/>
        <v/>
      </c>
      <c r="W219" s="881" t="str">
        <f t="shared" si="68"/>
        <v/>
      </c>
      <c r="Y219" s="881" t="str">
        <f t="shared" si="69"/>
        <v/>
      </c>
      <c r="AA219" s="881" t="str">
        <f t="shared" si="70"/>
        <v/>
      </c>
      <c r="AC219" s="881" t="str">
        <f t="shared" si="71"/>
        <v/>
      </c>
      <c r="AE219" s="881" t="str">
        <f t="shared" si="72"/>
        <v/>
      </c>
      <c r="AG219" s="881" t="str">
        <f t="shared" si="73"/>
        <v/>
      </c>
      <c r="AI219" s="881" t="str">
        <f t="shared" si="74"/>
        <v/>
      </c>
      <c r="AK219" s="881" t="str">
        <f t="shared" si="75"/>
        <v/>
      </c>
      <c r="AM219" s="881" t="str">
        <f t="shared" si="76"/>
        <v/>
      </c>
      <c r="AO219" s="881" t="str">
        <f t="shared" si="77"/>
        <v/>
      </c>
      <c r="AQ219" s="881" t="str">
        <f t="shared" si="78"/>
        <v/>
      </c>
    </row>
    <row r="220" spans="5:43" x14ac:dyDescent="0.2">
      <c r="E220" s="881" t="str">
        <f t="shared" si="59"/>
        <v/>
      </c>
      <c r="G220" s="881" t="str">
        <f t="shared" si="60"/>
        <v/>
      </c>
      <c r="I220" s="881" t="str">
        <f t="shared" si="61"/>
        <v/>
      </c>
      <c r="K220" s="881" t="str">
        <f t="shared" si="62"/>
        <v/>
      </c>
      <c r="M220" s="881" t="str">
        <f t="shared" si="63"/>
        <v/>
      </c>
      <c r="O220" s="881" t="str">
        <f t="shared" si="64"/>
        <v/>
      </c>
      <c r="Q220" s="881" t="str">
        <f t="shared" si="65"/>
        <v/>
      </c>
      <c r="S220" s="881" t="str">
        <f t="shared" si="66"/>
        <v/>
      </c>
      <c r="U220" s="881" t="str">
        <f t="shared" si="67"/>
        <v/>
      </c>
      <c r="W220" s="881" t="str">
        <f t="shared" si="68"/>
        <v/>
      </c>
      <c r="Y220" s="881" t="str">
        <f t="shared" si="69"/>
        <v/>
      </c>
      <c r="AA220" s="881" t="str">
        <f t="shared" si="70"/>
        <v/>
      </c>
      <c r="AC220" s="881" t="str">
        <f t="shared" si="71"/>
        <v/>
      </c>
      <c r="AE220" s="881" t="str">
        <f t="shared" si="72"/>
        <v/>
      </c>
      <c r="AG220" s="881" t="str">
        <f t="shared" si="73"/>
        <v/>
      </c>
      <c r="AI220" s="881" t="str">
        <f t="shared" si="74"/>
        <v/>
      </c>
      <c r="AK220" s="881" t="str">
        <f t="shared" si="75"/>
        <v/>
      </c>
      <c r="AM220" s="881" t="str">
        <f t="shared" si="76"/>
        <v/>
      </c>
      <c r="AO220" s="881" t="str">
        <f t="shared" si="77"/>
        <v/>
      </c>
      <c r="AQ220" s="881" t="str">
        <f t="shared" si="78"/>
        <v/>
      </c>
    </row>
    <row r="221" spans="5:43" x14ac:dyDescent="0.2">
      <c r="E221" s="881" t="str">
        <f t="shared" si="59"/>
        <v/>
      </c>
      <c r="G221" s="881" t="str">
        <f t="shared" si="60"/>
        <v/>
      </c>
      <c r="I221" s="881" t="str">
        <f t="shared" si="61"/>
        <v/>
      </c>
      <c r="K221" s="881" t="str">
        <f t="shared" si="62"/>
        <v/>
      </c>
      <c r="M221" s="881" t="str">
        <f t="shared" si="63"/>
        <v/>
      </c>
      <c r="O221" s="881" t="str">
        <f t="shared" si="64"/>
        <v/>
      </c>
      <c r="Q221" s="881" t="str">
        <f t="shared" si="65"/>
        <v/>
      </c>
      <c r="S221" s="881" t="str">
        <f t="shared" si="66"/>
        <v/>
      </c>
      <c r="U221" s="881" t="str">
        <f t="shared" si="67"/>
        <v/>
      </c>
      <c r="W221" s="881" t="str">
        <f t="shared" si="68"/>
        <v/>
      </c>
      <c r="Y221" s="881" t="str">
        <f t="shared" si="69"/>
        <v/>
      </c>
      <c r="AA221" s="881" t="str">
        <f t="shared" si="70"/>
        <v/>
      </c>
      <c r="AC221" s="881" t="str">
        <f t="shared" si="71"/>
        <v/>
      </c>
      <c r="AE221" s="881" t="str">
        <f t="shared" si="72"/>
        <v/>
      </c>
      <c r="AG221" s="881" t="str">
        <f t="shared" si="73"/>
        <v/>
      </c>
      <c r="AI221" s="881" t="str">
        <f t="shared" si="74"/>
        <v/>
      </c>
      <c r="AK221" s="881" t="str">
        <f t="shared" si="75"/>
        <v/>
      </c>
      <c r="AM221" s="881" t="str">
        <f t="shared" si="76"/>
        <v/>
      </c>
      <c r="AO221" s="881" t="str">
        <f t="shared" si="77"/>
        <v/>
      </c>
      <c r="AQ221" s="881" t="str">
        <f t="shared" si="78"/>
        <v/>
      </c>
    </row>
    <row r="222" spans="5:43" x14ac:dyDescent="0.2">
      <c r="E222" s="881" t="str">
        <f t="shared" si="59"/>
        <v/>
      </c>
      <c r="G222" s="881" t="str">
        <f t="shared" si="60"/>
        <v/>
      </c>
      <c r="I222" s="881" t="str">
        <f t="shared" si="61"/>
        <v/>
      </c>
      <c r="K222" s="881" t="str">
        <f t="shared" si="62"/>
        <v/>
      </c>
      <c r="M222" s="881" t="str">
        <f t="shared" si="63"/>
        <v/>
      </c>
      <c r="O222" s="881" t="str">
        <f t="shared" si="64"/>
        <v/>
      </c>
      <c r="Q222" s="881" t="str">
        <f t="shared" si="65"/>
        <v/>
      </c>
      <c r="S222" s="881" t="str">
        <f t="shared" si="66"/>
        <v/>
      </c>
      <c r="U222" s="881" t="str">
        <f t="shared" si="67"/>
        <v/>
      </c>
      <c r="W222" s="881" t="str">
        <f t="shared" si="68"/>
        <v/>
      </c>
      <c r="Y222" s="881" t="str">
        <f t="shared" si="69"/>
        <v/>
      </c>
      <c r="AA222" s="881" t="str">
        <f t="shared" si="70"/>
        <v/>
      </c>
      <c r="AC222" s="881" t="str">
        <f t="shared" si="71"/>
        <v/>
      </c>
      <c r="AE222" s="881" t="str">
        <f t="shared" si="72"/>
        <v/>
      </c>
      <c r="AG222" s="881" t="str">
        <f t="shared" si="73"/>
        <v/>
      </c>
      <c r="AI222" s="881" t="str">
        <f t="shared" si="74"/>
        <v/>
      </c>
      <c r="AK222" s="881" t="str">
        <f t="shared" si="75"/>
        <v/>
      </c>
      <c r="AM222" s="881" t="str">
        <f t="shared" si="76"/>
        <v/>
      </c>
      <c r="AO222" s="881" t="str">
        <f t="shared" si="77"/>
        <v/>
      </c>
      <c r="AQ222" s="881" t="str">
        <f t="shared" si="78"/>
        <v/>
      </c>
    </row>
    <row r="223" spans="5:43" x14ac:dyDescent="0.2">
      <c r="E223" s="881" t="str">
        <f t="shared" si="59"/>
        <v/>
      </c>
      <c r="G223" s="881" t="str">
        <f t="shared" si="60"/>
        <v/>
      </c>
      <c r="I223" s="881" t="str">
        <f t="shared" si="61"/>
        <v/>
      </c>
      <c r="K223" s="881" t="str">
        <f t="shared" si="62"/>
        <v/>
      </c>
      <c r="M223" s="881" t="str">
        <f t="shared" si="63"/>
        <v/>
      </c>
      <c r="O223" s="881" t="str">
        <f t="shared" si="64"/>
        <v/>
      </c>
      <c r="Q223" s="881" t="str">
        <f t="shared" si="65"/>
        <v/>
      </c>
      <c r="S223" s="881" t="str">
        <f t="shared" si="66"/>
        <v/>
      </c>
      <c r="U223" s="881" t="str">
        <f t="shared" si="67"/>
        <v/>
      </c>
      <c r="W223" s="881" t="str">
        <f t="shared" si="68"/>
        <v/>
      </c>
      <c r="Y223" s="881" t="str">
        <f t="shared" si="69"/>
        <v/>
      </c>
      <c r="AA223" s="881" t="str">
        <f t="shared" si="70"/>
        <v/>
      </c>
      <c r="AC223" s="881" t="str">
        <f t="shared" si="71"/>
        <v/>
      </c>
      <c r="AE223" s="881" t="str">
        <f t="shared" si="72"/>
        <v/>
      </c>
      <c r="AG223" s="881" t="str">
        <f t="shared" si="73"/>
        <v/>
      </c>
      <c r="AI223" s="881" t="str">
        <f t="shared" si="74"/>
        <v/>
      </c>
      <c r="AK223" s="881" t="str">
        <f t="shared" si="75"/>
        <v/>
      </c>
      <c r="AM223" s="881" t="str">
        <f t="shared" si="76"/>
        <v/>
      </c>
      <c r="AO223" s="881" t="str">
        <f t="shared" si="77"/>
        <v/>
      </c>
      <c r="AQ223" s="881" t="str">
        <f t="shared" si="78"/>
        <v/>
      </c>
    </row>
    <row r="224" spans="5:43" x14ac:dyDescent="0.2">
      <c r="E224" s="881" t="str">
        <f t="shared" si="59"/>
        <v/>
      </c>
      <c r="G224" s="881" t="str">
        <f t="shared" si="60"/>
        <v/>
      </c>
      <c r="I224" s="881" t="str">
        <f t="shared" si="61"/>
        <v/>
      </c>
      <c r="K224" s="881" t="str">
        <f t="shared" si="62"/>
        <v/>
      </c>
      <c r="M224" s="881" t="str">
        <f t="shared" si="63"/>
        <v/>
      </c>
      <c r="O224" s="881" t="str">
        <f t="shared" si="64"/>
        <v/>
      </c>
      <c r="Q224" s="881" t="str">
        <f t="shared" si="65"/>
        <v/>
      </c>
      <c r="S224" s="881" t="str">
        <f t="shared" si="66"/>
        <v/>
      </c>
      <c r="U224" s="881" t="str">
        <f t="shared" si="67"/>
        <v/>
      </c>
      <c r="W224" s="881" t="str">
        <f t="shared" si="68"/>
        <v/>
      </c>
      <c r="Y224" s="881" t="str">
        <f t="shared" si="69"/>
        <v/>
      </c>
      <c r="AA224" s="881" t="str">
        <f t="shared" si="70"/>
        <v/>
      </c>
      <c r="AC224" s="881" t="str">
        <f t="shared" si="71"/>
        <v/>
      </c>
      <c r="AE224" s="881" t="str">
        <f t="shared" si="72"/>
        <v/>
      </c>
      <c r="AG224" s="881" t="str">
        <f t="shared" si="73"/>
        <v/>
      </c>
      <c r="AI224" s="881" t="str">
        <f t="shared" si="74"/>
        <v/>
      </c>
      <c r="AK224" s="881" t="str">
        <f t="shared" si="75"/>
        <v/>
      </c>
      <c r="AM224" s="881" t="str">
        <f t="shared" si="76"/>
        <v/>
      </c>
      <c r="AO224" s="881" t="str">
        <f t="shared" si="77"/>
        <v/>
      </c>
      <c r="AQ224" s="881" t="str">
        <f t="shared" si="78"/>
        <v/>
      </c>
    </row>
    <row r="225" spans="5:43" x14ac:dyDescent="0.2">
      <c r="E225" s="881" t="str">
        <f t="shared" si="59"/>
        <v/>
      </c>
      <c r="G225" s="881" t="str">
        <f t="shared" si="60"/>
        <v/>
      </c>
      <c r="I225" s="881" t="str">
        <f t="shared" si="61"/>
        <v/>
      </c>
      <c r="K225" s="881" t="str">
        <f t="shared" si="62"/>
        <v/>
      </c>
      <c r="M225" s="881" t="str">
        <f t="shared" si="63"/>
        <v/>
      </c>
      <c r="O225" s="881" t="str">
        <f t="shared" si="64"/>
        <v/>
      </c>
      <c r="Q225" s="881" t="str">
        <f t="shared" si="65"/>
        <v/>
      </c>
      <c r="S225" s="881" t="str">
        <f t="shared" si="66"/>
        <v/>
      </c>
      <c r="U225" s="881" t="str">
        <f t="shared" si="67"/>
        <v/>
      </c>
      <c r="W225" s="881" t="str">
        <f t="shared" si="68"/>
        <v/>
      </c>
      <c r="Y225" s="881" t="str">
        <f t="shared" si="69"/>
        <v/>
      </c>
      <c r="AA225" s="881" t="str">
        <f t="shared" si="70"/>
        <v/>
      </c>
      <c r="AC225" s="881" t="str">
        <f t="shared" si="71"/>
        <v/>
      </c>
      <c r="AE225" s="881" t="str">
        <f t="shared" si="72"/>
        <v/>
      </c>
      <c r="AG225" s="881" t="str">
        <f t="shared" si="73"/>
        <v/>
      </c>
      <c r="AI225" s="881" t="str">
        <f t="shared" si="74"/>
        <v/>
      </c>
      <c r="AK225" s="881" t="str">
        <f t="shared" si="75"/>
        <v/>
      </c>
      <c r="AM225" s="881" t="str">
        <f t="shared" si="76"/>
        <v/>
      </c>
      <c r="AO225" s="881" t="str">
        <f t="shared" si="77"/>
        <v/>
      </c>
      <c r="AQ225" s="881" t="str">
        <f t="shared" si="78"/>
        <v/>
      </c>
    </row>
    <row r="226" spans="5:43" x14ac:dyDescent="0.2">
      <c r="E226" s="881" t="str">
        <f t="shared" si="59"/>
        <v/>
      </c>
      <c r="G226" s="881" t="str">
        <f t="shared" si="60"/>
        <v/>
      </c>
      <c r="I226" s="881" t="str">
        <f t="shared" si="61"/>
        <v/>
      </c>
      <c r="K226" s="881" t="str">
        <f t="shared" si="62"/>
        <v/>
      </c>
      <c r="M226" s="881" t="str">
        <f t="shared" si="63"/>
        <v/>
      </c>
      <c r="O226" s="881" t="str">
        <f t="shared" si="64"/>
        <v/>
      </c>
      <c r="Q226" s="881" t="str">
        <f t="shared" si="65"/>
        <v/>
      </c>
      <c r="S226" s="881" t="str">
        <f t="shared" si="66"/>
        <v/>
      </c>
      <c r="U226" s="881" t="str">
        <f t="shared" si="67"/>
        <v/>
      </c>
      <c r="W226" s="881" t="str">
        <f t="shared" si="68"/>
        <v/>
      </c>
      <c r="Y226" s="881" t="str">
        <f t="shared" si="69"/>
        <v/>
      </c>
      <c r="AA226" s="881" t="str">
        <f t="shared" si="70"/>
        <v/>
      </c>
      <c r="AC226" s="881" t="str">
        <f t="shared" si="71"/>
        <v/>
      </c>
      <c r="AE226" s="881" t="str">
        <f t="shared" si="72"/>
        <v/>
      </c>
      <c r="AG226" s="881" t="str">
        <f t="shared" si="73"/>
        <v/>
      </c>
      <c r="AI226" s="881" t="str">
        <f t="shared" si="74"/>
        <v/>
      </c>
      <c r="AK226" s="881" t="str">
        <f t="shared" si="75"/>
        <v/>
      </c>
      <c r="AM226" s="881" t="str">
        <f t="shared" si="76"/>
        <v/>
      </c>
      <c r="AO226" s="881" t="str">
        <f t="shared" si="77"/>
        <v/>
      </c>
      <c r="AQ226" s="881" t="str">
        <f t="shared" si="78"/>
        <v/>
      </c>
    </row>
    <row r="227" spans="5:43" x14ac:dyDescent="0.2">
      <c r="E227" s="881" t="str">
        <f t="shared" si="59"/>
        <v/>
      </c>
      <c r="G227" s="881" t="str">
        <f t="shared" si="60"/>
        <v/>
      </c>
      <c r="I227" s="881" t="str">
        <f t="shared" si="61"/>
        <v/>
      </c>
      <c r="K227" s="881" t="str">
        <f t="shared" si="62"/>
        <v/>
      </c>
      <c r="M227" s="881" t="str">
        <f t="shared" si="63"/>
        <v/>
      </c>
      <c r="O227" s="881" t="str">
        <f t="shared" si="64"/>
        <v/>
      </c>
      <c r="Q227" s="881" t="str">
        <f t="shared" si="65"/>
        <v/>
      </c>
      <c r="S227" s="881" t="str">
        <f t="shared" si="66"/>
        <v/>
      </c>
      <c r="U227" s="881" t="str">
        <f t="shared" si="67"/>
        <v/>
      </c>
      <c r="W227" s="881" t="str">
        <f t="shared" si="68"/>
        <v/>
      </c>
      <c r="Y227" s="881" t="str">
        <f t="shared" si="69"/>
        <v/>
      </c>
      <c r="AA227" s="881" t="str">
        <f t="shared" si="70"/>
        <v/>
      </c>
      <c r="AC227" s="881" t="str">
        <f t="shared" si="71"/>
        <v/>
      </c>
      <c r="AE227" s="881" t="str">
        <f t="shared" si="72"/>
        <v/>
      </c>
      <c r="AG227" s="881" t="str">
        <f t="shared" si="73"/>
        <v/>
      </c>
      <c r="AI227" s="881" t="str">
        <f t="shared" si="74"/>
        <v/>
      </c>
      <c r="AK227" s="881" t="str">
        <f t="shared" si="75"/>
        <v/>
      </c>
      <c r="AM227" s="881" t="str">
        <f t="shared" si="76"/>
        <v/>
      </c>
      <c r="AO227" s="881" t="str">
        <f t="shared" si="77"/>
        <v/>
      </c>
      <c r="AQ227" s="881" t="str">
        <f t="shared" si="78"/>
        <v/>
      </c>
    </row>
    <row r="228" spans="5:43" x14ac:dyDescent="0.2">
      <c r="E228" s="881" t="str">
        <f t="shared" si="59"/>
        <v/>
      </c>
      <c r="G228" s="881" t="str">
        <f t="shared" si="60"/>
        <v/>
      </c>
      <c r="I228" s="881" t="str">
        <f t="shared" si="61"/>
        <v/>
      </c>
      <c r="K228" s="881" t="str">
        <f t="shared" si="62"/>
        <v/>
      </c>
      <c r="M228" s="881" t="str">
        <f t="shared" si="63"/>
        <v/>
      </c>
      <c r="O228" s="881" t="str">
        <f t="shared" si="64"/>
        <v/>
      </c>
      <c r="Q228" s="881" t="str">
        <f t="shared" si="65"/>
        <v/>
      </c>
      <c r="S228" s="881" t="str">
        <f t="shared" si="66"/>
        <v/>
      </c>
      <c r="U228" s="881" t="str">
        <f t="shared" si="67"/>
        <v/>
      </c>
      <c r="W228" s="881" t="str">
        <f t="shared" si="68"/>
        <v/>
      </c>
      <c r="Y228" s="881" t="str">
        <f t="shared" si="69"/>
        <v/>
      </c>
      <c r="AA228" s="881" t="str">
        <f t="shared" si="70"/>
        <v/>
      </c>
      <c r="AC228" s="881" t="str">
        <f t="shared" si="71"/>
        <v/>
      </c>
      <c r="AE228" s="881" t="str">
        <f t="shared" si="72"/>
        <v/>
      </c>
      <c r="AG228" s="881" t="str">
        <f t="shared" si="73"/>
        <v/>
      </c>
      <c r="AI228" s="881" t="str">
        <f t="shared" si="74"/>
        <v/>
      </c>
      <c r="AK228" s="881" t="str">
        <f t="shared" si="75"/>
        <v/>
      </c>
      <c r="AM228" s="881" t="str">
        <f t="shared" si="76"/>
        <v/>
      </c>
      <c r="AO228" s="881" t="str">
        <f t="shared" si="77"/>
        <v/>
      </c>
      <c r="AQ228" s="881" t="str">
        <f t="shared" si="78"/>
        <v/>
      </c>
    </row>
    <row r="229" spans="5:43" x14ac:dyDescent="0.2">
      <c r="E229" s="881" t="str">
        <f t="shared" ref="E229:E292" si="79">IF(OR($B230=0,D229=0),"",D229/$B230)</f>
        <v/>
      </c>
      <c r="G229" s="881" t="str">
        <f t="shared" ref="G229:G292" si="80">IF(OR($B230=0,F229=0),"",F229/$B230)</f>
        <v/>
      </c>
      <c r="I229" s="881" t="str">
        <f t="shared" ref="I229:I292" si="81">IF(OR($B230=0,H229=0),"",H229/$B230)</f>
        <v/>
      </c>
      <c r="K229" s="881" t="str">
        <f t="shared" ref="K229:K292" si="82">IF(OR($B230=0,J229=0),"",J229/$B230)</f>
        <v/>
      </c>
      <c r="M229" s="881" t="str">
        <f t="shared" ref="M229:M292" si="83">IF(OR($B230=0,L229=0),"",L229/$B230)</f>
        <v/>
      </c>
      <c r="O229" s="881" t="str">
        <f t="shared" ref="O229:O292" si="84">IF(OR($B230=0,N229=0),"",N229/$B230)</f>
        <v/>
      </c>
      <c r="Q229" s="881" t="str">
        <f t="shared" ref="Q229:Q292" si="85">IF(OR($B230=0,P229=0),"",P229/$B230)</f>
        <v/>
      </c>
      <c r="S229" s="881" t="str">
        <f t="shared" ref="S229:S292" si="86">IF(OR($B230=0,R229=0),"",R229/$B230)</f>
        <v/>
      </c>
      <c r="U229" s="881" t="str">
        <f t="shared" ref="U229:U292" si="87">IF(OR($B230=0,T229=0),"",T229/$B230)</f>
        <v/>
      </c>
      <c r="W229" s="881" t="str">
        <f t="shared" ref="W229:W292" si="88">IF(OR($B230=0,V229=0),"",V229/$B230)</f>
        <v/>
      </c>
      <c r="Y229" s="881" t="str">
        <f t="shared" ref="Y229:Y292" si="89">IF(OR($B230=0,X229=0),"",X229/$B230)</f>
        <v/>
      </c>
      <c r="AA229" s="881" t="str">
        <f t="shared" ref="AA229:AA292" si="90">IF(OR($B230=0,Z230=0),"",Z230/$B230)</f>
        <v/>
      </c>
      <c r="AC229" s="881" t="str">
        <f t="shared" ref="AC229:AC292" si="91">IF(OR($B230=0,AB229=0),"",AB229/$B230)</f>
        <v/>
      </c>
      <c r="AE229" s="881" t="str">
        <f t="shared" ref="AE229:AE292" si="92">IF(OR($B230=0,AD229=0),"",AD229/$B230)</f>
        <v/>
      </c>
      <c r="AG229" s="881" t="str">
        <f t="shared" ref="AG229:AG292" si="93">IF(OR($B230=0,AF229=0),"",AF229/$B230)</f>
        <v/>
      </c>
      <c r="AI229" s="881" t="str">
        <f t="shared" ref="AI229:AI292" si="94">IF(OR($B230=0,AH229=0),"",AH229/$B230)</f>
        <v/>
      </c>
      <c r="AK229" s="881" t="str">
        <f t="shared" ref="AK229:AK292" si="95">IF(OR($B230=0,AJ229=0),"",AJ229/$B230)</f>
        <v/>
      </c>
      <c r="AM229" s="881" t="str">
        <f t="shared" ref="AM229:AM292" si="96">IF(OR($B230=0,AL229=0),"",AL229/$B230)</f>
        <v/>
      </c>
      <c r="AO229" s="881" t="str">
        <f t="shared" ref="AO229:AO292" si="97">IF(OR($B230=0,AN229=0),"",AN229/$B230)</f>
        <v/>
      </c>
      <c r="AQ229" s="881" t="str">
        <f t="shared" ref="AQ229:AQ292" si="98">IF(OR($B230=0,AP229=0),"",AP229/$B230)</f>
        <v/>
      </c>
    </row>
    <row r="230" spans="5:43" x14ac:dyDescent="0.2">
      <c r="E230" s="881" t="str">
        <f t="shared" si="79"/>
        <v/>
      </c>
      <c r="G230" s="881" t="str">
        <f t="shared" si="80"/>
        <v/>
      </c>
      <c r="I230" s="881" t="str">
        <f t="shared" si="81"/>
        <v/>
      </c>
      <c r="K230" s="881" t="str">
        <f t="shared" si="82"/>
        <v/>
      </c>
      <c r="M230" s="881" t="str">
        <f t="shared" si="83"/>
        <v/>
      </c>
      <c r="O230" s="881" t="str">
        <f t="shared" si="84"/>
        <v/>
      </c>
      <c r="Q230" s="881" t="str">
        <f t="shared" si="85"/>
        <v/>
      </c>
      <c r="S230" s="881" t="str">
        <f t="shared" si="86"/>
        <v/>
      </c>
      <c r="U230" s="881" t="str">
        <f t="shared" si="87"/>
        <v/>
      </c>
      <c r="W230" s="881" t="str">
        <f t="shared" si="88"/>
        <v/>
      </c>
      <c r="Y230" s="881" t="str">
        <f t="shared" si="89"/>
        <v/>
      </c>
      <c r="AA230" s="881" t="str">
        <f t="shared" si="90"/>
        <v/>
      </c>
      <c r="AC230" s="881" t="str">
        <f t="shared" si="91"/>
        <v/>
      </c>
      <c r="AE230" s="881" t="str">
        <f t="shared" si="92"/>
        <v/>
      </c>
      <c r="AG230" s="881" t="str">
        <f t="shared" si="93"/>
        <v/>
      </c>
      <c r="AI230" s="881" t="str">
        <f t="shared" si="94"/>
        <v/>
      </c>
      <c r="AK230" s="881" t="str">
        <f t="shared" si="95"/>
        <v/>
      </c>
      <c r="AM230" s="881" t="str">
        <f t="shared" si="96"/>
        <v/>
      </c>
      <c r="AO230" s="881" t="str">
        <f t="shared" si="97"/>
        <v/>
      </c>
      <c r="AQ230" s="881" t="str">
        <f t="shared" si="98"/>
        <v/>
      </c>
    </row>
    <row r="231" spans="5:43" x14ac:dyDescent="0.2">
      <c r="E231" s="881" t="str">
        <f t="shared" si="79"/>
        <v/>
      </c>
      <c r="G231" s="881" t="str">
        <f t="shared" si="80"/>
        <v/>
      </c>
      <c r="I231" s="881" t="str">
        <f t="shared" si="81"/>
        <v/>
      </c>
      <c r="K231" s="881" t="str">
        <f t="shared" si="82"/>
        <v/>
      </c>
      <c r="M231" s="881" t="str">
        <f t="shared" si="83"/>
        <v/>
      </c>
      <c r="O231" s="881" t="str">
        <f t="shared" si="84"/>
        <v/>
      </c>
      <c r="Q231" s="881" t="str">
        <f t="shared" si="85"/>
        <v/>
      </c>
      <c r="S231" s="881" t="str">
        <f t="shared" si="86"/>
        <v/>
      </c>
      <c r="U231" s="881" t="str">
        <f t="shared" si="87"/>
        <v/>
      </c>
      <c r="W231" s="881" t="str">
        <f t="shared" si="88"/>
        <v/>
      </c>
      <c r="Y231" s="881" t="str">
        <f t="shared" si="89"/>
        <v/>
      </c>
      <c r="AA231" s="881" t="str">
        <f t="shared" si="90"/>
        <v/>
      </c>
      <c r="AC231" s="881" t="str">
        <f t="shared" si="91"/>
        <v/>
      </c>
      <c r="AE231" s="881" t="str">
        <f t="shared" si="92"/>
        <v/>
      </c>
      <c r="AG231" s="881" t="str">
        <f t="shared" si="93"/>
        <v/>
      </c>
      <c r="AI231" s="881" t="str">
        <f t="shared" si="94"/>
        <v/>
      </c>
      <c r="AK231" s="881" t="str">
        <f t="shared" si="95"/>
        <v/>
      </c>
      <c r="AM231" s="881" t="str">
        <f t="shared" si="96"/>
        <v/>
      </c>
      <c r="AO231" s="881" t="str">
        <f t="shared" si="97"/>
        <v/>
      </c>
      <c r="AQ231" s="881" t="str">
        <f t="shared" si="98"/>
        <v/>
      </c>
    </row>
    <row r="232" spans="5:43" x14ac:dyDescent="0.2">
      <c r="E232" s="881" t="str">
        <f t="shared" si="79"/>
        <v/>
      </c>
      <c r="G232" s="881" t="str">
        <f t="shared" si="80"/>
        <v/>
      </c>
      <c r="I232" s="881" t="str">
        <f t="shared" si="81"/>
        <v/>
      </c>
      <c r="K232" s="881" t="str">
        <f t="shared" si="82"/>
        <v/>
      </c>
      <c r="M232" s="881" t="str">
        <f t="shared" si="83"/>
        <v/>
      </c>
      <c r="O232" s="881" t="str">
        <f t="shared" si="84"/>
        <v/>
      </c>
      <c r="Q232" s="881" t="str">
        <f t="shared" si="85"/>
        <v/>
      </c>
      <c r="S232" s="881" t="str">
        <f t="shared" si="86"/>
        <v/>
      </c>
      <c r="U232" s="881" t="str">
        <f t="shared" si="87"/>
        <v/>
      </c>
      <c r="W232" s="881" t="str">
        <f t="shared" si="88"/>
        <v/>
      </c>
      <c r="Y232" s="881" t="str">
        <f t="shared" si="89"/>
        <v/>
      </c>
      <c r="AA232" s="881" t="str">
        <f t="shared" si="90"/>
        <v/>
      </c>
      <c r="AC232" s="881" t="str">
        <f t="shared" si="91"/>
        <v/>
      </c>
      <c r="AE232" s="881" t="str">
        <f t="shared" si="92"/>
        <v/>
      </c>
      <c r="AG232" s="881" t="str">
        <f t="shared" si="93"/>
        <v/>
      </c>
      <c r="AI232" s="881" t="str">
        <f t="shared" si="94"/>
        <v/>
      </c>
      <c r="AK232" s="881" t="str">
        <f t="shared" si="95"/>
        <v/>
      </c>
      <c r="AM232" s="881" t="str">
        <f t="shared" si="96"/>
        <v/>
      </c>
      <c r="AO232" s="881" t="str">
        <f t="shared" si="97"/>
        <v/>
      </c>
      <c r="AQ232" s="881" t="str">
        <f t="shared" si="98"/>
        <v/>
      </c>
    </row>
    <row r="233" spans="5:43" x14ac:dyDescent="0.2">
      <c r="E233" s="881" t="str">
        <f t="shared" si="79"/>
        <v/>
      </c>
      <c r="G233" s="881" t="str">
        <f t="shared" si="80"/>
        <v/>
      </c>
      <c r="I233" s="881" t="str">
        <f t="shared" si="81"/>
        <v/>
      </c>
      <c r="K233" s="881" t="str">
        <f t="shared" si="82"/>
        <v/>
      </c>
      <c r="M233" s="881" t="str">
        <f t="shared" si="83"/>
        <v/>
      </c>
      <c r="O233" s="881" t="str">
        <f t="shared" si="84"/>
        <v/>
      </c>
      <c r="Q233" s="881" t="str">
        <f t="shared" si="85"/>
        <v/>
      </c>
      <c r="S233" s="881" t="str">
        <f t="shared" si="86"/>
        <v/>
      </c>
      <c r="U233" s="881" t="str">
        <f t="shared" si="87"/>
        <v/>
      </c>
      <c r="W233" s="881" t="str">
        <f t="shared" si="88"/>
        <v/>
      </c>
      <c r="Y233" s="881" t="str">
        <f t="shared" si="89"/>
        <v/>
      </c>
      <c r="AA233" s="881" t="str">
        <f t="shared" si="90"/>
        <v/>
      </c>
      <c r="AC233" s="881" t="str">
        <f t="shared" si="91"/>
        <v/>
      </c>
      <c r="AE233" s="881" t="str">
        <f t="shared" si="92"/>
        <v/>
      </c>
      <c r="AG233" s="881" t="str">
        <f t="shared" si="93"/>
        <v/>
      </c>
      <c r="AI233" s="881" t="str">
        <f t="shared" si="94"/>
        <v/>
      </c>
      <c r="AK233" s="881" t="str">
        <f t="shared" si="95"/>
        <v/>
      </c>
      <c r="AM233" s="881" t="str">
        <f t="shared" si="96"/>
        <v/>
      </c>
      <c r="AO233" s="881" t="str">
        <f t="shared" si="97"/>
        <v/>
      </c>
      <c r="AQ233" s="881" t="str">
        <f t="shared" si="98"/>
        <v/>
      </c>
    </row>
    <row r="234" spans="5:43" x14ac:dyDescent="0.2">
      <c r="E234" s="881" t="str">
        <f t="shared" si="79"/>
        <v/>
      </c>
      <c r="G234" s="881" t="str">
        <f t="shared" si="80"/>
        <v/>
      </c>
      <c r="I234" s="881" t="str">
        <f t="shared" si="81"/>
        <v/>
      </c>
      <c r="K234" s="881" t="str">
        <f t="shared" si="82"/>
        <v/>
      </c>
      <c r="M234" s="881" t="str">
        <f t="shared" si="83"/>
        <v/>
      </c>
      <c r="O234" s="881" t="str">
        <f t="shared" si="84"/>
        <v/>
      </c>
      <c r="Q234" s="881" t="str">
        <f t="shared" si="85"/>
        <v/>
      </c>
      <c r="S234" s="881" t="str">
        <f t="shared" si="86"/>
        <v/>
      </c>
      <c r="U234" s="881" t="str">
        <f t="shared" si="87"/>
        <v/>
      </c>
      <c r="W234" s="881" t="str">
        <f t="shared" si="88"/>
        <v/>
      </c>
      <c r="Y234" s="881" t="str">
        <f t="shared" si="89"/>
        <v/>
      </c>
      <c r="AA234" s="881" t="str">
        <f t="shared" si="90"/>
        <v/>
      </c>
      <c r="AC234" s="881" t="str">
        <f t="shared" si="91"/>
        <v/>
      </c>
      <c r="AE234" s="881" t="str">
        <f t="shared" si="92"/>
        <v/>
      </c>
      <c r="AG234" s="881" t="str">
        <f t="shared" si="93"/>
        <v/>
      </c>
      <c r="AI234" s="881" t="str">
        <f t="shared" si="94"/>
        <v/>
      </c>
      <c r="AK234" s="881" t="str">
        <f t="shared" si="95"/>
        <v/>
      </c>
      <c r="AM234" s="881" t="str">
        <f t="shared" si="96"/>
        <v/>
      </c>
      <c r="AO234" s="881" t="str">
        <f t="shared" si="97"/>
        <v/>
      </c>
      <c r="AQ234" s="881" t="str">
        <f t="shared" si="98"/>
        <v/>
      </c>
    </row>
    <row r="235" spans="5:43" x14ac:dyDescent="0.2">
      <c r="E235" s="881" t="str">
        <f t="shared" si="79"/>
        <v/>
      </c>
      <c r="G235" s="881" t="str">
        <f t="shared" si="80"/>
        <v/>
      </c>
      <c r="I235" s="881" t="str">
        <f t="shared" si="81"/>
        <v/>
      </c>
      <c r="K235" s="881" t="str">
        <f t="shared" si="82"/>
        <v/>
      </c>
      <c r="M235" s="881" t="str">
        <f t="shared" si="83"/>
        <v/>
      </c>
      <c r="O235" s="881" t="str">
        <f t="shared" si="84"/>
        <v/>
      </c>
      <c r="Q235" s="881" t="str">
        <f t="shared" si="85"/>
        <v/>
      </c>
      <c r="S235" s="881" t="str">
        <f t="shared" si="86"/>
        <v/>
      </c>
      <c r="U235" s="881" t="str">
        <f t="shared" si="87"/>
        <v/>
      </c>
      <c r="W235" s="881" t="str">
        <f t="shared" si="88"/>
        <v/>
      </c>
      <c r="Y235" s="881" t="str">
        <f t="shared" si="89"/>
        <v/>
      </c>
      <c r="AA235" s="881" t="str">
        <f t="shared" si="90"/>
        <v/>
      </c>
      <c r="AC235" s="881" t="str">
        <f t="shared" si="91"/>
        <v/>
      </c>
      <c r="AE235" s="881" t="str">
        <f t="shared" si="92"/>
        <v/>
      </c>
      <c r="AG235" s="881" t="str">
        <f t="shared" si="93"/>
        <v/>
      </c>
      <c r="AI235" s="881" t="str">
        <f t="shared" si="94"/>
        <v/>
      </c>
      <c r="AK235" s="881" t="str">
        <f t="shared" si="95"/>
        <v/>
      </c>
      <c r="AM235" s="881" t="str">
        <f t="shared" si="96"/>
        <v/>
      </c>
      <c r="AO235" s="881" t="str">
        <f t="shared" si="97"/>
        <v/>
      </c>
      <c r="AQ235" s="881" t="str">
        <f t="shared" si="98"/>
        <v/>
      </c>
    </row>
    <row r="236" spans="5:43" x14ac:dyDescent="0.2">
      <c r="E236" s="881" t="str">
        <f t="shared" si="79"/>
        <v/>
      </c>
      <c r="G236" s="881" t="str">
        <f t="shared" si="80"/>
        <v/>
      </c>
      <c r="I236" s="881" t="str">
        <f t="shared" si="81"/>
        <v/>
      </c>
      <c r="K236" s="881" t="str">
        <f t="shared" si="82"/>
        <v/>
      </c>
      <c r="M236" s="881" t="str">
        <f t="shared" si="83"/>
        <v/>
      </c>
      <c r="O236" s="881" t="str">
        <f t="shared" si="84"/>
        <v/>
      </c>
      <c r="Q236" s="881" t="str">
        <f t="shared" si="85"/>
        <v/>
      </c>
      <c r="S236" s="881" t="str">
        <f t="shared" si="86"/>
        <v/>
      </c>
      <c r="U236" s="881" t="str">
        <f t="shared" si="87"/>
        <v/>
      </c>
      <c r="W236" s="881" t="str">
        <f t="shared" si="88"/>
        <v/>
      </c>
      <c r="Y236" s="881" t="str">
        <f t="shared" si="89"/>
        <v/>
      </c>
      <c r="AA236" s="881" t="str">
        <f t="shared" si="90"/>
        <v/>
      </c>
      <c r="AC236" s="881" t="str">
        <f t="shared" si="91"/>
        <v/>
      </c>
      <c r="AE236" s="881" t="str">
        <f t="shared" si="92"/>
        <v/>
      </c>
      <c r="AG236" s="881" t="str">
        <f t="shared" si="93"/>
        <v/>
      </c>
      <c r="AI236" s="881" t="str">
        <f t="shared" si="94"/>
        <v/>
      </c>
      <c r="AK236" s="881" t="str">
        <f t="shared" si="95"/>
        <v/>
      </c>
      <c r="AM236" s="881" t="str">
        <f t="shared" si="96"/>
        <v/>
      </c>
      <c r="AO236" s="881" t="str">
        <f t="shared" si="97"/>
        <v/>
      </c>
      <c r="AQ236" s="881" t="str">
        <f t="shared" si="98"/>
        <v/>
      </c>
    </row>
    <row r="237" spans="5:43" x14ac:dyDescent="0.2">
      <c r="E237" s="881" t="str">
        <f t="shared" si="79"/>
        <v/>
      </c>
      <c r="G237" s="881" t="str">
        <f t="shared" si="80"/>
        <v/>
      </c>
      <c r="I237" s="881" t="str">
        <f t="shared" si="81"/>
        <v/>
      </c>
      <c r="K237" s="881" t="str">
        <f t="shared" si="82"/>
        <v/>
      </c>
      <c r="M237" s="881" t="str">
        <f t="shared" si="83"/>
        <v/>
      </c>
      <c r="O237" s="881" t="str">
        <f t="shared" si="84"/>
        <v/>
      </c>
      <c r="Q237" s="881" t="str">
        <f t="shared" si="85"/>
        <v/>
      </c>
      <c r="S237" s="881" t="str">
        <f t="shared" si="86"/>
        <v/>
      </c>
      <c r="U237" s="881" t="str">
        <f t="shared" si="87"/>
        <v/>
      </c>
      <c r="W237" s="881" t="str">
        <f t="shared" si="88"/>
        <v/>
      </c>
      <c r="Y237" s="881" t="str">
        <f t="shared" si="89"/>
        <v/>
      </c>
      <c r="AA237" s="881" t="str">
        <f t="shared" si="90"/>
        <v/>
      </c>
      <c r="AC237" s="881" t="str">
        <f t="shared" si="91"/>
        <v/>
      </c>
      <c r="AE237" s="881" t="str">
        <f t="shared" si="92"/>
        <v/>
      </c>
      <c r="AG237" s="881" t="str">
        <f t="shared" si="93"/>
        <v/>
      </c>
      <c r="AI237" s="881" t="str">
        <f t="shared" si="94"/>
        <v/>
      </c>
      <c r="AK237" s="881" t="str">
        <f t="shared" si="95"/>
        <v/>
      </c>
      <c r="AM237" s="881" t="str">
        <f t="shared" si="96"/>
        <v/>
      </c>
      <c r="AO237" s="881" t="str">
        <f t="shared" si="97"/>
        <v/>
      </c>
      <c r="AQ237" s="881" t="str">
        <f t="shared" si="98"/>
        <v/>
      </c>
    </row>
    <row r="238" spans="5:43" x14ac:dyDescent="0.2">
      <c r="E238" s="881" t="str">
        <f t="shared" si="79"/>
        <v/>
      </c>
      <c r="G238" s="881" t="str">
        <f t="shared" si="80"/>
        <v/>
      </c>
      <c r="I238" s="881" t="str">
        <f t="shared" si="81"/>
        <v/>
      </c>
      <c r="K238" s="881" t="str">
        <f t="shared" si="82"/>
        <v/>
      </c>
      <c r="M238" s="881" t="str">
        <f t="shared" si="83"/>
        <v/>
      </c>
      <c r="O238" s="881" t="str">
        <f t="shared" si="84"/>
        <v/>
      </c>
      <c r="Q238" s="881" t="str">
        <f t="shared" si="85"/>
        <v/>
      </c>
      <c r="S238" s="881" t="str">
        <f t="shared" si="86"/>
        <v/>
      </c>
      <c r="U238" s="881" t="str">
        <f t="shared" si="87"/>
        <v/>
      </c>
      <c r="W238" s="881" t="str">
        <f t="shared" si="88"/>
        <v/>
      </c>
      <c r="Y238" s="881" t="str">
        <f t="shared" si="89"/>
        <v/>
      </c>
      <c r="AA238" s="881" t="str">
        <f t="shared" si="90"/>
        <v/>
      </c>
      <c r="AC238" s="881" t="str">
        <f t="shared" si="91"/>
        <v/>
      </c>
      <c r="AE238" s="881" t="str">
        <f t="shared" si="92"/>
        <v/>
      </c>
      <c r="AG238" s="881" t="str">
        <f t="shared" si="93"/>
        <v/>
      </c>
      <c r="AI238" s="881" t="str">
        <f t="shared" si="94"/>
        <v/>
      </c>
      <c r="AK238" s="881" t="str">
        <f t="shared" si="95"/>
        <v/>
      </c>
      <c r="AM238" s="881" t="str">
        <f t="shared" si="96"/>
        <v/>
      </c>
      <c r="AO238" s="881" t="str">
        <f t="shared" si="97"/>
        <v/>
      </c>
      <c r="AQ238" s="881" t="str">
        <f t="shared" si="98"/>
        <v/>
      </c>
    </row>
    <row r="239" spans="5:43" x14ac:dyDescent="0.2">
      <c r="E239" s="881" t="str">
        <f t="shared" si="79"/>
        <v/>
      </c>
      <c r="G239" s="881" t="str">
        <f t="shared" si="80"/>
        <v/>
      </c>
      <c r="I239" s="881" t="str">
        <f t="shared" si="81"/>
        <v/>
      </c>
      <c r="K239" s="881" t="str">
        <f t="shared" si="82"/>
        <v/>
      </c>
      <c r="M239" s="881" t="str">
        <f t="shared" si="83"/>
        <v/>
      </c>
      <c r="O239" s="881" t="str">
        <f t="shared" si="84"/>
        <v/>
      </c>
      <c r="Q239" s="881" t="str">
        <f t="shared" si="85"/>
        <v/>
      </c>
      <c r="S239" s="881" t="str">
        <f t="shared" si="86"/>
        <v/>
      </c>
      <c r="U239" s="881" t="str">
        <f t="shared" si="87"/>
        <v/>
      </c>
      <c r="W239" s="881" t="str">
        <f t="shared" si="88"/>
        <v/>
      </c>
      <c r="Y239" s="881" t="str">
        <f t="shared" si="89"/>
        <v/>
      </c>
      <c r="AA239" s="881" t="str">
        <f t="shared" si="90"/>
        <v/>
      </c>
      <c r="AC239" s="881" t="str">
        <f t="shared" si="91"/>
        <v/>
      </c>
      <c r="AE239" s="881" t="str">
        <f t="shared" si="92"/>
        <v/>
      </c>
      <c r="AG239" s="881" t="str">
        <f t="shared" si="93"/>
        <v/>
      </c>
      <c r="AI239" s="881" t="str">
        <f t="shared" si="94"/>
        <v/>
      </c>
      <c r="AK239" s="881" t="str">
        <f t="shared" si="95"/>
        <v/>
      </c>
      <c r="AM239" s="881" t="str">
        <f t="shared" si="96"/>
        <v/>
      </c>
      <c r="AO239" s="881" t="str">
        <f t="shared" si="97"/>
        <v/>
      </c>
      <c r="AQ239" s="881" t="str">
        <f t="shared" si="98"/>
        <v/>
      </c>
    </row>
    <row r="240" spans="5:43" x14ac:dyDescent="0.2">
      <c r="E240" s="881" t="str">
        <f t="shared" si="79"/>
        <v/>
      </c>
      <c r="G240" s="881" t="str">
        <f t="shared" si="80"/>
        <v/>
      </c>
      <c r="I240" s="881" t="str">
        <f t="shared" si="81"/>
        <v/>
      </c>
      <c r="K240" s="881" t="str">
        <f t="shared" si="82"/>
        <v/>
      </c>
      <c r="M240" s="881" t="str">
        <f t="shared" si="83"/>
        <v/>
      </c>
      <c r="O240" s="881" t="str">
        <f t="shared" si="84"/>
        <v/>
      </c>
      <c r="Q240" s="881" t="str">
        <f t="shared" si="85"/>
        <v/>
      </c>
      <c r="S240" s="881" t="str">
        <f t="shared" si="86"/>
        <v/>
      </c>
      <c r="U240" s="881" t="str">
        <f t="shared" si="87"/>
        <v/>
      </c>
      <c r="W240" s="881" t="str">
        <f t="shared" si="88"/>
        <v/>
      </c>
      <c r="Y240" s="881" t="str">
        <f t="shared" si="89"/>
        <v/>
      </c>
      <c r="AA240" s="881" t="str">
        <f t="shared" si="90"/>
        <v/>
      </c>
      <c r="AC240" s="881" t="str">
        <f t="shared" si="91"/>
        <v/>
      </c>
      <c r="AE240" s="881" t="str">
        <f t="shared" si="92"/>
        <v/>
      </c>
      <c r="AG240" s="881" t="str">
        <f t="shared" si="93"/>
        <v/>
      </c>
      <c r="AI240" s="881" t="str">
        <f t="shared" si="94"/>
        <v/>
      </c>
      <c r="AK240" s="881" t="str">
        <f t="shared" si="95"/>
        <v/>
      </c>
      <c r="AM240" s="881" t="str">
        <f t="shared" si="96"/>
        <v/>
      </c>
      <c r="AO240" s="881" t="str">
        <f t="shared" si="97"/>
        <v/>
      </c>
      <c r="AQ240" s="881" t="str">
        <f t="shared" si="98"/>
        <v/>
      </c>
    </row>
    <row r="241" spans="5:43" x14ac:dyDescent="0.2">
      <c r="E241" s="881" t="str">
        <f t="shared" si="79"/>
        <v/>
      </c>
      <c r="G241" s="881" t="str">
        <f t="shared" si="80"/>
        <v/>
      </c>
      <c r="I241" s="881" t="str">
        <f t="shared" si="81"/>
        <v/>
      </c>
      <c r="K241" s="881" t="str">
        <f t="shared" si="82"/>
        <v/>
      </c>
      <c r="M241" s="881" t="str">
        <f t="shared" si="83"/>
        <v/>
      </c>
      <c r="O241" s="881" t="str">
        <f t="shared" si="84"/>
        <v/>
      </c>
      <c r="Q241" s="881" t="str">
        <f t="shared" si="85"/>
        <v/>
      </c>
      <c r="S241" s="881" t="str">
        <f t="shared" si="86"/>
        <v/>
      </c>
      <c r="U241" s="881" t="str">
        <f t="shared" si="87"/>
        <v/>
      </c>
      <c r="W241" s="881" t="str">
        <f t="shared" si="88"/>
        <v/>
      </c>
      <c r="Y241" s="881" t="str">
        <f t="shared" si="89"/>
        <v/>
      </c>
      <c r="AA241" s="881" t="str">
        <f t="shared" si="90"/>
        <v/>
      </c>
      <c r="AC241" s="881" t="str">
        <f t="shared" si="91"/>
        <v/>
      </c>
      <c r="AE241" s="881" t="str">
        <f t="shared" si="92"/>
        <v/>
      </c>
      <c r="AG241" s="881" t="str">
        <f t="shared" si="93"/>
        <v/>
      </c>
      <c r="AI241" s="881" t="str">
        <f t="shared" si="94"/>
        <v/>
      </c>
      <c r="AK241" s="881" t="str">
        <f t="shared" si="95"/>
        <v/>
      </c>
      <c r="AM241" s="881" t="str">
        <f t="shared" si="96"/>
        <v/>
      </c>
      <c r="AO241" s="881" t="str">
        <f t="shared" si="97"/>
        <v/>
      </c>
      <c r="AQ241" s="881" t="str">
        <f t="shared" si="98"/>
        <v/>
      </c>
    </row>
    <row r="242" spans="5:43" x14ac:dyDescent="0.2">
      <c r="E242" s="881" t="str">
        <f t="shared" si="79"/>
        <v/>
      </c>
      <c r="G242" s="881" t="str">
        <f t="shared" si="80"/>
        <v/>
      </c>
      <c r="I242" s="881" t="str">
        <f t="shared" si="81"/>
        <v/>
      </c>
      <c r="K242" s="881" t="str">
        <f t="shared" si="82"/>
        <v/>
      </c>
      <c r="M242" s="881" t="str">
        <f t="shared" si="83"/>
        <v/>
      </c>
      <c r="O242" s="881" t="str">
        <f t="shared" si="84"/>
        <v/>
      </c>
      <c r="Q242" s="881" t="str">
        <f t="shared" si="85"/>
        <v/>
      </c>
      <c r="S242" s="881" t="str">
        <f t="shared" si="86"/>
        <v/>
      </c>
      <c r="U242" s="881" t="str">
        <f t="shared" si="87"/>
        <v/>
      </c>
      <c r="W242" s="881" t="str">
        <f t="shared" si="88"/>
        <v/>
      </c>
      <c r="Y242" s="881" t="str">
        <f t="shared" si="89"/>
        <v/>
      </c>
      <c r="AA242" s="881" t="str">
        <f t="shared" si="90"/>
        <v/>
      </c>
      <c r="AC242" s="881" t="str">
        <f t="shared" si="91"/>
        <v/>
      </c>
      <c r="AE242" s="881" t="str">
        <f t="shared" si="92"/>
        <v/>
      </c>
      <c r="AG242" s="881" t="str">
        <f t="shared" si="93"/>
        <v/>
      </c>
      <c r="AI242" s="881" t="str">
        <f t="shared" si="94"/>
        <v/>
      </c>
      <c r="AK242" s="881" t="str">
        <f t="shared" si="95"/>
        <v/>
      </c>
      <c r="AM242" s="881" t="str">
        <f t="shared" si="96"/>
        <v/>
      </c>
      <c r="AO242" s="881" t="str">
        <f t="shared" si="97"/>
        <v/>
      </c>
      <c r="AQ242" s="881" t="str">
        <f t="shared" si="98"/>
        <v/>
      </c>
    </row>
    <row r="243" spans="5:43" x14ac:dyDescent="0.2">
      <c r="E243" s="881" t="str">
        <f t="shared" si="79"/>
        <v/>
      </c>
      <c r="G243" s="881" t="str">
        <f t="shared" si="80"/>
        <v/>
      </c>
      <c r="I243" s="881" t="str">
        <f t="shared" si="81"/>
        <v/>
      </c>
      <c r="K243" s="881" t="str">
        <f t="shared" si="82"/>
        <v/>
      </c>
      <c r="M243" s="881" t="str">
        <f t="shared" si="83"/>
        <v/>
      </c>
      <c r="O243" s="881" t="str">
        <f t="shared" si="84"/>
        <v/>
      </c>
      <c r="Q243" s="881" t="str">
        <f t="shared" si="85"/>
        <v/>
      </c>
      <c r="S243" s="881" t="str">
        <f t="shared" si="86"/>
        <v/>
      </c>
      <c r="U243" s="881" t="str">
        <f t="shared" si="87"/>
        <v/>
      </c>
      <c r="W243" s="881" t="str">
        <f t="shared" si="88"/>
        <v/>
      </c>
      <c r="Y243" s="881" t="str">
        <f t="shared" si="89"/>
        <v/>
      </c>
      <c r="AA243" s="881" t="str">
        <f t="shared" si="90"/>
        <v/>
      </c>
      <c r="AC243" s="881" t="str">
        <f t="shared" si="91"/>
        <v/>
      </c>
      <c r="AE243" s="881" t="str">
        <f t="shared" si="92"/>
        <v/>
      </c>
      <c r="AG243" s="881" t="str">
        <f t="shared" si="93"/>
        <v/>
      </c>
      <c r="AI243" s="881" t="str">
        <f t="shared" si="94"/>
        <v/>
      </c>
      <c r="AK243" s="881" t="str">
        <f t="shared" si="95"/>
        <v/>
      </c>
      <c r="AM243" s="881" t="str">
        <f t="shared" si="96"/>
        <v/>
      </c>
      <c r="AO243" s="881" t="str">
        <f t="shared" si="97"/>
        <v/>
      </c>
      <c r="AQ243" s="881" t="str">
        <f t="shared" si="98"/>
        <v/>
      </c>
    </row>
    <row r="244" spans="5:43" x14ac:dyDescent="0.2">
      <c r="E244" s="881" t="str">
        <f t="shared" si="79"/>
        <v/>
      </c>
      <c r="G244" s="881" t="str">
        <f t="shared" si="80"/>
        <v/>
      </c>
      <c r="I244" s="881" t="str">
        <f t="shared" si="81"/>
        <v/>
      </c>
      <c r="K244" s="881" t="str">
        <f t="shared" si="82"/>
        <v/>
      </c>
      <c r="M244" s="881" t="str">
        <f t="shared" si="83"/>
        <v/>
      </c>
      <c r="O244" s="881" t="str">
        <f t="shared" si="84"/>
        <v/>
      </c>
      <c r="Q244" s="881" t="str">
        <f t="shared" si="85"/>
        <v/>
      </c>
      <c r="S244" s="881" t="str">
        <f t="shared" si="86"/>
        <v/>
      </c>
      <c r="U244" s="881" t="str">
        <f t="shared" si="87"/>
        <v/>
      </c>
      <c r="W244" s="881" t="str">
        <f t="shared" si="88"/>
        <v/>
      </c>
      <c r="Y244" s="881" t="str">
        <f t="shared" si="89"/>
        <v/>
      </c>
      <c r="AA244" s="881" t="str">
        <f t="shared" si="90"/>
        <v/>
      </c>
      <c r="AC244" s="881" t="str">
        <f t="shared" si="91"/>
        <v/>
      </c>
      <c r="AE244" s="881" t="str">
        <f t="shared" si="92"/>
        <v/>
      </c>
      <c r="AG244" s="881" t="str">
        <f t="shared" si="93"/>
        <v/>
      </c>
      <c r="AI244" s="881" t="str">
        <f t="shared" si="94"/>
        <v/>
      </c>
      <c r="AK244" s="881" t="str">
        <f t="shared" si="95"/>
        <v/>
      </c>
      <c r="AM244" s="881" t="str">
        <f t="shared" si="96"/>
        <v/>
      </c>
      <c r="AO244" s="881" t="str">
        <f t="shared" si="97"/>
        <v/>
      </c>
      <c r="AQ244" s="881" t="str">
        <f t="shared" si="98"/>
        <v/>
      </c>
    </row>
    <row r="245" spans="5:43" x14ac:dyDescent="0.2">
      <c r="E245" s="881" t="str">
        <f t="shared" si="79"/>
        <v/>
      </c>
      <c r="G245" s="881" t="str">
        <f t="shared" si="80"/>
        <v/>
      </c>
      <c r="I245" s="881" t="str">
        <f t="shared" si="81"/>
        <v/>
      </c>
      <c r="K245" s="881" t="str">
        <f t="shared" si="82"/>
        <v/>
      </c>
      <c r="M245" s="881" t="str">
        <f t="shared" si="83"/>
        <v/>
      </c>
      <c r="O245" s="881" t="str">
        <f t="shared" si="84"/>
        <v/>
      </c>
      <c r="Q245" s="881" t="str">
        <f t="shared" si="85"/>
        <v/>
      </c>
      <c r="S245" s="881" t="str">
        <f t="shared" si="86"/>
        <v/>
      </c>
      <c r="U245" s="881" t="str">
        <f t="shared" si="87"/>
        <v/>
      </c>
      <c r="W245" s="881" t="str">
        <f t="shared" si="88"/>
        <v/>
      </c>
      <c r="Y245" s="881" t="str">
        <f t="shared" si="89"/>
        <v/>
      </c>
      <c r="AA245" s="881" t="str">
        <f t="shared" si="90"/>
        <v/>
      </c>
      <c r="AC245" s="881" t="str">
        <f t="shared" si="91"/>
        <v/>
      </c>
      <c r="AE245" s="881" t="str">
        <f t="shared" si="92"/>
        <v/>
      </c>
      <c r="AG245" s="881" t="str">
        <f t="shared" si="93"/>
        <v/>
      </c>
      <c r="AI245" s="881" t="str">
        <f t="shared" si="94"/>
        <v/>
      </c>
      <c r="AK245" s="881" t="str">
        <f t="shared" si="95"/>
        <v/>
      </c>
      <c r="AM245" s="881" t="str">
        <f t="shared" si="96"/>
        <v/>
      </c>
      <c r="AO245" s="881" t="str">
        <f t="shared" si="97"/>
        <v/>
      </c>
      <c r="AQ245" s="881" t="str">
        <f t="shared" si="98"/>
        <v/>
      </c>
    </row>
    <row r="246" spans="5:43" x14ac:dyDescent="0.2">
      <c r="E246" s="881" t="str">
        <f t="shared" si="79"/>
        <v/>
      </c>
      <c r="G246" s="881" t="str">
        <f t="shared" si="80"/>
        <v/>
      </c>
      <c r="I246" s="881" t="str">
        <f t="shared" si="81"/>
        <v/>
      </c>
      <c r="K246" s="881" t="str">
        <f t="shared" si="82"/>
        <v/>
      </c>
      <c r="M246" s="881" t="str">
        <f t="shared" si="83"/>
        <v/>
      </c>
      <c r="O246" s="881" t="str">
        <f t="shared" si="84"/>
        <v/>
      </c>
      <c r="Q246" s="881" t="str">
        <f t="shared" si="85"/>
        <v/>
      </c>
      <c r="S246" s="881" t="str">
        <f t="shared" si="86"/>
        <v/>
      </c>
      <c r="U246" s="881" t="str">
        <f t="shared" si="87"/>
        <v/>
      </c>
      <c r="W246" s="881" t="str">
        <f t="shared" si="88"/>
        <v/>
      </c>
      <c r="Y246" s="881" t="str">
        <f t="shared" si="89"/>
        <v/>
      </c>
      <c r="AA246" s="881" t="str">
        <f t="shared" si="90"/>
        <v/>
      </c>
      <c r="AC246" s="881" t="str">
        <f t="shared" si="91"/>
        <v/>
      </c>
      <c r="AE246" s="881" t="str">
        <f t="shared" si="92"/>
        <v/>
      </c>
      <c r="AG246" s="881" t="str">
        <f t="shared" si="93"/>
        <v/>
      </c>
      <c r="AI246" s="881" t="str">
        <f t="shared" si="94"/>
        <v/>
      </c>
      <c r="AK246" s="881" t="str">
        <f t="shared" si="95"/>
        <v/>
      </c>
      <c r="AM246" s="881" t="str">
        <f t="shared" si="96"/>
        <v/>
      </c>
      <c r="AO246" s="881" t="str">
        <f t="shared" si="97"/>
        <v/>
      </c>
      <c r="AQ246" s="881" t="str">
        <f t="shared" si="98"/>
        <v/>
      </c>
    </row>
    <row r="247" spans="5:43" x14ac:dyDescent="0.2">
      <c r="E247" s="881" t="str">
        <f t="shared" si="79"/>
        <v/>
      </c>
      <c r="G247" s="881" t="str">
        <f t="shared" si="80"/>
        <v/>
      </c>
      <c r="I247" s="881" t="str">
        <f t="shared" si="81"/>
        <v/>
      </c>
      <c r="K247" s="881" t="str">
        <f t="shared" si="82"/>
        <v/>
      </c>
      <c r="M247" s="881" t="str">
        <f t="shared" si="83"/>
        <v/>
      </c>
      <c r="O247" s="881" t="str">
        <f t="shared" si="84"/>
        <v/>
      </c>
      <c r="Q247" s="881" t="str">
        <f t="shared" si="85"/>
        <v/>
      </c>
      <c r="S247" s="881" t="str">
        <f t="shared" si="86"/>
        <v/>
      </c>
      <c r="U247" s="881" t="str">
        <f t="shared" si="87"/>
        <v/>
      </c>
      <c r="W247" s="881" t="str">
        <f t="shared" si="88"/>
        <v/>
      </c>
      <c r="Y247" s="881" t="str">
        <f t="shared" si="89"/>
        <v/>
      </c>
      <c r="AA247" s="881" t="str">
        <f t="shared" si="90"/>
        <v/>
      </c>
      <c r="AC247" s="881" t="str">
        <f t="shared" si="91"/>
        <v/>
      </c>
      <c r="AE247" s="881" t="str">
        <f t="shared" si="92"/>
        <v/>
      </c>
      <c r="AG247" s="881" t="str">
        <f t="shared" si="93"/>
        <v/>
      </c>
      <c r="AI247" s="881" t="str">
        <f t="shared" si="94"/>
        <v/>
      </c>
      <c r="AK247" s="881" t="str">
        <f t="shared" si="95"/>
        <v/>
      </c>
      <c r="AM247" s="881" t="str">
        <f t="shared" si="96"/>
        <v/>
      </c>
      <c r="AO247" s="881" t="str">
        <f t="shared" si="97"/>
        <v/>
      </c>
      <c r="AQ247" s="881" t="str">
        <f t="shared" si="98"/>
        <v/>
      </c>
    </row>
    <row r="248" spans="5:43" x14ac:dyDescent="0.2">
      <c r="E248" s="881" t="str">
        <f t="shared" si="79"/>
        <v/>
      </c>
      <c r="G248" s="881" t="str">
        <f t="shared" si="80"/>
        <v/>
      </c>
      <c r="I248" s="881" t="str">
        <f t="shared" si="81"/>
        <v/>
      </c>
      <c r="K248" s="881" t="str">
        <f t="shared" si="82"/>
        <v/>
      </c>
      <c r="M248" s="881" t="str">
        <f t="shared" si="83"/>
        <v/>
      </c>
      <c r="O248" s="881" t="str">
        <f t="shared" si="84"/>
        <v/>
      </c>
      <c r="Q248" s="881" t="str">
        <f t="shared" si="85"/>
        <v/>
      </c>
      <c r="S248" s="881" t="str">
        <f t="shared" si="86"/>
        <v/>
      </c>
      <c r="U248" s="881" t="str">
        <f t="shared" si="87"/>
        <v/>
      </c>
      <c r="W248" s="881" t="str">
        <f t="shared" si="88"/>
        <v/>
      </c>
      <c r="Y248" s="881" t="str">
        <f t="shared" si="89"/>
        <v/>
      </c>
      <c r="AA248" s="881" t="str">
        <f t="shared" si="90"/>
        <v/>
      </c>
      <c r="AC248" s="881" t="str">
        <f t="shared" si="91"/>
        <v/>
      </c>
      <c r="AE248" s="881" t="str">
        <f t="shared" si="92"/>
        <v/>
      </c>
      <c r="AG248" s="881" t="str">
        <f t="shared" si="93"/>
        <v/>
      </c>
      <c r="AI248" s="881" t="str">
        <f t="shared" si="94"/>
        <v/>
      </c>
      <c r="AK248" s="881" t="str">
        <f t="shared" si="95"/>
        <v/>
      </c>
      <c r="AM248" s="881" t="str">
        <f t="shared" si="96"/>
        <v/>
      </c>
      <c r="AO248" s="881" t="str">
        <f t="shared" si="97"/>
        <v/>
      </c>
      <c r="AQ248" s="881" t="str">
        <f t="shared" si="98"/>
        <v/>
      </c>
    </row>
    <row r="249" spans="5:43" x14ac:dyDescent="0.2">
      <c r="E249" s="881" t="str">
        <f t="shared" si="79"/>
        <v/>
      </c>
      <c r="G249" s="881" t="str">
        <f t="shared" si="80"/>
        <v/>
      </c>
      <c r="I249" s="881" t="str">
        <f t="shared" si="81"/>
        <v/>
      </c>
      <c r="K249" s="881" t="str">
        <f t="shared" si="82"/>
        <v/>
      </c>
      <c r="M249" s="881" t="str">
        <f t="shared" si="83"/>
        <v/>
      </c>
      <c r="O249" s="881" t="str">
        <f t="shared" si="84"/>
        <v/>
      </c>
      <c r="Q249" s="881" t="str">
        <f t="shared" si="85"/>
        <v/>
      </c>
      <c r="S249" s="881" t="str">
        <f t="shared" si="86"/>
        <v/>
      </c>
      <c r="U249" s="881" t="str">
        <f t="shared" si="87"/>
        <v/>
      </c>
      <c r="W249" s="881" t="str">
        <f t="shared" si="88"/>
        <v/>
      </c>
      <c r="Y249" s="881" t="str">
        <f t="shared" si="89"/>
        <v/>
      </c>
      <c r="AA249" s="881" t="str">
        <f t="shared" si="90"/>
        <v/>
      </c>
      <c r="AC249" s="881" t="str">
        <f t="shared" si="91"/>
        <v/>
      </c>
      <c r="AE249" s="881" t="str">
        <f t="shared" si="92"/>
        <v/>
      </c>
      <c r="AG249" s="881" t="str">
        <f t="shared" si="93"/>
        <v/>
      </c>
      <c r="AI249" s="881" t="str">
        <f t="shared" si="94"/>
        <v/>
      </c>
      <c r="AK249" s="881" t="str">
        <f t="shared" si="95"/>
        <v/>
      </c>
      <c r="AM249" s="881" t="str">
        <f t="shared" si="96"/>
        <v/>
      </c>
      <c r="AO249" s="881" t="str">
        <f t="shared" si="97"/>
        <v/>
      </c>
      <c r="AQ249" s="881" t="str">
        <f t="shared" si="98"/>
        <v/>
      </c>
    </row>
    <row r="250" spans="5:43" x14ac:dyDescent="0.2">
      <c r="E250" s="881" t="str">
        <f t="shared" si="79"/>
        <v/>
      </c>
      <c r="G250" s="881" t="str">
        <f t="shared" si="80"/>
        <v/>
      </c>
      <c r="I250" s="881" t="str">
        <f t="shared" si="81"/>
        <v/>
      </c>
      <c r="K250" s="881" t="str">
        <f t="shared" si="82"/>
        <v/>
      </c>
      <c r="M250" s="881" t="str">
        <f t="shared" si="83"/>
        <v/>
      </c>
      <c r="O250" s="881" t="str">
        <f t="shared" si="84"/>
        <v/>
      </c>
      <c r="Q250" s="881" t="str">
        <f t="shared" si="85"/>
        <v/>
      </c>
      <c r="S250" s="881" t="str">
        <f t="shared" si="86"/>
        <v/>
      </c>
      <c r="U250" s="881" t="str">
        <f t="shared" si="87"/>
        <v/>
      </c>
      <c r="W250" s="881" t="str">
        <f t="shared" si="88"/>
        <v/>
      </c>
      <c r="Y250" s="881" t="str">
        <f t="shared" si="89"/>
        <v/>
      </c>
      <c r="AA250" s="881" t="str">
        <f t="shared" si="90"/>
        <v/>
      </c>
      <c r="AC250" s="881" t="str">
        <f t="shared" si="91"/>
        <v/>
      </c>
      <c r="AE250" s="881" t="str">
        <f t="shared" si="92"/>
        <v/>
      </c>
      <c r="AG250" s="881" t="str">
        <f t="shared" si="93"/>
        <v/>
      </c>
      <c r="AI250" s="881" t="str">
        <f t="shared" si="94"/>
        <v/>
      </c>
      <c r="AK250" s="881" t="str">
        <f t="shared" si="95"/>
        <v/>
      </c>
      <c r="AM250" s="881" t="str">
        <f t="shared" si="96"/>
        <v/>
      </c>
      <c r="AO250" s="881" t="str">
        <f t="shared" si="97"/>
        <v/>
      </c>
      <c r="AQ250" s="881" t="str">
        <f t="shared" si="98"/>
        <v/>
      </c>
    </row>
    <row r="251" spans="5:43" x14ac:dyDescent="0.2">
      <c r="E251" s="881" t="str">
        <f t="shared" si="79"/>
        <v/>
      </c>
      <c r="G251" s="881" t="str">
        <f t="shared" si="80"/>
        <v/>
      </c>
      <c r="I251" s="881" t="str">
        <f t="shared" si="81"/>
        <v/>
      </c>
      <c r="K251" s="881" t="str">
        <f t="shared" si="82"/>
        <v/>
      </c>
      <c r="M251" s="881" t="str">
        <f t="shared" si="83"/>
        <v/>
      </c>
      <c r="O251" s="881" t="str">
        <f t="shared" si="84"/>
        <v/>
      </c>
      <c r="Q251" s="881" t="str">
        <f t="shared" si="85"/>
        <v/>
      </c>
      <c r="S251" s="881" t="str">
        <f t="shared" si="86"/>
        <v/>
      </c>
      <c r="U251" s="881" t="str">
        <f t="shared" si="87"/>
        <v/>
      </c>
      <c r="W251" s="881" t="str">
        <f t="shared" si="88"/>
        <v/>
      </c>
      <c r="Y251" s="881" t="str">
        <f t="shared" si="89"/>
        <v/>
      </c>
      <c r="AA251" s="881" t="str">
        <f t="shared" si="90"/>
        <v/>
      </c>
      <c r="AC251" s="881" t="str">
        <f t="shared" si="91"/>
        <v/>
      </c>
      <c r="AE251" s="881" t="str">
        <f t="shared" si="92"/>
        <v/>
      </c>
      <c r="AG251" s="881" t="str">
        <f t="shared" si="93"/>
        <v/>
      </c>
      <c r="AI251" s="881" t="str">
        <f t="shared" si="94"/>
        <v/>
      </c>
      <c r="AK251" s="881" t="str">
        <f t="shared" si="95"/>
        <v/>
      </c>
      <c r="AM251" s="881" t="str">
        <f t="shared" si="96"/>
        <v/>
      </c>
      <c r="AO251" s="881" t="str">
        <f t="shared" si="97"/>
        <v/>
      </c>
      <c r="AQ251" s="881" t="str">
        <f t="shared" si="98"/>
        <v/>
      </c>
    </row>
    <row r="252" spans="5:43" x14ac:dyDescent="0.2">
      <c r="E252" s="881" t="str">
        <f t="shared" si="79"/>
        <v/>
      </c>
      <c r="G252" s="881" t="str">
        <f t="shared" si="80"/>
        <v/>
      </c>
      <c r="I252" s="881" t="str">
        <f t="shared" si="81"/>
        <v/>
      </c>
      <c r="K252" s="881" t="str">
        <f t="shared" si="82"/>
        <v/>
      </c>
      <c r="M252" s="881" t="str">
        <f t="shared" si="83"/>
        <v/>
      </c>
      <c r="O252" s="881" t="str">
        <f t="shared" si="84"/>
        <v/>
      </c>
      <c r="Q252" s="881" t="str">
        <f t="shared" si="85"/>
        <v/>
      </c>
      <c r="S252" s="881" t="str">
        <f t="shared" si="86"/>
        <v/>
      </c>
      <c r="U252" s="881" t="str">
        <f t="shared" si="87"/>
        <v/>
      </c>
      <c r="W252" s="881" t="str">
        <f t="shared" si="88"/>
        <v/>
      </c>
      <c r="Y252" s="881" t="str">
        <f t="shared" si="89"/>
        <v/>
      </c>
      <c r="AA252" s="881" t="str">
        <f t="shared" si="90"/>
        <v/>
      </c>
      <c r="AC252" s="881" t="str">
        <f t="shared" si="91"/>
        <v/>
      </c>
      <c r="AE252" s="881" t="str">
        <f t="shared" si="92"/>
        <v/>
      </c>
      <c r="AG252" s="881" t="str">
        <f t="shared" si="93"/>
        <v/>
      </c>
      <c r="AI252" s="881" t="str">
        <f t="shared" si="94"/>
        <v/>
      </c>
      <c r="AK252" s="881" t="str">
        <f t="shared" si="95"/>
        <v/>
      </c>
      <c r="AM252" s="881" t="str">
        <f t="shared" si="96"/>
        <v/>
      </c>
      <c r="AO252" s="881" t="str">
        <f t="shared" si="97"/>
        <v/>
      </c>
      <c r="AQ252" s="881" t="str">
        <f t="shared" si="98"/>
        <v/>
      </c>
    </row>
    <row r="253" spans="5:43" x14ac:dyDescent="0.2">
      <c r="E253" s="881" t="str">
        <f t="shared" si="79"/>
        <v/>
      </c>
      <c r="G253" s="881" t="str">
        <f t="shared" si="80"/>
        <v/>
      </c>
      <c r="I253" s="881" t="str">
        <f t="shared" si="81"/>
        <v/>
      </c>
      <c r="K253" s="881" t="str">
        <f t="shared" si="82"/>
        <v/>
      </c>
      <c r="M253" s="881" t="str">
        <f t="shared" si="83"/>
        <v/>
      </c>
      <c r="O253" s="881" t="str">
        <f t="shared" si="84"/>
        <v/>
      </c>
      <c r="Q253" s="881" t="str">
        <f t="shared" si="85"/>
        <v/>
      </c>
      <c r="S253" s="881" t="str">
        <f t="shared" si="86"/>
        <v/>
      </c>
      <c r="U253" s="881" t="str">
        <f t="shared" si="87"/>
        <v/>
      </c>
      <c r="W253" s="881" t="str">
        <f t="shared" si="88"/>
        <v/>
      </c>
      <c r="Y253" s="881" t="str">
        <f t="shared" si="89"/>
        <v/>
      </c>
      <c r="AA253" s="881" t="str">
        <f t="shared" si="90"/>
        <v/>
      </c>
      <c r="AC253" s="881" t="str">
        <f t="shared" si="91"/>
        <v/>
      </c>
      <c r="AE253" s="881" t="str">
        <f t="shared" si="92"/>
        <v/>
      </c>
      <c r="AG253" s="881" t="str">
        <f t="shared" si="93"/>
        <v/>
      </c>
      <c r="AI253" s="881" t="str">
        <f t="shared" si="94"/>
        <v/>
      </c>
      <c r="AK253" s="881" t="str">
        <f t="shared" si="95"/>
        <v/>
      </c>
      <c r="AM253" s="881" t="str">
        <f t="shared" si="96"/>
        <v/>
      </c>
      <c r="AO253" s="881" t="str">
        <f t="shared" si="97"/>
        <v/>
      </c>
      <c r="AQ253" s="881" t="str">
        <f t="shared" si="98"/>
        <v/>
      </c>
    </row>
    <row r="254" spans="5:43" x14ac:dyDescent="0.2">
      <c r="E254" s="881" t="str">
        <f t="shared" si="79"/>
        <v/>
      </c>
      <c r="G254" s="881" t="str">
        <f t="shared" si="80"/>
        <v/>
      </c>
      <c r="I254" s="881" t="str">
        <f t="shared" si="81"/>
        <v/>
      </c>
      <c r="K254" s="881" t="str">
        <f t="shared" si="82"/>
        <v/>
      </c>
      <c r="M254" s="881" t="str">
        <f t="shared" si="83"/>
        <v/>
      </c>
      <c r="O254" s="881" t="str">
        <f t="shared" si="84"/>
        <v/>
      </c>
      <c r="Q254" s="881" t="str">
        <f t="shared" si="85"/>
        <v/>
      </c>
      <c r="S254" s="881" t="str">
        <f t="shared" si="86"/>
        <v/>
      </c>
      <c r="U254" s="881" t="str">
        <f t="shared" si="87"/>
        <v/>
      </c>
      <c r="W254" s="881" t="str">
        <f t="shared" si="88"/>
        <v/>
      </c>
      <c r="Y254" s="881" t="str">
        <f t="shared" si="89"/>
        <v/>
      </c>
      <c r="AA254" s="881" t="str">
        <f t="shared" si="90"/>
        <v/>
      </c>
      <c r="AC254" s="881" t="str">
        <f t="shared" si="91"/>
        <v/>
      </c>
      <c r="AE254" s="881" t="str">
        <f t="shared" si="92"/>
        <v/>
      </c>
      <c r="AG254" s="881" t="str">
        <f t="shared" si="93"/>
        <v/>
      </c>
      <c r="AI254" s="881" t="str">
        <f t="shared" si="94"/>
        <v/>
      </c>
      <c r="AK254" s="881" t="str">
        <f t="shared" si="95"/>
        <v/>
      </c>
      <c r="AM254" s="881" t="str">
        <f t="shared" si="96"/>
        <v/>
      </c>
      <c r="AO254" s="881" t="str">
        <f t="shared" si="97"/>
        <v/>
      </c>
      <c r="AQ254" s="881" t="str">
        <f t="shared" si="98"/>
        <v/>
      </c>
    </row>
    <row r="255" spans="5:43" x14ac:dyDescent="0.2">
      <c r="E255" s="881" t="str">
        <f t="shared" si="79"/>
        <v/>
      </c>
      <c r="G255" s="881" t="str">
        <f t="shared" si="80"/>
        <v/>
      </c>
      <c r="I255" s="881" t="str">
        <f t="shared" si="81"/>
        <v/>
      </c>
      <c r="K255" s="881" t="str">
        <f t="shared" si="82"/>
        <v/>
      </c>
      <c r="M255" s="881" t="str">
        <f t="shared" si="83"/>
        <v/>
      </c>
      <c r="O255" s="881" t="str">
        <f t="shared" si="84"/>
        <v/>
      </c>
      <c r="Q255" s="881" t="str">
        <f t="shared" si="85"/>
        <v/>
      </c>
      <c r="S255" s="881" t="str">
        <f t="shared" si="86"/>
        <v/>
      </c>
      <c r="U255" s="881" t="str">
        <f t="shared" si="87"/>
        <v/>
      </c>
      <c r="W255" s="881" t="str">
        <f t="shared" si="88"/>
        <v/>
      </c>
      <c r="Y255" s="881" t="str">
        <f t="shared" si="89"/>
        <v/>
      </c>
      <c r="AA255" s="881" t="str">
        <f t="shared" si="90"/>
        <v/>
      </c>
      <c r="AC255" s="881" t="str">
        <f t="shared" si="91"/>
        <v/>
      </c>
      <c r="AE255" s="881" t="str">
        <f t="shared" si="92"/>
        <v/>
      </c>
      <c r="AG255" s="881" t="str">
        <f t="shared" si="93"/>
        <v/>
      </c>
      <c r="AI255" s="881" t="str">
        <f t="shared" si="94"/>
        <v/>
      </c>
      <c r="AK255" s="881" t="str">
        <f t="shared" si="95"/>
        <v/>
      </c>
      <c r="AM255" s="881" t="str">
        <f t="shared" si="96"/>
        <v/>
      </c>
      <c r="AO255" s="881" t="str">
        <f t="shared" si="97"/>
        <v/>
      </c>
      <c r="AQ255" s="881" t="str">
        <f t="shared" si="98"/>
        <v/>
      </c>
    </row>
    <row r="256" spans="5:43" x14ac:dyDescent="0.2">
      <c r="E256" s="881" t="str">
        <f t="shared" si="79"/>
        <v/>
      </c>
      <c r="G256" s="881" t="str">
        <f t="shared" si="80"/>
        <v/>
      </c>
      <c r="I256" s="881" t="str">
        <f t="shared" si="81"/>
        <v/>
      </c>
      <c r="K256" s="881" t="str">
        <f t="shared" si="82"/>
        <v/>
      </c>
      <c r="M256" s="881" t="str">
        <f t="shared" si="83"/>
        <v/>
      </c>
      <c r="O256" s="881" t="str">
        <f t="shared" si="84"/>
        <v/>
      </c>
      <c r="Q256" s="881" t="str">
        <f t="shared" si="85"/>
        <v/>
      </c>
      <c r="S256" s="881" t="str">
        <f t="shared" si="86"/>
        <v/>
      </c>
      <c r="U256" s="881" t="str">
        <f t="shared" si="87"/>
        <v/>
      </c>
      <c r="W256" s="881" t="str">
        <f t="shared" si="88"/>
        <v/>
      </c>
      <c r="Y256" s="881" t="str">
        <f t="shared" si="89"/>
        <v/>
      </c>
      <c r="AA256" s="881" t="str">
        <f t="shared" si="90"/>
        <v/>
      </c>
      <c r="AC256" s="881" t="str">
        <f t="shared" si="91"/>
        <v/>
      </c>
      <c r="AE256" s="881" t="str">
        <f t="shared" si="92"/>
        <v/>
      </c>
      <c r="AG256" s="881" t="str">
        <f t="shared" si="93"/>
        <v/>
      </c>
      <c r="AI256" s="881" t="str">
        <f t="shared" si="94"/>
        <v/>
      </c>
      <c r="AK256" s="881" t="str">
        <f t="shared" si="95"/>
        <v/>
      </c>
      <c r="AM256" s="881" t="str">
        <f t="shared" si="96"/>
        <v/>
      </c>
      <c r="AO256" s="881" t="str">
        <f t="shared" si="97"/>
        <v/>
      </c>
      <c r="AQ256" s="881" t="str">
        <f t="shared" si="98"/>
        <v/>
      </c>
    </row>
    <row r="257" spans="5:43" x14ac:dyDescent="0.2">
      <c r="E257" s="881" t="str">
        <f t="shared" si="79"/>
        <v/>
      </c>
      <c r="G257" s="881" t="str">
        <f t="shared" si="80"/>
        <v/>
      </c>
      <c r="I257" s="881" t="str">
        <f t="shared" si="81"/>
        <v/>
      </c>
      <c r="K257" s="881" t="str">
        <f t="shared" si="82"/>
        <v/>
      </c>
      <c r="M257" s="881" t="str">
        <f t="shared" si="83"/>
        <v/>
      </c>
      <c r="O257" s="881" t="str">
        <f t="shared" si="84"/>
        <v/>
      </c>
      <c r="Q257" s="881" t="str">
        <f t="shared" si="85"/>
        <v/>
      </c>
      <c r="S257" s="881" t="str">
        <f t="shared" si="86"/>
        <v/>
      </c>
      <c r="U257" s="881" t="str">
        <f t="shared" si="87"/>
        <v/>
      </c>
      <c r="W257" s="881" t="str">
        <f t="shared" si="88"/>
        <v/>
      </c>
      <c r="Y257" s="881" t="str">
        <f t="shared" si="89"/>
        <v/>
      </c>
      <c r="AA257" s="881" t="str">
        <f t="shared" si="90"/>
        <v/>
      </c>
      <c r="AC257" s="881" t="str">
        <f t="shared" si="91"/>
        <v/>
      </c>
      <c r="AE257" s="881" t="str">
        <f t="shared" si="92"/>
        <v/>
      </c>
      <c r="AG257" s="881" t="str">
        <f t="shared" si="93"/>
        <v/>
      </c>
      <c r="AI257" s="881" t="str">
        <f t="shared" si="94"/>
        <v/>
      </c>
      <c r="AK257" s="881" t="str">
        <f t="shared" si="95"/>
        <v/>
      </c>
      <c r="AM257" s="881" t="str">
        <f t="shared" si="96"/>
        <v/>
      </c>
      <c r="AO257" s="881" t="str">
        <f t="shared" si="97"/>
        <v/>
      </c>
      <c r="AQ257" s="881" t="str">
        <f t="shared" si="98"/>
        <v/>
      </c>
    </row>
    <row r="258" spans="5:43" x14ac:dyDescent="0.2">
      <c r="E258" s="881" t="str">
        <f t="shared" si="79"/>
        <v/>
      </c>
      <c r="G258" s="881" t="str">
        <f t="shared" si="80"/>
        <v/>
      </c>
      <c r="I258" s="881" t="str">
        <f t="shared" si="81"/>
        <v/>
      </c>
      <c r="K258" s="881" t="str">
        <f t="shared" si="82"/>
        <v/>
      </c>
      <c r="M258" s="881" t="str">
        <f t="shared" si="83"/>
        <v/>
      </c>
      <c r="O258" s="881" t="str">
        <f t="shared" si="84"/>
        <v/>
      </c>
      <c r="Q258" s="881" t="str">
        <f t="shared" si="85"/>
        <v/>
      </c>
      <c r="S258" s="881" t="str">
        <f t="shared" si="86"/>
        <v/>
      </c>
      <c r="U258" s="881" t="str">
        <f t="shared" si="87"/>
        <v/>
      </c>
      <c r="W258" s="881" t="str">
        <f t="shared" si="88"/>
        <v/>
      </c>
      <c r="Y258" s="881" t="str">
        <f t="shared" si="89"/>
        <v/>
      </c>
      <c r="AA258" s="881" t="str">
        <f t="shared" si="90"/>
        <v/>
      </c>
      <c r="AC258" s="881" t="str">
        <f t="shared" si="91"/>
        <v/>
      </c>
      <c r="AE258" s="881" t="str">
        <f t="shared" si="92"/>
        <v/>
      </c>
      <c r="AG258" s="881" t="str">
        <f t="shared" si="93"/>
        <v/>
      </c>
      <c r="AI258" s="881" t="str">
        <f t="shared" si="94"/>
        <v/>
      </c>
      <c r="AK258" s="881" t="str">
        <f t="shared" si="95"/>
        <v/>
      </c>
      <c r="AM258" s="881" t="str">
        <f t="shared" si="96"/>
        <v/>
      </c>
      <c r="AO258" s="881" t="str">
        <f t="shared" si="97"/>
        <v/>
      </c>
      <c r="AQ258" s="881" t="str">
        <f t="shared" si="98"/>
        <v/>
      </c>
    </row>
    <row r="259" spans="5:43" x14ac:dyDescent="0.2">
      <c r="E259" s="881" t="str">
        <f t="shared" si="79"/>
        <v/>
      </c>
      <c r="G259" s="881" t="str">
        <f t="shared" si="80"/>
        <v/>
      </c>
      <c r="I259" s="881" t="str">
        <f t="shared" si="81"/>
        <v/>
      </c>
      <c r="K259" s="881" t="str">
        <f t="shared" si="82"/>
        <v/>
      </c>
      <c r="M259" s="881" t="str">
        <f t="shared" si="83"/>
        <v/>
      </c>
      <c r="O259" s="881" t="str">
        <f t="shared" si="84"/>
        <v/>
      </c>
      <c r="Q259" s="881" t="str">
        <f t="shared" si="85"/>
        <v/>
      </c>
      <c r="S259" s="881" t="str">
        <f t="shared" si="86"/>
        <v/>
      </c>
      <c r="U259" s="881" t="str">
        <f t="shared" si="87"/>
        <v/>
      </c>
      <c r="W259" s="881" t="str">
        <f t="shared" si="88"/>
        <v/>
      </c>
      <c r="Y259" s="881" t="str">
        <f t="shared" si="89"/>
        <v/>
      </c>
      <c r="AA259" s="881" t="str">
        <f t="shared" si="90"/>
        <v/>
      </c>
      <c r="AC259" s="881" t="str">
        <f t="shared" si="91"/>
        <v/>
      </c>
      <c r="AE259" s="881" t="str">
        <f t="shared" si="92"/>
        <v/>
      </c>
      <c r="AG259" s="881" t="str">
        <f t="shared" si="93"/>
        <v/>
      </c>
      <c r="AI259" s="881" t="str">
        <f t="shared" si="94"/>
        <v/>
      </c>
      <c r="AK259" s="881" t="str">
        <f t="shared" si="95"/>
        <v/>
      </c>
      <c r="AM259" s="881" t="str">
        <f t="shared" si="96"/>
        <v/>
      </c>
      <c r="AO259" s="881" t="str">
        <f t="shared" si="97"/>
        <v/>
      </c>
      <c r="AQ259" s="881" t="str">
        <f t="shared" si="98"/>
        <v/>
      </c>
    </row>
    <row r="260" spans="5:43" x14ac:dyDescent="0.2">
      <c r="E260" s="881" t="str">
        <f t="shared" si="79"/>
        <v/>
      </c>
      <c r="G260" s="881" t="str">
        <f t="shared" si="80"/>
        <v/>
      </c>
      <c r="I260" s="881" t="str">
        <f t="shared" si="81"/>
        <v/>
      </c>
      <c r="K260" s="881" t="str">
        <f t="shared" si="82"/>
        <v/>
      </c>
      <c r="M260" s="881" t="str">
        <f t="shared" si="83"/>
        <v/>
      </c>
      <c r="O260" s="881" t="str">
        <f t="shared" si="84"/>
        <v/>
      </c>
      <c r="Q260" s="881" t="str">
        <f t="shared" si="85"/>
        <v/>
      </c>
      <c r="S260" s="881" t="str">
        <f t="shared" si="86"/>
        <v/>
      </c>
      <c r="U260" s="881" t="str">
        <f t="shared" si="87"/>
        <v/>
      </c>
      <c r="W260" s="881" t="str">
        <f t="shared" si="88"/>
        <v/>
      </c>
      <c r="Y260" s="881" t="str">
        <f t="shared" si="89"/>
        <v/>
      </c>
      <c r="AA260" s="881" t="str">
        <f t="shared" si="90"/>
        <v/>
      </c>
      <c r="AC260" s="881" t="str">
        <f t="shared" si="91"/>
        <v/>
      </c>
      <c r="AE260" s="881" t="str">
        <f t="shared" si="92"/>
        <v/>
      </c>
      <c r="AG260" s="881" t="str">
        <f t="shared" si="93"/>
        <v/>
      </c>
      <c r="AI260" s="881" t="str">
        <f t="shared" si="94"/>
        <v/>
      </c>
      <c r="AK260" s="881" t="str">
        <f t="shared" si="95"/>
        <v/>
      </c>
      <c r="AM260" s="881" t="str">
        <f t="shared" si="96"/>
        <v/>
      </c>
      <c r="AO260" s="881" t="str">
        <f t="shared" si="97"/>
        <v/>
      </c>
      <c r="AQ260" s="881" t="str">
        <f t="shared" si="98"/>
        <v/>
      </c>
    </row>
    <row r="261" spans="5:43" x14ac:dyDescent="0.2">
      <c r="E261" s="881" t="str">
        <f t="shared" si="79"/>
        <v/>
      </c>
      <c r="G261" s="881" t="str">
        <f t="shared" si="80"/>
        <v/>
      </c>
      <c r="I261" s="881" t="str">
        <f t="shared" si="81"/>
        <v/>
      </c>
      <c r="K261" s="881" t="str">
        <f t="shared" si="82"/>
        <v/>
      </c>
      <c r="M261" s="881" t="str">
        <f t="shared" si="83"/>
        <v/>
      </c>
      <c r="O261" s="881" t="str">
        <f t="shared" si="84"/>
        <v/>
      </c>
      <c r="Q261" s="881" t="str">
        <f t="shared" si="85"/>
        <v/>
      </c>
      <c r="S261" s="881" t="str">
        <f t="shared" si="86"/>
        <v/>
      </c>
      <c r="U261" s="881" t="str">
        <f t="shared" si="87"/>
        <v/>
      </c>
      <c r="W261" s="881" t="str">
        <f t="shared" si="88"/>
        <v/>
      </c>
      <c r="Y261" s="881" t="str">
        <f t="shared" si="89"/>
        <v/>
      </c>
      <c r="AA261" s="881" t="str">
        <f t="shared" si="90"/>
        <v/>
      </c>
      <c r="AC261" s="881" t="str">
        <f t="shared" si="91"/>
        <v/>
      </c>
      <c r="AE261" s="881" t="str">
        <f t="shared" si="92"/>
        <v/>
      </c>
      <c r="AG261" s="881" t="str">
        <f t="shared" si="93"/>
        <v/>
      </c>
      <c r="AI261" s="881" t="str">
        <f t="shared" si="94"/>
        <v/>
      </c>
      <c r="AK261" s="881" t="str">
        <f t="shared" si="95"/>
        <v/>
      </c>
      <c r="AM261" s="881" t="str">
        <f t="shared" si="96"/>
        <v/>
      </c>
      <c r="AO261" s="881" t="str">
        <f t="shared" si="97"/>
        <v/>
      </c>
      <c r="AQ261" s="881" t="str">
        <f t="shared" si="98"/>
        <v/>
      </c>
    </row>
    <row r="262" spans="5:43" x14ac:dyDescent="0.2">
      <c r="E262" s="881" t="str">
        <f t="shared" si="79"/>
        <v/>
      </c>
      <c r="G262" s="881" t="str">
        <f t="shared" si="80"/>
        <v/>
      </c>
      <c r="I262" s="881" t="str">
        <f t="shared" si="81"/>
        <v/>
      </c>
      <c r="K262" s="881" t="str">
        <f t="shared" si="82"/>
        <v/>
      </c>
      <c r="M262" s="881" t="str">
        <f t="shared" si="83"/>
        <v/>
      </c>
      <c r="O262" s="881" t="str">
        <f t="shared" si="84"/>
        <v/>
      </c>
      <c r="Q262" s="881" t="str">
        <f t="shared" si="85"/>
        <v/>
      </c>
      <c r="S262" s="881" t="str">
        <f t="shared" si="86"/>
        <v/>
      </c>
      <c r="U262" s="881" t="str">
        <f t="shared" si="87"/>
        <v/>
      </c>
      <c r="W262" s="881" t="str">
        <f t="shared" si="88"/>
        <v/>
      </c>
      <c r="Y262" s="881" t="str">
        <f t="shared" si="89"/>
        <v/>
      </c>
      <c r="AA262" s="881" t="str">
        <f t="shared" si="90"/>
        <v/>
      </c>
      <c r="AC262" s="881" t="str">
        <f t="shared" si="91"/>
        <v/>
      </c>
      <c r="AE262" s="881" t="str">
        <f t="shared" si="92"/>
        <v/>
      </c>
      <c r="AG262" s="881" t="str">
        <f t="shared" si="93"/>
        <v/>
      </c>
      <c r="AI262" s="881" t="str">
        <f t="shared" si="94"/>
        <v/>
      </c>
      <c r="AK262" s="881" t="str">
        <f t="shared" si="95"/>
        <v/>
      </c>
      <c r="AM262" s="881" t="str">
        <f t="shared" si="96"/>
        <v/>
      </c>
      <c r="AO262" s="881" t="str">
        <f t="shared" si="97"/>
        <v/>
      </c>
      <c r="AQ262" s="881" t="str">
        <f t="shared" si="98"/>
        <v/>
      </c>
    </row>
    <row r="263" spans="5:43" x14ac:dyDescent="0.2">
      <c r="E263" s="881" t="str">
        <f t="shared" si="79"/>
        <v/>
      </c>
      <c r="G263" s="881" t="str">
        <f t="shared" si="80"/>
        <v/>
      </c>
      <c r="I263" s="881" t="str">
        <f t="shared" si="81"/>
        <v/>
      </c>
      <c r="K263" s="881" t="str">
        <f t="shared" si="82"/>
        <v/>
      </c>
      <c r="M263" s="881" t="str">
        <f t="shared" si="83"/>
        <v/>
      </c>
      <c r="O263" s="881" t="str">
        <f t="shared" si="84"/>
        <v/>
      </c>
      <c r="Q263" s="881" t="str">
        <f t="shared" si="85"/>
        <v/>
      </c>
      <c r="S263" s="881" t="str">
        <f t="shared" si="86"/>
        <v/>
      </c>
      <c r="U263" s="881" t="str">
        <f t="shared" si="87"/>
        <v/>
      </c>
      <c r="W263" s="881" t="str">
        <f t="shared" si="88"/>
        <v/>
      </c>
      <c r="Y263" s="881" t="str">
        <f t="shared" si="89"/>
        <v/>
      </c>
      <c r="AA263" s="881" t="str">
        <f t="shared" si="90"/>
        <v/>
      </c>
      <c r="AC263" s="881" t="str">
        <f t="shared" si="91"/>
        <v/>
      </c>
      <c r="AE263" s="881" t="str">
        <f t="shared" si="92"/>
        <v/>
      </c>
      <c r="AG263" s="881" t="str">
        <f t="shared" si="93"/>
        <v/>
      </c>
      <c r="AI263" s="881" t="str">
        <f t="shared" si="94"/>
        <v/>
      </c>
      <c r="AK263" s="881" t="str">
        <f t="shared" si="95"/>
        <v/>
      </c>
      <c r="AM263" s="881" t="str">
        <f t="shared" si="96"/>
        <v/>
      </c>
      <c r="AO263" s="881" t="str">
        <f t="shared" si="97"/>
        <v/>
      </c>
      <c r="AQ263" s="881" t="str">
        <f t="shared" si="98"/>
        <v/>
      </c>
    </row>
    <row r="264" spans="5:43" x14ac:dyDescent="0.2">
      <c r="E264" s="881" t="str">
        <f t="shared" si="79"/>
        <v/>
      </c>
      <c r="G264" s="881" t="str">
        <f t="shared" si="80"/>
        <v/>
      </c>
      <c r="I264" s="881" t="str">
        <f t="shared" si="81"/>
        <v/>
      </c>
      <c r="K264" s="881" t="str">
        <f t="shared" si="82"/>
        <v/>
      </c>
      <c r="M264" s="881" t="str">
        <f t="shared" si="83"/>
        <v/>
      </c>
      <c r="O264" s="881" t="str">
        <f t="shared" si="84"/>
        <v/>
      </c>
      <c r="Q264" s="881" t="str">
        <f t="shared" si="85"/>
        <v/>
      </c>
      <c r="S264" s="881" t="str">
        <f t="shared" si="86"/>
        <v/>
      </c>
      <c r="U264" s="881" t="str">
        <f t="shared" si="87"/>
        <v/>
      </c>
      <c r="W264" s="881" t="str">
        <f t="shared" si="88"/>
        <v/>
      </c>
      <c r="Y264" s="881" t="str">
        <f t="shared" si="89"/>
        <v/>
      </c>
      <c r="AA264" s="881" t="str">
        <f t="shared" si="90"/>
        <v/>
      </c>
      <c r="AC264" s="881" t="str">
        <f t="shared" si="91"/>
        <v/>
      </c>
      <c r="AE264" s="881" t="str">
        <f t="shared" si="92"/>
        <v/>
      </c>
      <c r="AG264" s="881" t="str">
        <f t="shared" si="93"/>
        <v/>
      </c>
      <c r="AI264" s="881" t="str">
        <f t="shared" si="94"/>
        <v/>
      </c>
      <c r="AK264" s="881" t="str">
        <f t="shared" si="95"/>
        <v/>
      </c>
      <c r="AM264" s="881" t="str">
        <f t="shared" si="96"/>
        <v/>
      </c>
      <c r="AO264" s="881" t="str">
        <f t="shared" si="97"/>
        <v/>
      </c>
      <c r="AQ264" s="881" t="str">
        <f t="shared" si="98"/>
        <v/>
      </c>
    </row>
    <row r="265" spans="5:43" x14ac:dyDescent="0.2">
      <c r="E265" s="881" t="str">
        <f t="shared" si="79"/>
        <v/>
      </c>
      <c r="G265" s="881" t="str">
        <f t="shared" si="80"/>
        <v/>
      </c>
      <c r="I265" s="881" t="str">
        <f t="shared" si="81"/>
        <v/>
      </c>
      <c r="K265" s="881" t="str">
        <f t="shared" si="82"/>
        <v/>
      </c>
      <c r="M265" s="881" t="str">
        <f t="shared" si="83"/>
        <v/>
      </c>
      <c r="O265" s="881" t="str">
        <f t="shared" si="84"/>
        <v/>
      </c>
      <c r="Q265" s="881" t="str">
        <f t="shared" si="85"/>
        <v/>
      </c>
      <c r="S265" s="881" t="str">
        <f t="shared" si="86"/>
        <v/>
      </c>
      <c r="U265" s="881" t="str">
        <f t="shared" si="87"/>
        <v/>
      </c>
      <c r="W265" s="881" t="str">
        <f t="shared" si="88"/>
        <v/>
      </c>
      <c r="Y265" s="881" t="str">
        <f t="shared" si="89"/>
        <v/>
      </c>
      <c r="AA265" s="881" t="str">
        <f t="shared" si="90"/>
        <v/>
      </c>
      <c r="AC265" s="881" t="str">
        <f t="shared" si="91"/>
        <v/>
      </c>
      <c r="AE265" s="881" t="str">
        <f t="shared" si="92"/>
        <v/>
      </c>
      <c r="AG265" s="881" t="str">
        <f t="shared" si="93"/>
        <v/>
      </c>
      <c r="AI265" s="881" t="str">
        <f t="shared" si="94"/>
        <v/>
      </c>
      <c r="AK265" s="881" t="str">
        <f t="shared" si="95"/>
        <v/>
      </c>
      <c r="AM265" s="881" t="str">
        <f t="shared" si="96"/>
        <v/>
      </c>
      <c r="AO265" s="881" t="str">
        <f t="shared" si="97"/>
        <v/>
      </c>
      <c r="AQ265" s="881" t="str">
        <f t="shared" si="98"/>
        <v/>
      </c>
    </row>
    <row r="266" spans="5:43" x14ac:dyDescent="0.2">
      <c r="E266" s="881" t="str">
        <f t="shared" si="79"/>
        <v/>
      </c>
      <c r="G266" s="881" t="str">
        <f t="shared" si="80"/>
        <v/>
      </c>
      <c r="I266" s="881" t="str">
        <f t="shared" si="81"/>
        <v/>
      </c>
      <c r="K266" s="881" t="str">
        <f t="shared" si="82"/>
        <v/>
      </c>
      <c r="M266" s="881" t="str">
        <f t="shared" si="83"/>
        <v/>
      </c>
      <c r="O266" s="881" t="str">
        <f t="shared" si="84"/>
        <v/>
      </c>
      <c r="Q266" s="881" t="str">
        <f t="shared" si="85"/>
        <v/>
      </c>
      <c r="S266" s="881" t="str">
        <f t="shared" si="86"/>
        <v/>
      </c>
      <c r="U266" s="881" t="str">
        <f t="shared" si="87"/>
        <v/>
      </c>
      <c r="W266" s="881" t="str">
        <f t="shared" si="88"/>
        <v/>
      </c>
      <c r="Y266" s="881" t="str">
        <f t="shared" si="89"/>
        <v/>
      </c>
      <c r="AA266" s="881" t="str">
        <f t="shared" si="90"/>
        <v/>
      </c>
      <c r="AC266" s="881" t="str">
        <f t="shared" si="91"/>
        <v/>
      </c>
      <c r="AE266" s="881" t="str">
        <f t="shared" si="92"/>
        <v/>
      </c>
      <c r="AG266" s="881" t="str">
        <f t="shared" si="93"/>
        <v/>
      </c>
      <c r="AI266" s="881" t="str">
        <f t="shared" si="94"/>
        <v/>
      </c>
      <c r="AK266" s="881" t="str">
        <f t="shared" si="95"/>
        <v/>
      </c>
      <c r="AM266" s="881" t="str">
        <f t="shared" si="96"/>
        <v/>
      </c>
      <c r="AO266" s="881" t="str">
        <f t="shared" si="97"/>
        <v/>
      </c>
      <c r="AQ266" s="881" t="str">
        <f t="shared" si="98"/>
        <v/>
      </c>
    </row>
    <row r="267" spans="5:43" x14ac:dyDescent="0.2">
      <c r="E267" s="881" t="str">
        <f t="shared" si="79"/>
        <v/>
      </c>
      <c r="G267" s="881" t="str">
        <f t="shared" si="80"/>
        <v/>
      </c>
      <c r="I267" s="881" t="str">
        <f t="shared" si="81"/>
        <v/>
      </c>
      <c r="K267" s="881" t="str">
        <f t="shared" si="82"/>
        <v/>
      </c>
      <c r="M267" s="881" t="str">
        <f t="shared" si="83"/>
        <v/>
      </c>
      <c r="O267" s="881" t="str">
        <f t="shared" si="84"/>
        <v/>
      </c>
      <c r="Q267" s="881" t="str">
        <f t="shared" si="85"/>
        <v/>
      </c>
      <c r="S267" s="881" t="str">
        <f t="shared" si="86"/>
        <v/>
      </c>
      <c r="U267" s="881" t="str">
        <f t="shared" si="87"/>
        <v/>
      </c>
      <c r="W267" s="881" t="str">
        <f t="shared" si="88"/>
        <v/>
      </c>
      <c r="Y267" s="881" t="str">
        <f t="shared" si="89"/>
        <v/>
      </c>
      <c r="AA267" s="881" t="str">
        <f t="shared" si="90"/>
        <v/>
      </c>
      <c r="AC267" s="881" t="str">
        <f t="shared" si="91"/>
        <v/>
      </c>
      <c r="AE267" s="881" t="str">
        <f t="shared" si="92"/>
        <v/>
      </c>
      <c r="AG267" s="881" t="str">
        <f t="shared" si="93"/>
        <v/>
      </c>
      <c r="AI267" s="881" t="str">
        <f t="shared" si="94"/>
        <v/>
      </c>
      <c r="AK267" s="881" t="str">
        <f t="shared" si="95"/>
        <v/>
      </c>
      <c r="AM267" s="881" t="str">
        <f t="shared" si="96"/>
        <v/>
      </c>
      <c r="AO267" s="881" t="str">
        <f t="shared" si="97"/>
        <v/>
      </c>
      <c r="AQ267" s="881" t="str">
        <f t="shared" si="98"/>
        <v/>
      </c>
    </row>
    <row r="268" spans="5:43" x14ac:dyDescent="0.2">
      <c r="E268" s="881" t="str">
        <f t="shared" si="79"/>
        <v/>
      </c>
      <c r="G268" s="881" t="str">
        <f t="shared" si="80"/>
        <v/>
      </c>
      <c r="I268" s="881" t="str">
        <f t="shared" si="81"/>
        <v/>
      </c>
      <c r="K268" s="881" t="str">
        <f t="shared" si="82"/>
        <v/>
      </c>
      <c r="M268" s="881" t="str">
        <f t="shared" si="83"/>
        <v/>
      </c>
      <c r="O268" s="881" t="str">
        <f t="shared" si="84"/>
        <v/>
      </c>
      <c r="Q268" s="881" t="str">
        <f t="shared" si="85"/>
        <v/>
      </c>
      <c r="S268" s="881" t="str">
        <f t="shared" si="86"/>
        <v/>
      </c>
      <c r="U268" s="881" t="str">
        <f t="shared" si="87"/>
        <v/>
      </c>
      <c r="W268" s="881" t="str">
        <f t="shared" si="88"/>
        <v/>
      </c>
      <c r="Y268" s="881" t="str">
        <f t="shared" si="89"/>
        <v/>
      </c>
      <c r="AA268" s="881" t="str">
        <f t="shared" si="90"/>
        <v/>
      </c>
      <c r="AC268" s="881" t="str">
        <f t="shared" si="91"/>
        <v/>
      </c>
      <c r="AE268" s="881" t="str">
        <f t="shared" si="92"/>
        <v/>
      </c>
      <c r="AG268" s="881" t="str">
        <f t="shared" si="93"/>
        <v/>
      </c>
      <c r="AI268" s="881" t="str">
        <f t="shared" si="94"/>
        <v/>
      </c>
      <c r="AK268" s="881" t="str">
        <f t="shared" si="95"/>
        <v/>
      </c>
      <c r="AM268" s="881" t="str">
        <f t="shared" si="96"/>
        <v/>
      </c>
      <c r="AO268" s="881" t="str">
        <f t="shared" si="97"/>
        <v/>
      </c>
      <c r="AQ268" s="881" t="str">
        <f t="shared" si="98"/>
        <v/>
      </c>
    </row>
    <row r="269" spans="5:43" x14ac:dyDescent="0.2">
      <c r="E269" s="881" t="str">
        <f t="shared" si="79"/>
        <v/>
      </c>
      <c r="G269" s="881" t="str">
        <f t="shared" si="80"/>
        <v/>
      </c>
      <c r="I269" s="881" t="str">
        <f t="shared" si="81"/>
        <v/>
      </c>
      <c r="K269" s="881" t="str">
        <f t="shared" si="82"/>
        <v/>
      </c>
      <c r="M269" s="881" t="str">
        <f t="shared" si="83"/>
        <v/>
      </c>
      <c r="O269" s="881" t="str">
        <f t="shared" si="84"/>
        <v/>
      </c>
      <c r="Q269" s="881" t="str">
        <f t="shared" si="85"/>
        <v/>
      </c>
      <c r="S269" s="881" t="str">
        <f t="shared" si="86"/>
        <v/>
      </c>
      <c r="U269" s="881" t="str">
        <f t="shared" si="87"/>
        <v/>
      </c>
      <c r="W269" s="881" t="str">
        <f t="shared" si="88"/>
        <v/>
      </c>
      <c r="Y269" s="881" t="str">
        <f t="shared" si="89"/>
        <v/>
      </c>
      <c r="AA269" s="881" t="str">
        <f t="shared" si="90"/>
        <v/>
      </c>
      <c r="AC269" s="881" t="str">
        <f t="shared" si="91"/>
        <v/>
      </c>
      <c r="AE269" s="881" t="str">
        <f t="shared" si="92"/>
        <v/>
      </c>
      <c r="AG269" s="881" t="str">
        <f t="shared" si="93"/>
        <v/>
      </c>
      <c r="AI269" s="881" t="str">
        <f t="shared" si="94"/>
        <v/>
      </c>
      <c r="AK269" s="881" t="str">
        <f t="shared" si="95"/>
        <v/>
      </c>
      <c r="AM269" s="881" t="str">
        <f t="shared" si="96"/>
        <v/>
      </c>
      <c r="AO269" s="881" t="str">
        <f t="shared" si="97"/>
        <v/>
      </c>
      <c r="AQ269" s="881" t="str">
        <f t="shared" si="98"/>
        <v/>
      </c>
    </row>
    <row r="270" spans="5:43" x14ac:dyDescent="0.2">
      <c r="E270" s="881" t="str">
        <f t="shared" si="79"/>
        <v/>
      </c>
      <c r="G270" s="881" t="str">
        <f t="shared" si="80"/>
        <v/>
      </c>
      <c r="I270" s="881" t="str">
        <f t="shared" si="81"/>
        <v/>
      </c>
      <c r="K270" s="881" t="str">
        <f t="shared" si="82"/>
        <v/>
      </c>
      <c r="M270" s="881" t="str">
        <f t="shared" si="83"/>
        <v/>
      </c>
      <c r="O270" s="881" t="str">
        <f t="shared" si="84"/>
        <v/>
      </c>
      <c r="Q270" s="881" t="str">
        <f t="shared" si="85"/>
        <v/>
      </c>
      <c r="S270" s="881" t="str">
        <f t="shared" si="86"/>
        <v/>
      </c>
      <c r="U270" s="881" t="str">
        <f t="shared" si="87"/>
        <v/>
      </c>
      <c r="W270" s="881" t="str">
        <f t="shared" si="88"/>
        <v/>
      </c>
      <c r="Y270" s="881" t="str">
        <f t="shared" si="89"/>
        <v/>
      </c>
      <c r="AA270" s="881" t="str">
        <f t="shared" si="90"/>
        <v/>
      </c>
      <c r="AC270" s="881" t="str">
        <f t="shared" si="91"/>
        <v/>
      </c>
      <c r="AE270" s="881" t="str">
        <f t="shared" si="92"/>
        <v/>
      </c>
      <c r="AG270" s="881" t="str">
        <f t="shared" si="93"/>
        <v/>
      </c>
      <c r="AI270" s="881" t="str">
        <f t="shared" si="94"/>
        <v/>
      </c>
      <c r="AK270" s="881" t="str">
        <f t="shared" si="95"/>
        <v/>
      </c>
      <c r="AM270" s="881" t="str">
        <f t="shared" si="96"/>
        <v/>
      </c>
      <c r="AO270" s="881" t="str">
        <f t="shared" si="97"/>
        <v/>
      </c>
      <c r="AQ270" s="881" t="str">
        <f t="shared" si="98"/>
        <v/>
      </c>
    </row>
    <row r="271" spans="5:43" x14ac:dyDescent="0.2">
      <c r="E271" s="881" t="str">
        <f t="shared" si="79"/>
        <v/>
      </c>
      <c r="G271" s="881" t="str">
        <f t="shared" si="80"/>
        <v/>
      </c>
      <c r="I271" s="881" t="str">
        <f t="shared" si="81"/>
        <v/>
      </c>
      <c r="K271" s="881" t="str">
        <f t="shared" si="82"/>
        <v/>
      </c>
      <c r="M271" s="881" t="str">
        <f t="shared" si="83"/>
        <v/>
      </c>
      <c r="O271" s="881" t="str">
        <f t="shared" si="84"/>
        <v/>
      </c>
      <c r="Q271" s="881" t="str">
        <f t="shared" si="85"/>
        <v/>
      </c>
      <c r="S271" s="881" t="str">
        <f t="shared" si="86"/>
        <v/>
      </c>
      <c r="U271" s="881" t="str">
        <f t="shared" si="87"/>
        <v/>
      </c>
      <c r="W271" s="881" t="str">
        <f t="shared" si="88"/>
        <v/>
      </c>
      <c r="Y271" s="881" t="str">
        <f t="shared" si="89"/>
        <v/>
      </c>
      <c r="AA271" s="881" t="str">
        <f t="shared" si="90"/>
        <v/>
      </c>
      <c r="AC271" s="881" t="str">
        <f t="shared" si="91"/>
        <v/>
      </c>
      <c r="AE271" s="881" t="str">
        <f t="shared" si="92"/>
        <v/>
      </c>
      <c r="AG271" s="881" t="str">
        <f t="shared" si="93"/>
        <v/>
      </c>
      <c r="AI271" s="881" t="str">
        <f t="shared" si="94"/>
        <v/>
      </c>
      <c r="AK271" s="881" t="str">
        <f t="shared" si="95"/>
        <v/>
      </c>
      <c r="AM271" s="881" t="str">
        <f t="shared" si="96"/>
        <v/>
      </c>
      <c r="AO271" s="881" t="str">
        <f t="shared" si="97"/>
        <v/>
      </c>
      <c r="AQ271" s="881" t="str">
        <f t="shared" si="98"/>
        <v/>
      </c>
    </row>
    <row r="272" spans="5:43" x14ac:dyDescent="0.2">
      <c r="E272" s="881" t="str">
        <f t="shared" si="79"/>
        <v/>
      </c>
      <c r="G272" s="881" t="str">
        <f t="shared" si="80"/>
        <v/>
      </c>
      <c r="I272" s="881" t="str">
        <f t="shared" si="81"/>
        <v/>
      </c>
      <c r="K272" s="881" t="str">
        <f t="shared" si="82"/>
        <v/>
      </c>
      <c r="M272" s="881" t="str">
        <f t="shared" si="83"/>
        <v/>
      </c>
      <c r="O272" s="881" t="str">
        <f t="shared" si="84"/>
        <v/>
      </c>
      <c r="Q272" s="881" t="str">
        <f t="shared" si="85"/>
        <v/>
      </c>
      <c r="S272" s="881" t="str">
        <f t="shared" si="86"/>
        <v/>
      </c>
      <c r="U272" s="881" t="str">
        <f t="shared" si="87"/>
        <v/>
      </c>
      <c r="W272" s="881" t="str">
        <f t="shared" si="88"/>
        <v/>
      </c>
      <c r="Y272" s="881" t="str">
        <f t="shared" si="89"/>
        <v/>
      </c>
      <c r="AA272" s="881" t="str">
        <f t="shared" si="90"/>
        <v/>
      </c>
      <c r="AC272" s="881" t="str">
        <f t="shared" si="91"/>
        <v/>
      </c>
      <c r="AE272" s="881" t="str">
        <f t="shared" si="92"/>
        <v/>
      </c>
      <c r="AG272" s="881" t="str">
        <f t="shared" si="93"/>
        <v/>
      </c>
      <c r="AI272" s="881" t="str">
        <f t="shared" si="94"/>
        <v/>
      </c>
      <c r="AK272" s="881" t="str">
        <f t="shared" si="95"/>
        <v/>
      </c>
      <c r="AM272" s="881" t="str">
        <f t="shared" si="96"/>
        <v/>
      </c>
      <c r="AO272" s="881" t="str">
        <f t="shared" si="97"/>
        <v/>
      </c>
      <c r="AQ272" s="881" t="str">
        <f t="shared" si="98"/>
        <v/>
      </c>
    </row>
    <row r="273" spans="5:43" x14ac:dyDescent="0.2">
      <c r="E273" s="881" t="str">
        <f t="shared" si="79"/>
        <v/>
      </c>
      <c r="G273" s="881" t="str">
        <f t="shared" si="80"/>
        <v/>
      </c>
      <c r="I273" s="881" t="str">
        <f t="shared" si="81"/>
        <v/>
      </c>
      <c r="K273" s="881" t="str">
        <f t="shared" si="82"/>
        <v/>
      </c>
      <c r="M273" s="881" t="str">
        <f t="shared" si="83"/>
        <v/>
      </c>
      <c r="O273" s="881" t="str">
        <f t="shared" si="84"/>
        <v/>
      </c>
      <c r="Q273" s="881" t="str">
        <f t="shared" si="85"/>
        <v/>
      </c>
      <c r="S273" s="881" t="str">
        <f t="shared" si="86"/>
        <v/>
      </c>
      <c r="U273" s="881" t="str">
        <f t="shared" si="87"/>
        <v/>
      </c>
      <c r="W273" s="881" t="str">
        <f t="shared" si="88"/>
        <v/>
      </c>
      <c r="Y273" s="881" t="str">
        <f t="shared" si="89"/>
        <v/>
      </c>
      <c r="AA273" s="881" t="str">
        <f t="shared" si="90"/>
        <v/>
      </c>
      <c r="AC273" s="881" t="str">
        <f t="shared" si="91"/>
        <v/>
      </c>
      <c r="AE273" s="881" t="str">
        <f t="shared" si="92"/>
        <v/>
      </c>
      <c r="AG273" s="881" t="str">
        <f t="shared" si="93"/>
        <v/>
      </c>
      <c r="AI273" s="881" t="str">
        <f t="shared" si="94"/>
        <v/>
      </c>
      <c r="AK273" s="881" t="str">
        <f t="shared" si="95"/>
        <v/>
      </c>
      <c r="AM273" s="881" t="str">
        <f t="shared" si="96"/>
        <v/>
      </c>
      <c r="AO273" s="881" t="str">
        <f t="shared" si="97"/>
        <v/>
      </c>
      <c r="AQ273" s="881" t="str">
        <f t="shared" si="98"/>
        <v/>
      </c>
    </row>
    <row r="274" spans="5:43" x14ac:dyDescent="0.2">
      <c r="E274" s="881" t="str">
        <f t="shared" si="79"/>
        <v/>
      </c>
      <c r="G274" s="881" t="str">
        <f t="shared" si="80"/>
        <v/>
      </c>
      <c r="I274" s="881" t="str">
        <f t="shared" si="81"/>
        <v/>
      </c>
      <c r="K274" s="881" t="str">
        <f t="shared" si="82"/>
        <v/>
      </c>
      <c r="M274" s="881" t="str">
        <f t="shared" si="83"/>
        <v/>
      </c>
      <c r="O274" s="881" t="str">
        <f t="shared" si="84"/>
        <v/>
      </c>
      <c r="Q274" s="881" t="str">
        <f t="shared" si="85"/>
        <v/>
      </c>
      <c r="S274" s="881" t="str">
        <f t="shared" si="86"/>
        <v/>
      </c>
      <c r="U274" s="881" t="str">
        <f t="shared" si="87"/>
        <v/>
      </c>
      <c r="W274" s="881" t="str">
        <f t="shared" si="88"/>
        <v/>
      </c>
      <c r="Y274" s="881" t="str">
        <f t="shared" si="89"/>
        <v/>
      </c>
      <c r="AA274" s="881" t="str">
        <f t="shared" si="90"/>
        <v/>
      </c>
      <c r="AC274" s="881" t="str">
        <f t="shared" si="91"/>
        <v/>
      </c>
      <c r="AE274" s="881" t="str">
        <f t="shared" si="92"/>
        <v/>
      </c>
      <c r="AG274" s="881" t="str">
        <f t="shared" si="93"/>
        <v/>
      </c>
      <c r="AI274" s="881" t="str">
        <f t="shared" si="94"/>
        <v/>
      </c>
      <c r="AK274" s="881" t="str">
        <f t="shared" si="95"/>
        <v/>
      </c>
      <c r="AM274" s="881" t="str">
        <f t="shared" si="96"/>
        <v/>
      </c>
      <c r="AO274" s="881" t="str">
        <f t="shared" si="97"/>
        <v/>
      </c>
      <c r="AQ274" s="881" t="str">
        <f t="shared" si="98"/>
        <v/>
      </c>
    </row>
    <row r="275" spans="5:43" x14ac:dyDescent="0.2">
      <c r="E275" s="881" t="str">
        <f t="shared" si="79"/>
        <v/>
      </c>
      <c r="G275" s="881" t="str">
        <f t="shared" si="80"/>
        <v/>
      </c>
      <c r="I275" s="881" t="str">
        <f t="shared" si="81"/>
        <v/>
      </c>
      <c r="K275" s="881" t="str">
        <f t="shared" si="82"/>
        <v/>
      </c>
      <c r="M275" s="881" t="str">
        <f t="shared" si="83"/>
        <v/>
      </c>
      <c r="O275" s="881" t="str">
        <f t="shared" si="84"/>
        <v/>
      </c>
      <c r="Q275" s="881" t="str">
        <f t="shared" si="85"/>
        <v/>
      </c>
      <c r="S275" s="881" t="str">
        <f t="shared" si="86"/>
        <v/>
      </c>
      <c r="U275" s="881" t="str">
        <f t="shared" si="87"/>
        <v/>
      </c>
      <c r="W275" s="881" t="str">
        <f t="shared" si="88"/>
        <v/>
      </c>
      <c r="Y275" s="881" t="str">
        <f t="shared" si="89"/>
        <v/>
      </c>
      <c r="AA275" s="881" t="str">
        <f t="shared" si="90"/>
        <v/>
      </c>
      <c r="AC275" s="881" t="str">
        <f t="shared" si="91"/>
        <v/>
      </c>
      <c r="AE275" s="881" t="str">
        <f t="shared" si="92"/>
        <v/>
      </c>
      <c r="AG275" s="881" t="str">
        <f t="shared" si="93"/>
        <v/>
      </c>
      <c r="AI275" s="881" t="str">
        <f t="shared" si="94"/>
        <v/>
      </c>
      <c r="AK275" s="881" t="str">
        <f t="shared" si="95"/>
        <v/>
      </c>
      <c r="AM275" s="881" t="str">
        <f t="shared" si="96"/>
        <v/>
      </c>
      <c r="AO275" s="881" t="str">
        <f t="shared" si="97"/>
        <v/>
      </c>
      <c r="AQ275" s="881" t="str">
        <f t="shared" si="98"/>
        <v/>
      </c>
    </row>
    <row r="276" spans="5:43" x14ac:dyDescent="0.2">
      <c r="E276" s="881" t="str">
        <f t="shared" si="79"/>
        <v/>
      </c>
      <c r="G276" s="881" t="str">
        <f t="shared" si="80"/>
        <v/>
      </c>
      <c r="I276" s="881" t="str">
        <f t="shared" si="81"/>
        <v/>
      </c>
      <c r="K276" s="881" t="str">
        <f t="shared" si="82"/>
        <v/>
      </c>
      <c r="M276" s="881" t="str">
        <f t="shared" si="83"/>
        <v/>
      </c>
      <c r="O276" s="881" t="str">
        <f t="shared" si="84"/>
        <v/>
      </c>
      <c r="Q276" s="881" t="str">
        <f t="shared" si="85"/>
        <v/>
      </c>
      <c r="S276" s="881" t="str">
        <f t="shared" si="86"/>
        <v/>
      </c>
      <c r="U276" s="881" t="str">
        <f t="shared" si="87"/>
        <v/>
      </c>
      <c r="W276" s="881" t="str">
        <f t="shared" si="88"/>
        <v/>
      </c>
      <c r="Y276" s="881" t="str">
        <f t="shared" si="89"/>
        <v/>
      </c>
      <c r="AA276" s="881" t="str">
        <f t="shared" si="90"/>
        <v/>
      </c>
      <c r="AC276" s="881" t="str">
        <f t="shared" si="91"/>
        <v/>
      </c>
      <c r="AE276" s="881" t="str">
        <f t="shared" si="92"/>
        <v/>
      </c>
      <c r="AG276" s="881" t="str">
        <f t="shared" si="93"/>
        <v/>
      </c>
      <c r="AI276" s="881" t="str">
        <f t="shared" si="94"/>
        <v/>
      </c>
      <c r="AK276" s="881" t="str">
        <f t="shared" si="95"/>
        <v/>
      </c>
      <c r="AM276" s="881" t="str">
        <f t="shared" si="96"/>
        <v/>
      </c>
      <c r="AO276" s="881" t="str">
        <f t="shared" si="97"/>
        <v/>
      </c>
      <c r="AQ276" s="881" t="str">
        <f t="shared" si="98"/>
        <v/>
      </c>
    </row>
    <row r="277" spans="5:43" x14ac:dyDescent="0.2">
      <c r="E277" s="881" t="str">
        <f t="shared" si="79"/>
        <v/>
      </c>
      <c r="G277" s="881" t="str">
        <f t="shared" si="80"/>
        <v/>
      </c>
      <c r="I277" s="881" t="str">
        <f t="shared" si="81"/>
        <v/>
      </c>
      <c r="K277" s="881" t="str">
        <f t="shared" si="82"/>
        <v/>
      </c>
      <c r="M277" s="881" t="str">
        <f t="shared" si="83"/>
        <v/>
      </c>
      <c r="O277" s="881" t="str">
        <f t="shared" si="84"/>
        <v/>
      </c>
      <c r="Q277" s="881" t="str">
        <f t="shared" si="85"/>
        <v/>
      </c>
      <c r="S277" s="881" t="str">
        <f t="shared" si="86"/>
        <v/>
      </c>
      <c r="U277" s="881" t="str">
        <f t="shared" si="87"/>
        <v/>
      </c>
      <c r="W277" s="881" t="str">
        <f t="shared" si="88"/>
        <v/>
      </c>
      <c r="Y277" s="881" t="str">
        <f t="shared" si="89"/>
        <v/>
      </c>
      <c r="AA277" s="881" t="str">
        <f t="shared" si="90"/>
        <v/>
      </c>
      <c r="AC277" s="881" t="str">
        <f t="shared" si="91"/>
        <v/>
      </c>
      <c r="AE277" s="881" t="str">
        <f t="shared" si="92"/>
        <v/>
      </c>
      <c r="AG277" s="881" t="str">
        <f t="shared" si="93"/>
        <v/>
      </c>
      <c r="AI277" s="881" t="str">
        <f t="shared" si="94"/>
        <v/>
      </c>
      <c r="AK277" s="881" t="str">
        <f t="shared" si="95"/>
        <v/>
      </c>
      <c r="AM277" s="881" t="str">
        <f t="shared" si="96"/>
        <v/>
      </c>
      <c r="AO277" s="881" t="str">
        <f t="shared" si="97"/>
        <v/>
      </c>
      <c r="AQ277" s="881" t="str">
        <f t="shared" si="98"/>
        <v/>
      </c>
    </row>
    <row r="278" spans="5:43" x14ac:dyDescent="0.2">
      <c r="E278" s="881" t="str">
        <f t="shared" si="79"/>
        <v/>
      </c>
      <c r="G278" s="881" t="str">
        <f t="shared" si="80"/>
        <v/>
      </c>
      <c r="I278" s="881" t="str">
        <f t="shared" si="81"/>
        <v/>
      </c>
      <c r="K278" s="881" t="str">
        <f t="shared" si="82"/>
        <v/>
      </c>
      <c r="M278" s="881" t="str">
        <f t="shared" si="83"/>
        <v/>
      </c>
      <c r="O278" s="881" t="str">
        <f t="shared" si="84"/>
        <v/>
      </c>
      <c r="Q278" s="881" t="str">
        <f t="shared" si="85"/>
        <v/>
      </c>
      <c r="S278" s="881" t="str">
        <f t="shared" si="86"/>
        <v/>
      </c>
      <c r="U278" s="881" t="str">
        <f t="shared" si="87"/>
        <v/>
      </c>
      <c r="W278" s="881" t="str">
        <f t="shared" si="88"/>
        <v/>
      </c>
      <c r="Y278" s="881" t="str">
        <f t="shared" si="89"/>
        <v/>
      </c>
      <c r="AA278" s="881" t="str">
        <f t="shared" si="90"/>
        <v/>
      </c>
      <c r="AC278" s="881" t="str">
        <f t="shared" si="91"/>
        <v/>
      </c>
      <c r="AE278" s="881" t="str">
        <f t="shared" si="92"/>
        <v/>
      </c>
      <c r="AG278" s="881" t="str">
        <f t="shared" si="93"/>
        <v/>
      </c>
      <c r="AI278" s="881" t="str">
        <f t="shared" si="94"/>
        <v/>
      </c>
      <c r="AK278" s="881" t="str">
        <f t="shared" si="95"/>
        <v/>
      </c>
      <c r="AM278" s="881" t="str">
        <f t="shared" si="96"/>
        <v/>
      </c>
      <c r="AO278" s="881" t="str">
        <f t="shared" si="97"/>
        <v/>
      </c>
      <c r="AQ278" s="881" t="str">
        <f t="shared" si="98"/>
        <v/>
      </c>
    </row>
    <row r="279" spans="5:43" x14ac:dyDescent="0.2">
      <c r="E279" s="881" t="str">
        <f t="shared" si="79"/>
        <v/>
      </c>
      <c r="G279" s="881" t="str">
        <f t="shared" si="80"/>
        <v/>
      </c>
      <c r="I279" s="881" t="str">
        <f t="shared" si="81"/>
        <v/>
      </c>
      <c r="K279" s="881" t="str">
        <f t="shared" si="82"/>
        <v/>
      </c>
      <c r="M279" s="881" t="str">
        <f t="shared" si="83"/>
        <v/>
      </c>
      <c r="O279" s="881" t="str">
        <f t="shared" si="84"/>
        <v/>
      </c>
      <c r="Q279" s="881" t="str">
        <f t="shared" si="85"/>
        <v/>
      </c>
      <c r="S279" s="881" t="str">
        <f t="shared" si="86"/>
        <v/>
      </c>
      <c r="U279" s="881" t="str">
        <f t="shared" si="87"/>
        <v/>
      </c>
      <c r="W279" s="881" t="str">
        <f t="shared" si="88"/>
        <v/>
      </c>
      <c r="Y279" s="881" t="str">
        <f t="shared" si="89"/>
        <v/>
      </c>
      <c r="AA279" s="881" t="str">
        <f t="shared" si="90"/>
        <v/>
      </c>
      <c r="AC279" s="881" t="str">
        <f t="shared" si="91"/>
        <v/>
      </c>
      <c r="AE279" s="881" t="str">
        <f t="shared" si="92"/>
        <v/>
      </c>
      <c r="AG279" s="881" t="str">
        <f t="shared" si="93"/>
        <v/>
      </c>
      <c r="AI279" s="881" t="str">
        <f t="shared" si="94"/>
        <v/>
      </c>
      <c r="AK279" s="881" t="str">
        <f t="shared" si="95"/>
        <v/>
      </c>
      <c r="AM279" s="881" t="str">
        <f t="shared" si="96"/>
        <v/>
      </c>
      <c r="AO279" s="881" t="str">
        <f t="shared" si="97"/>
        <v/>
      </c>
      <c r="AQ279" s="881" t="str">
        <f t="shared" si="98"/>
        <v/>
      </c>
    </row>
    <row r="280" spans="5:43" x14ac:dyDescent="0.2">
      <c r="E280" s="881" t="str">
        <f t="shared" si="79"/>
        <v/>
      </c>
      <c r="G280" s="881" t="str">
        <f t="shared" si="80"/>
        <v/>
      </c>
      <c r="I280" s="881" t="str">
        <f t="shared" si="81"/>
        <v/>
      </c>
      <c r="K280" s="881" t="str">
        <f t="shared" si="82"/>
        <v/>
      </c>
      <c r="M280" s="881" t="str">
        <f t="shared" si="83"/>
        <v/>
      </c>
      <c r="O280" s="881" t="str">
        <f t="shared" si="84"/>
        <v/>
      </c>
      <c r="Q280" s="881" t="str">
        <f t="shared" si="85"/>
        <v/>
      </c>
      <c r="S280" s="881" t="str">
        <f t="shared" si="86"/>
        <v/>
      </c>
      <c r="U280" s="881" t="str">
        <f t="shared" si="87"/>
        <v/>
      </c>
      <c r="W280" s="881" t="str">
        <f t="shared" si="88"/>
        <v/>
      </c>
      <c r="Y280" s="881" t="str">
        <f t="shared" si="89"/>
        <v/>
      </c>
      <c r="AA280" s="881" t="str">
        <f t="shared" si="90"/>
        <v/>
      </c>
      <c r="AC280" s="881" t="str">
        <f t="shared" si="91"/>
        <v/>
      </c>
      <c r="AE280" s="881" t="str">
        <f t="shared" si="92"/>
        <v/>
      </c>
      <c r="AG280" s="881" t="str">
        <f t="shared" si="93"/>
        <v/>
      </c>
      <c r="AI280" s="881" t="str">
        <f t="shared" si="94"/>
        <v/>
      </c>
      <c r="AK280" s="881" t="str">
        <f t="shared" si="95"/>
        <v/>
      </c>
      <c r="AM280" s="881" t="str">
        <f t="shared" si="96"/>
        <v/>
      </c>
      <c r="AO280" s="881" t="str">
        <f t="shared" si="97"/>
        <v/>
      </c>
      <c r="AQ280" s="881" t="str">
        <f t="shared" si="98"/>
        <v/>
      </c>
    </row>
    <row r="281" spans="5:43" x14ac:dyDescent="0.2">
      <c r="E281" s="881" t="str">
        <f t="shared" si="79"/>
        <v/>
      </c>
      <c r="G281" s="881" t="str">
        <f t="shared" si="80"/>
        <v/>
      </c>
      <c r="I281" s="881" t="str">
        <f t="shared" si="81"/>
        <v/>
      </c>
      <c r="K281" s="881" t="str">
        <f t="shared" si="82"/>
        <v/>
      </c>
      <c r="M281" s="881" t="str">
        <f t="shared" si="83"/>
        <v/>
      </c>
      <c r="O281" s="881" t="str">
        <f t="shared" si="84"/>
        <v/>
      </c>
      <c r="Q281" s="881" t="str">
        <f t="shared" si="85"/>
        <v/>
      </c>
      <c r="S281" s="881" t="str">
        <f t="shared" si="86"/>
        <v/>
      </c>
      <c r="U281" s="881" t="str">
        <f t="shared" si="87"/>
        <v/>
      </c>
      <c r="W281" s="881" t="str">
        <f t="shared" si="88"/>
        <v/>
      </c>
      <c r="Y281" s="881" t="str">
        <f t="shared" si="89"/>
        <v/>
      </c>
      <c r="AA281" s="881" t="str">
        <f t="shared" si="90"/>
        <v/>
      </c>
      <c r="AC281" s="881" t="str">
        <f t="shared" si="91"/>
        <v/>
      </c>
      <c r="AE281" s="881" t="str">
        <f t="shared" si="92"/>
        <v/>
      </c>
      <c r="AG281" s="881" t="str">
        <f t="shared" si="93"/>
        <v/>
      </c>
      <c r="AI281" s="881" t="str">
        <f t="shared" si="94"/>
        <v/>
      </c>
      <c r="AK281" s="881" t="str">
        <f t="shared" si="95"/>
        <v/>
      </c>
      <c r="AM281" s="881" t="str">
        <f t="shared" si="96"/>
        <v/>
      </c>
      <c r="AO281" s="881" t="str">
        <f t="shared" si="97"/>
        <v/>
      </c>
      <c r="AQ281" s="881" t="str">
        <f t="shared" si="98"/>
        <v/>
      </c>
    </row>
    <row r="282" spans="5:43" x14ac:dyDescent="0.2">
      <c r="E282" s="881" t="str">
        <f t="shared" si="79"/>
        <v/>
      </c>
      <c r="G282" s="881" t="str">
        <f t="shared" si="80"/>
        <v/>
      </c>
      <c r="I282" s="881" t="str">
        <f t="shared" si="81"/>
        <v/>
      </c>
      <c r="K282" s="881" t="str">
        <f t="shared" si="82"/>
        <v/>
      </c>
      <c r="M282" s="881" t="str">
        <f t="shared" si="83"/>
        <v/>
      </c>
      <c r="O282" s="881" t="str">
        <f t="shared" si="84"/>
        <v/>
      </c>
      <c r="Q282" s="881" t="str">
        <f t="shared" si="85"/>
        <v/>
      </c>
      <c r="S282" s="881" t="str">
        <f t="shared" si="86"/>
        <v/>
      </c>
      <c r="U282" s="881" t="str">
        <f t="shared" si="87"/>
        <v/>
      </c>
      <c r="W282" s="881" t="str">
        <f t="shared" si="88"/>
        <v/>
      </c>
      <c r="Y282" s="881" t="str">
        <f t="shared" si="89"/>
        <v/>
      </c>
      <c r="AA282" s="881" t="str">
        <f t="shared" si="90"/>
        <v/>
      </c>
      <c r="AC282" s="881" t="str">
        <f t="shared" si="91"/>
        <v/>
      </c>
      <c r="AE282" s="881" t="str">
        <f t="shared" si="92"/>
        <v/>
      </c>
      <c r="AG282" s="881" t="str">
        <f t="shared" si="93"/>
        <v/>
      </c>
      <c r="AI282" s="881" t="str">
        <f t="shared" si="94"/>
        <v/>
      </c>
      <c r="AK282" s="881" t="str">
        <f t="shared" si="95"/>
        <v/>
      </c>
      <c r="AM282" s="881" t="str">
        <f t="shared" si="96"/>
        <v/>
      </c>
      <c r="AO282" s="881" t="str">
        <f t="shared" si="97"/>
        <v/>
      </c>
      <c r="AQ282" s="881" t="str">
        <f t="shared" si="98"/>
        <v/>
      </c>
    </row>
    <row r="283" spans="5:43" x14ac:dyDescent="0.2">
      <c r="E283" s="881" t="str">
        <f t="shared" si="79"/>
        <v/>
      </c>
      <c r="G283" s="881" t="str">
        <f t="shared" si="80"/>
        <v/>
      </c>
      <c r="I283" s="881" t="str">
        <f t="shared" si="81"/>
        <v/>
      </c>
      <c r="K283" s="881" t="str">
        <f t="shared" si="82"/>
        <v/>
      </c>
      <c r="M283" s="881" t="str">
        <f t="shared" si="83"/>
        <v/>
      </c>
      <c r="O283" s="881" t="str">
        <f t="shared" si="84"/>
        <v/>
      </c>
      <c r="Q283" s="881" t="str">
        <f t="shared" si="85"/>
        <v/>
      </c>
      <c r="S283" s="881" t="str">
        <f t="shared" si="86"/>
        <v/>
      </c>
      <c r="U283" s="881" t="str">
        <f t="shared" si="87"/>
        <v/>
      </c>
      <c r="W283" s="881" t="str">
        <f t="shared" si="88"/>
        <v/>
      </c>
      <c r="Y283" s="881" t="str">
        <f t="shared" si="89"/>
        <v/>
      </c>
      <c r="AA283" s="881" t="str">
        <f t="shared" si="90"/>
        <v/>
      </c>
      <c r="AC283" s="881" t="str">
        <f t="shared" si="91"/>
        <v/>
      </c>
      <c r="AE283" s="881" t="str">
        <f t="shared" si="92"/>
        <v/>
      </c>
      <c r="AG283" s="881" t="str">
        <f t="shared" si="93"/>
        <v/>
      </c>
      <c r="AI283" s="881" t="str">
        <f t="shared" si="94"/>
        <v/>
      </c>
      <c r="AK283" s="881" t="str">
        <f t="shared" si="95"/>
        <v/>
      </c>
      <c r="AM283" s="881" t="str">
        <f t="shared" si="96"/>
        <v/>
      </c>
      <c r="AO283" s="881" t="str">
        <f t="shared" si="97"/>
        <v/>
      </c>
      <c r="AQ283" s="881" t="str">
        <f t="shared" si="98"/>
        <v/>
      </c>
    </row>
    <row r="284" spans="5:43" x14ac:dyDescent="0.2">
      <c r="E284" s="881" t="str">
        <f t="shared" si="79"/>
        <v/>
      </c>
      <c r="G284" s="881" t="str">
        <f t="shared" si="80"/>
        <v/>
      </c>
      <c r="I284" s="881" t="str">
        <f t="shared" si="81"/>
        <v/>
      </c>
      <c r="K284" s="881" t="str">
        <f t="shared" si="82"/>
        <v/>
      </c>
      <c r="M284" s="881" t="str">
        <f t="shared" si="83"/>
        <v/>
      </c>
      <c r="O284" s="881" t="str">
        <f t="shared" si="84"/>
        <v/>
      </c>
      <c r="Q284" s="881" t="str">
        <f t="shared" si="85"/>
        <v/>
      </c>
      <c r="S284" s="881" t="str">
        <f t="shared" si="86"/>
        <v/>
      </c>
      <c r="U284" s="881" t="str">
        <f t="shared" si="87"/>
        <v/>
      </c>
      <c r="W284" s="881" t="str">
        <f t="shared" si="88"/>
        <v/>
      </c>
      <c r="Y284" s="881" t="str">
        <f t="shared" si="89"/>
        <v/>
      </c>
      <c r="AA284" s="881" t="str">
        <f t="shared" si="90"/>
        <v/>
      </c>
      <c r="AC284" s="881" t="str">
        <f t="shared" si="91"/>
        <v/>
      </c>
      <c r="AE284" s="881" t="str">
        <f t="shared" si="92"/>
        <v/>
      </c>
      <c r="AG284" s="881" t="str">
        <f t="shared" si="93"/>
        <v/>
      </c>
      <c r="AI284" s="881" t="str">
        <f t="shared" si="94"/>
        <v/>
      </c>
      <c r="AK284" s="881" t="str">
        <f t="shared" si="95"/>
        <v/>
      </c>
      <c r="AM284" s="881" t="str">
        <f t="shared" si="96"/>
        <v/>
      </c>
      <c r="AO284" s="881" t="str">
        <f t="shared" si="97"/>
        <v/>
      </c>
      <c r="AQ284" s="881" t="str">
        <f t="shared" si="98"/>
        <v/>
      </c>
    </row>
    <row r="285" spans="5:43" x14ac:dyDescent="0.2">
      <c r="E285" s="881" t="str">
        <f t="shared" si="79"/>
        <v/>
      </c>
      <c r="G285" s="881" t="str">
        <f t="shared" si="80"/>
        <v/>
      </c>
      <c r="I285" s="881" t="str">
        <f t="shared" si="81"/>
        <v/>
      </c>
      <c r="K285" s="881" t="str">
        <f t="shared" si="82"/>
        <v/>
      </c>
      <c r="M285" s="881" t="str">
        <f t="shared" si="83"/>
        <v/>
      </c>
      <c r="O285" s="881" t="str">
        <f t="shared" si="84"/>
        <v/>
      </c>
      <c r="Q285" s="881" t="str">
        <f t="shared" si="85"/>
        <v/>
      </c>
      <c r="S285" s="881" t="str">
        <f t="shared" si="86"/>
        <v/>
      </c>
      <c r="U285" s="881" t="str">
        <f t="shared" si="87"/>
        <v/>
      </c>
      <c r="W285" s="881" t="str">
        <f t="shared" si="88"/>
        <v/>
      </c>
      <c r="Y285" s="881" t="str">
        <f t="shared" si="89"/>
        <v/>
      </c>
      <c r="AA285" s="881" t="str">
        <f t="shared" si="90"/>
        <v/>
      </c>
      <c r="AC285" s="881" t="str">
        <f t="shared" si="91"/>
        <v/>
      </c>
      <c r="AE285" s="881" t="str">
        <f t="shared" si="92"/>
        <v/>
      </c>
      <c r="AG285" s="881" t="str">
        <f t="shared" si="93"/>
        <v/>
      </c>
      <c r="AI285" s="881" t="str">
        <f t="shared" si="94"/>
        <v/>
      </c>
      <c r="AK285" s="881" t="str">
        <f t="shared" si="95"/>
        <v/>
      </c>
      <c r="AM285" s="881" t="str">
        <f t="shared" si="96"/>
        <v/>
      </c>
      <c r="AO285" s="881" t="str">
        <f t="shared" si="97"/>
        <v/>
      </c>
      <c r="AQ285" s="881" t="str">
        <f t="shared" si="98"/>
        <v/>
      </c>
    </row>
    <row r="286" spans="5:43" x14ac:dyDescent="0.2">
      <c r="E286" s="881" t="str">
        <f t="shared" si="79"/>
        <v/>
      </c>
      <c r="G286" s="881" t="str">
        <f t="shared" si="80"/>
        <v/>
      </c>
      <c r="I286" s="881" t="str">
        <f t="shared" si="81"/>
        <v/>
      </c>
      <c r="K286" s="881" t="str">
        <f t="shared" si="82"/>
        <v/>
      </c>
      <c r="M286" s="881" t="str">
        <f t="shared" si="83"/>
        <v/>
      </c>
      <c r="O286" s="881" t="str">
        <f t="shared" si="84"/>
        <v/>
      </c>
      <c r="Q286" s="881" t="str">
        <f t="shared" si="85"/>
        <v/>
      </c>
      <c r="S286" s="881" t="str">
        <f t="shared" si="86"/>
        <v/>
      </c>
      <c r="U286" s="881" t="str">
        <f t="shared" si="87"/>
        <v/>
      </c>
      <c r="W286" s="881" t="str">
        <f t="shared" si="88"/>
        <v/>
      </c>
      <c r="Y286" s="881" t="str">
        <f t="shared" si="89"/>
        <v/>
      </c>
      <c r="AA286" s="881" t="str">
        <f t="shared" si="90"/>
        <v/>
      </c>
      <c r="AC286" s="881" t="str">
        <f t="shared" si="91"/>
        <v/>
      </c>
      <c r="AE286" s="881" t="str">
        <f t="shared" si="92"/>
        <v/>
      </c>
      <c r="AG286" s="881" t="str">
        <f t="shared" si="93"/>
        <v/>
      </c>
      <c r="AI286" s="881" t="str">
        <f t="shared" si="94"/>
        <v/>
      </c>
      <c r="AK286" s="881" t="str">
        <f t="shared" si="95"/>
        <v/>
      </c>
      <c r="AM286" s="881" t="str">
        <f t="shared" si="96"/>
        <v/>
      </c>
      <c r="AO286" s="881" t="str">
        <f t="shared" si="97"/>
        <v/>
      </c>
      <c r="AQ286" s="881" t="str">
        <f t="shared" si="98"/>
        <v/>
      </c>
    </row>
    <row r="287" spans="5:43" x14ac:dyDescent="0.2">
      <c r="E287" s="881" t="str">
        <f t="shared" si="79"/>
        <v/>
      </c>
      <c r="G287" s="881" t="str">
        <f t="shared" si="80"/>
        <v/>
      </c>
      <c r="I287" s="881" t="str">
        <f t="shared" si="81"/>
        <v/>
      </c>
      <c r="K287" s="881" t="str">
        <f t="shared" si="82"/>
        <v/>
      </c>
      <c r="M287" s="881" t="str">
        <f t="shared" si="83"/>
        <v/>
      </c>
      <c r="O287" s="881" t="str">
        <f t="shared" si="84"/>
        <v/>
      </c>
      <c r="Q287" s="881" t="str">
        <f t="shared" si="85"/>
        <v/>
      </c>
      <c r="S287" s="881" t="str">
        <f t="shared" si="86"/>
        <v/>
      </c>
      <c r="U287" s="881" t="str">
        <f t="shared" si="87"/>
        <v/>
      </c>
      <c r="W287" s="881" t="str">
        <f t="shared" si="88"/>
        <v/>
      </c>
      <c r="Y287" s="881" t="str">
        <f t="shared" si="89"/>
        <v/>
      </c>
      <c r="AA287" s="881" t="str">
        <f t="shared" si="90"/>
        <v/>
      </c>
      <c r="AC287" s="881" t="str">
        <f t="shared" si="91"/>
        <v/>
      </c>
      <c r="AE287" s="881" t="str">
        <f t="shared" si="92"/>
        <v/>
      </c>
      <c r="AG287" s="881" t="str">
        <f t="shared" si="93"/>
        <v/>
      </c>
      <c r="AI287" s="881" t="str">
        <f t="shared" si="94"/>
        <v/>
      </c>
      <c r="AK287" s="881" t="str">
        <f t="shared" si="95"/>
        <v/>
      </c>
      <c r="AM287" s="881" t="str">
        <f t="shared" si="96"/>
        <v/>
      </c>
      <c r="AO287" s="881" t="str">
        <f t="shared" si="97"/>
        <v/>
      </c>
      <c r="AQ287" s="881" t="str">
        <f t="shared" si="98"/>
        <v/>
      </c>
    </row>
    <row r="288" spans="5:43" x14ac:dyDescent="0.2">
      <c r="E288" s="881" t="str">
        <f t="shared" si="79"/>
        <v/>
      </c>
      <c r="G288" s="881" t="str">
        <f t="shared" si="80"/>
        <v/>
      </c>
      <c r="I288" s="881" t="str">
        <f t="shared" si="81"/>
        <v/>
      </c>
      <c r="K288" s="881" t="str">
        <f t="shared" si="82"/>
        <v/>
      </c>
      <c r="M288" s="881" t="str">
        <f t="shared" si="83"/>
        <v/>
      </c>
      <c r="O288" s="881" t="str">
        <f t="shared" si="84"/>
        <v/>
      </c>
      <c r="Q288" s="881" t="str">
        <f t="shared" si="85"/>
        <v/>
      </c>
      <c r="S288" s="881" t="str">
        <f t="shared" si="86"/>
        <v/>
      </c>
      <c r="U288" s="881" t="str">
        <f t="shared" si="87"/>
        <v/>
      </c>
      <c r="W288" s="881" t="str">
        <f t="shared" si="88"/>
        <v/>
      </c>
      <c r="Y288" s="881" t="str">
        <f t="shared" si="89"/>
        <v/>
      </c>
      <c r="AA288" s="881" t="str">
        <f t="shared" si="90"/>
        <v/>
      </c>
      <c r="AC288" s="881" t="str">
        <f t="shared" si="91"/>
        <v/>
      </c>
      <c r="AE288" s="881" t="str">
        <f t="shared" si="92"/>
        <v/>
      </c>
      <c r="AG288" s="881" t="str">
        <f t="shared" si="93"/>
        <v/>
      </c>
      <c r="AI288" s="881" t="str">
        <f t="shared" si="94"/>
        <v/>
      </c>
      <c r="AK288" s="881" t="str">
        <f t="shared" si="95"/>
        <v/>
      </c>
      <c r="AM288" s="881" t="str">
        <f t="shared" si="96"/>
        <v/>
      </c>
      <c r="AO288" s="881" t="str">
        <f t="shared" si="97"/>
        <v/>
      </c>
      <c r="AQ288" s="881" t="str">
        <f t="shared" si="98"/>
        <v/>
      </c>
    </row>
    <row r="289" spans="5:43" x14ac:dyDescent="0.2">
      <c r="E289" s="881" t="str">
        <f t="shared" si="79"/>
        <v/>
      </c>
      <c r="G289" s="881" t="str">
        <f t="shared" si="80"/>
        <v/>
      </c>
      <c r="I289" s="881" t="str">
        <f t="shared" si="81"/>
        <v/>
      </c>
      <c r="K289" s="881" t="str">
        <f t="shared" si="82"/>
        <v/>
      </c>
      <c r="M289" s="881" t="str">
        <f t="shared" si="83"/>
        <v/>
      </c>
      <c r="O289" s="881" t="str">
        <f t="shared" si="84"/>
        <v/>
      </c>
      <c r="Q289" s="881" t="str">
        <f t="shared" si="85"/>
        <v/>
      </c>
      <c r="S289" s="881" t="str">
        <f t="shared" si="86"/>
        <v/>
      </c>
      <c r="U289" s="881" t="str">
        <f t="shared" si="87"/>
        <v/>
      </c>
      <c r="W289" s="881" t="str">
        <f t="shared" si="88"/>
        <v/>
      </c>
      <c r="Y289" s="881" t="str">
        <f t="shared" si="89"/>
        <v/>
      </c>
      <c r="AA289" s="881" t="str">
        <f t="shared" si="90"/>
        <v/>
      </c>
      <c r="AC289" s="881" t="str">
        <f t="shared" si="91"/>
        <v/>
      </c>
      <c r="AE289" s="881" t="str">
        <f t="shared" si="92"/>
        <v/>
      </c>
      <c r="AG289" s="881" t="str">
        <f t="shared" si="93"/>
        <v/>
      </c>
      <c r="AI289" s="881" t="str">
        <f t="shared" si="94"/>
        <v/>
      </c>
      <c r="AK289" s="881" t="str">
        <f t="shared" si="95"/>
        <v/>
      </c>
      <c r="AM289" s="881" t="str">
        <f t="shared" si="96"/>
        <v/>
      </c>
      <c r="AO289" s="881" t="str">
        <f t="shared" si="97"/>
        <v/>
      </c>
      <c r="AQ289" s="881" t="str">
        <f t="shared" si="98"/>
        <v/>
      </c>
    </row>
    <row r="290" spans="5:43" x14ac:dyDescent="0.2">
      <c r="E290" s="881" t="str">
        <f t="shared" si="79"/>
        <v/>
      </c>
      <c r="G290" s="881" t="str">
        <f t="shared" si="80"/>
        <v/>
      </c>
      <c r="I290" s="881" t="str">
        <f t="shared" si="81"/>
        <v/>
      </c>
      <c r="K290" s="881" t="str">
        <f t="shared" si="82"/>
        <v/>
      </c>
      <c r="M290" s="881" t="str">
        <f t="shared" si="83"/>
        <v/>
      </c>
      <c r="O290" s="881" t="str">
        <f t="shared" si="84"/>
        <v/>
      </c>
      <c r="Q290" s="881" t="str">
        <f t="shared" si="85"/>
        <v/>
      </c>
      <c r="S290" s="881" t="str">
        <f t="shared" si="86"/>
        <v/>
      </c>
      <c r="U290" s="881" t="str">
        <f t="shared" si="87"/>
        <v/>
      </c>
      <c r="W290" s="881" t="str">
        <f t="shared" si="88"/>
        <v/>
      </c>
      <c r="Y290" s="881" t="str">
        <f t="shared" si="89"/>
        <v/>
      </c>
      <c r="AA290" s="881" t="str">
        <f t="shared" si="90"/>
        <v/>
      </c>
      <c r="AC290" s="881" t="str">
        <f t="shared" si="91"/>
        <v/>
      </c>
      <c r="AE290" s="881" t="str">
        <f t="shared" si="92"/>
        <v/>
      </c>
      <c r="AG290" s="881" t="str">
        <f t="shared" si="93"/>
        <v/>
      </c>
      <c r="AI290" s="881" t="str">
        <f t="shared" si="94"/>
        <v/>
      </c>
      <c r="AK290" s="881" t="str">
        <f t="shared" si="95"/>
        <v/>
      </c>
      <c r="AM290" s="881" t="str">
        <f t="shared" si="96"/>
        <v/>
      </c>
      <c r="AO290" s="881" t="str">
        <f t="shared" si="97"/>
        <v/>
      </c>
      <c r="AQ290" s="881" t="str">
        <f t="shared" si="98"/>
        <v/>
      </c>
    </row>
    <row r="291" spans="5:43" x14ac:dyDescent="0.2">
      <c r="E291" s="881" t="str">
        <f t="shared" si="79"/>
        <v/>
      </c>
      <c r="G291" s="881" t="str">
        <f t="shared" si="80"/>
        <v/>
      </c>
      <c r="I291" s="881" t="str">
        <f t="shared" si="81"/>
        <v/>
      </c>
      <c r="K291" s="881" t="str">
        <f t="shared" si="82"/>
        <v/>
      </c>
      <c r="M291" s="881" t="str">
        <f t="shared" si="83"/>
        <v/>
      </c>
      <c r="O291" s="881" t="str">
        <f t="shared" si="84"/>
        <v/>
      </c>
      <c r="Q291" s="881" t="str">
        <f t="shared" si="85"/>
        <v/>
      </c>
      <c r="S291" s="881" t="str">
        <f t="shared" si="86"/>
        <v/>
      </c>
      <c r="U291" s="881" t="str">
        <f t="shared" si="87"/>
        <v/>
      </c>
      <c r="W291" s="881" t="str">
        <f t="shared" si="88"/>
        <v/>
      </c>
      <c r="Y291" s="881" t="str">
        <f t="shared" si="89"/>
        <v/>
      </c>
      <c r="AA291" s="881" t="str">
        <f t="shared" si="90"/>
        <v/>
      </c>
      <c r="AC291" s="881" t="str">
        <f t="shared" si="91"/>
        <v/>
      </c>
      <c r="AE291" s="881" t="str">
        <f t="shared" si="92"/>
        <v/>
      </c>
      <c r="AG291" s="881" t="str">
        <f t="shared" si="93"/>
        <v/>
      </c>
      <c r="AI291" s="881" t="str">
        <f t="shared" si="94"/>
        <v/>
      </c>
      <c r="AK291" s="881" t="str">
        <f t="shared" si="95"/>
        <v/>
      </c>
      <c r="AM291" s="881" t="str">
        <f t="shared" si="96"/>
        <v/>
      </c>
      <c r="AO291" s="881" t="str">
        <f t="shared" si="97"/>
        <v/>
      </c>
      <c r="AQ291" s="881" t="str">
        <f t="shared" si="98"/>
        <v/>
      </c>
    </row>
    <row r="292" spans="5:43" x14ac:dyDescent="0.2">
      <c r="E292" s="881" t="str">
        <f t="shared" si="79"/>
        <v/>
      </c>
      <c r="G292" s="881" t="str">
        <f t="shared" si="80"/>
        <v/>
      </c>
      <c r="I292" s="881" t="str">
        <f t="shared" si="81"/>
        <v/>
      </c>
      <c r="K292" s="881" t="str">
        <f t="shared" si="82"/>
        <v/>
      </c>
      <c r="M292" s="881" t="str">
        <f t="shared" si="83"/>
        <v/>
      </c>
      <c r="O292" s="881" t="str">
        <f t="shared" si="84"/>
        <v/>
      </c>
      <c r="Q292" s="881" t="str">
        <f t="shared" si="85"/>
        <v/>
      </c>
      <c r="S292" s="881" t="str">
        <f t="shared" si="86"/>
        <v/>
      </c>
      <c r="U292" s="881" t="str">
        <f t="shared" si="87"/>
        <v/>
      </c>
      <c r="W292" s="881" t="str">
        <f t="shared" si="88"/>
        <v/>
      </c>
      <c r="Y292" s="881" t="str">
        <f t="shared" si="89"/>
        <v/>
      </c>
      <c r="AA292" s="881" t="str">
        <f t="shared" si="90"/>
        <v/>
      </c>
      <c r="AC292" s="881" t="str">
        <f t="shared" si="91"/>
        <v/>
      </c>
      <c r="AE292" s="881" t="str">
        <f t="shared" si="92"/>
        <v/>
      </c>
      <c r="AG292" s="881" t="str">
        <f t="shared" si="93"/>
        <v/>
      </c>
      <c r="AI292" s="881" t="str">
        <f t="shared" si="94"/>
        <v/>
      </c>
      <c r="AK292" s="881" t="str">
        <f t="shared" si="95"/>
        <v/>
      </c>
      <c r="AM292" s="881" t="str">
        <f t="shared" si="96"/>
        <v/>
      </c>
      <c r="AO292" s="881" t="str">
        <f t="shared" si="97"/>
        <v/>
      </c>
      <c r="AQ292" s="881" t="str">
        <f t="shared" si="98"/>
        <v/>
      </c>
    </row>
    <row r="293" spans="5:43" x14ac:dyDescent="0.2">
      <c r="E293" s="881" t="str">
        <f t="shared" ref="E293:E302" si="99">IF(OR($B294=0,D293=0),"",D293/$B294)</f>
        <v/>
      </c>
      <c r="G293" s="881" t="str">
        <f t="shared" ref="G293:G302" si="100">IF(OR($B294=0,F293=0),"",F293/$B294)</f>
        <v/>
      </c>
      <c r="I293" s="881" t="str">
        <f t="shared" ref="I293:I302" si="101">IF(OR($B294=0,H293=0),"",H293/$B294)</f>
        <v/>
      </c>
      <c r="K293" s="881" t="str">
        <f t="shared" ref="K293:K302" si="102">IF(OR($B294=0,J293=0),"",J293/$B294)</f>
        <v/>
      </c>
      <c r="M293" s="881" t="str">
        <f t="shared" ref="M293:M302" si="103">IF(OR($B294=0,L293=0),"",L293/$B294)</f>
        <v/>
      </c>
      <c r="O293" s="881" t="str">
        <f t="shared" ref="O293:O302" si="104">IF(OR($B294=0,N293=0),"",N293/$B294)</f>
        <v/>
      </c>
      <c r="Q293" s="881" t="str">
        <f t="shared" ref="Q293:Q302" si="105">IF(OR($B294=0,P293=0),"",P293/$B294)</f>
        <v/>
      </c>
      <c r="S293" s="881" t="str">
        <f t="shared" ref="S293:S302" si="106">IF(OR($B294=0,R293=0),"",R293/$B294)</f>
        <v/>
      </c>
      <c r="U293" s="881" t="str">
        <f t="shared" ref="U293:U302" si="107">IF(OR($B294=0,T293=0),"",T293/$B294)</f>
        <v/>
      </c>
      <c r="W293" s="881" t="str">
        <f t="shared" ref="W293:W302" si="108">IF(OR($B294=0,V293=0),"",V293/$B294)</f>
        <v/>
      </c>
      <c r="Y293" s="881" t="str">
        <f t="shared" ref="Y293:Y302" si="109">IF(OR($B294=0,X293=0),"",X293/$B294)</f>
        <v/>
      </c>
      <c r="AA293" s="881" t="str">
        <f t="shared" ref="AA293:AA302" si="110">IF(OR($B294=0,Z294=0),"",Z294/$B294)</f>
        <v/>
      </c>
      <c r="AC293" s="881" t="str">
        <f t="shared" ref="AC293:AC302" si="111">IF(OR($B294=0,AB293=0),"",AB293/$B294)</f>
        <v/>
      </c>
      <c r="AE293" s="881" t="str">
        <f t="shared" ref="AE293:AE302" si="112">IF(OR($B294=0,AD293=0),"",AD293/$B294)</f>
        <v/>
      </c>
      <c r="AG293" s="881" t="str">
        <f t="shared" ref="AG293:AG302" si="113">IF(OR($B294=0,AF293=0),"",AF293/$B294)</f>
        <v/>
      </c>
      <c r="AI293" s="881" t="str">
        <f t="shared" ref="AI293:AI302" si="114">IF(OR($B294=0,AH293=0),"",AH293/$B294)</f>
        <v/>
      </c>
      <c r="AK293" s="881" t="str">
        <f t="shared" ref="AK293:AK302" si="115">IF(OR($B294=0,AJ293=0),"",AJ293/$B294)</f>
        <v/>
      </c>
      <c r="AM293" s="881" t="str">
        <f t="shared" ref="AM293:AM302" si="116">IF(OR($B294=0,AL293=0),"",AL293/$B294)</f>
        <v/>
      </c>
      <c r="AO293" s="881" t="str">
        <f t="shared" ref="AO293:AO302" si="117">IF(OR($B294=0,AN293=0),"",AN293/$B294)</f>
        <v/>
      </c>
      <c r="AQ293" s="881" t="str">
        <f t="shared" ref="AQ293:AQ302" si="118">IF(OR($B294=0,AP293=0),"",AP293/$B294)</f>
        <v/>
      </c>
    </row>
    <row r="294" spans="5:43" x14ac:dyDescent="0.2">
      <c r="E294" s="881" t="str">
        <f t="shared" si="99"/>
        <v/>
      </c>
      <c r="G294" s="881" t="str">
        <f t="shared" si="100"/>
        <v/>
      </c>
      <c r="I294" s="881" t="str">
        <f t="shared" si="101"/>
        <v/>
      </c>
      <c r="K294" s="881" t="str">
        <f t="shared" si="102"/>
        <v/>
      </c>
      <c r="M294" s="881" t="str">
        <f t="shared" si="103"/>
        <v/>
      </c>
      <c r="O294" s="881" t="str">
        <f t="shared" si="104"/>
        <v/>
      </c>
      <c r="Q294" s="881" t="str">
        <f t="shared" si="105"/>
        <v/>
      </c>
      <c r="S294" s="881" t="str">
        <f t="shared" si="106"/>
        <v/>
      </c>
      <c r="U294" s="881" t="str">
        <f t="shared" si="107"/>
        <v/>
      </c>
      <c r="W294" s="881" t="str">
        <f t="shared" si="108"/>
        <v/>
      </c>
      <c r="Y294" s="881" t="str">
        <f t="shared" si="109"/>
        <v/>
      </c>
      <c r="AA294" s="881" t="str">
        <f t="shared" si="110"/>
        <v/>
      </c>
      <c r="AC294" s="881" t="str">
        <f t="shared" si="111"/>
        <v/>
      </c>
      <c r="AE294" s="881" t="str">
        <f t="shared" si="112"/>
        <v/>
      </c>
      <c r="AG294" s="881" t="str">
        <f t="shared" si="113"/>
        <v/>
      </c>
      <c r="AI294" s="881" t="str">
        <f t="shared" si="114"/>
        <v/>
      </c>
      <c r="AK294" s="881" t="str">
        <f t="shared" si="115"/>
        <v/>
      </c>
      <c r="AM294" s="881" t="str">
        <f t="shared" si="116"/>
        <v/>
      </c>
      <c r="AO294" s="881" t="str">
        <f t="shared" si="117"/>
        <v/>
      </c>
      <c r="AQ294" s="881" t="str">
        <f t="shared" si="118"/>
        <v/>
      </c>
    </row>
    <row r="295" spans="5:43" x14ac:dyDescent="0.2">
      <c r="E295" s="881" t="str">
        <f t="shared" si="99"/>
        <v/>
      </c>
      <c r="G295" s="881" t="str">
        <f t="shared" si="100"/>
        <v/>
      </c>
      <c r="I295" s="881" t="str">
        <f t="shared" si="101"/>
        <v/>
      </c>
      <c r="K295" s="881" t="str">
        <f t="shared" si="102"/>
        <v/>
      </c>
      <c r="M295" s="881" t="str">
        <f t="shared" si="103"/>
        <v/>
      </c>
      <c r="O295" s="881" t="str">
        <f t="shared" si="104"/>
        <v/>
      </c>
      <c r="Q295" s="881" t="str">
        <f t="shared" si="105"/>
        <v/>
      </c>
      <c r="S295" s="881" t="str">
        <f t="shared" si="106"/>
        <v/>
      </c>
      <c r="U295" s="881" t="str">
        <f t="shared" si="107"/>
        <v/>
      </c>
      <c r="W295" s="881" t="str">
        <f t="shared" si="108"/>
        <v/>
      </c>
      <c r="Y295" s="881" t="str">
        <f t="shared" si="109"/>
        <v/>
      </c>
      <c r="AA295" s="881" t="str">
        <f t="shared" si="110"/>
        <v/>
      </c>
      <c r="AC295" s="881" t="str">
        <f t="shared" si="111"/>
        <v/>
      </c>
      <c r="AE295" s="881" t="str">
        <f t="shared" si="112"/>
        <v/>
      </c>
      <c r="AG295" s="881" t="str">
        <f t="shared" si="113"/>
        <v/>
      </c>
      <c r="AI295" s="881" t="str">
        <f t="shared" si="114"/>
        <v/>
      </c>
      <c r="AK295" s="881" t="str">
        <f t="shared" si="115"/>
        <v/>
      </c>
      <c r="AM295" s="881" t="str">
        <f t="shared" si="116"/>
        <v/>
      </c>
      <c r="AO295" s="881" t="str">
        <f t="shared" si="117"/>
        <v/>
      </c>
      <c r="AQ295" s="881" t="str">
        <f t="shared" si="118"/>
        <v/>
      </c>
    </row>
    <row r="296" spans="5:43" x14ac:dyDescent="0.2">
      <c r="E296" s="881" t="str">
        <f t="shared" si="99"/>
        <v/>
      </c>
      <c r="G296" s="881" t="str">
        <f t="shared" si="100"/>
        <v/>
      </c>
      <c r="I296" s="881" t="str">
        <f t="shared" si="101"/>
        <v/>
      </c>
      <c r="K296" s="881" t="str">
        <f t="shared" si="102"/>
        <v/>
      </c>
      <c r="M296" s="881" t="str">
        <f t="shared" si="103"/>
        <v/>
      </c>
      <c r="O296" s="881" t="str">
        <f t="shared" si="104"/>
        <v/>
      </c>
      <c r="Q296" s="881" t="str">
        <f t="shared" si="105"/>
        <v/>
      </c>
      <c r="S296" s="881" t="str">
        <f t="shared" si="106"/>
        <v/>
      </c>
      <c r="U296" s="881" t="str">
        <f t="shared" si="107"/>
        <v/>
      </c>
      <c r="W296" s="881" t="str">
        <f t="shared" si="108"/>
        <v/>
      </c>
      <c r="Y296" s="881" t="str">
        <f t="shared" si="109"/>
        <v/>
      </c>
      <c r="AA296" s="881" t="str">
        <f t="shared" si="110"/>
        <v/>
      </c>
      <c r="AC296" s="881" t="str">
        <f t="shared" si="111"/>
        <v/>
      </c>
      <c r="AE296" s="881" t="str">
        <f t="shared" si="112"/>
        <v/>
      </c>
      <c r="AG296" s="881" t="str">
        <f t="shared" si="113"/>
        <v/>
      </c>
      <c r="AI296" s="881" t="str">
        <f t="shared" si="114"/>
        <v/>
      </c>
      <c r="AK296" s="881" t="str">
        <f t="shared" si="115"/>
        <v/>
      </c>
      <c r="AM296" s="881" t="str">
        <f t="shared" si="116"/>
        <v/>
      </c>
      <c r="AO296" s="881" t="str">
        <f t="shared" si="117"/>
        <v/>
      </c>
      <c r="AQ296" s="881" t="str">
        <f t="shared" si="118"/>
        <v/>
      </c>
    </row>
    <row r="297" spans="5:43" x14ac:dyDescent="0.2">
      <c r="E297" s="881" t="str">
        <f t="shared" si="99"/>
        <v/>
      </c>
      <c r="G297" s="881" t="str">
        <f t="shared" si="100"/>
        <v/>
      </c>
      <c r="I297" s="881" t="str">
        <f t="shared" si="101"/>
        <v/>
      </c>
      <c r="K297" s="881" t="str">
        <f t="shared" si="102"/>
        <v/>
      </c>
      <c r="M297" s="881" t="str">
        <f t="shared" si="103"/>
        <v/>
      </c>
      <c r="O297" s="881" t="str">
        <f t="shared" si="104"/>
        <v/>
      </c>
      <c r="Q297" s="881" t="str">
        <f t="shared" si="105"/>
        <v/>
      </c>
      <c r="S297" s="881" t="str">
        <f t="shared" si="106"/>
        <v/>
      </c>
      <c r="U297" s="881" t="str">
        <f t="shared" si="107"/>
        <v/>
      </c>
      <c r="W297" s="881" t="str">
        <f t="shared" si="108"/>
        <v/>
      </c>
      <c r="Y297" s="881" t="str">
        <f t="shared" si="109"/>
        <v/>
      </c>
      <c r="AA297" s="881" t="str">
        <f t="shared" si="110"/>
        <v/>
      </c>
      <c r="AC297" s="881" t="str">
        <f t="shared" si="111"/>
        <v/>
      </c>
      <c r="AE297" s="881" t="str">
        <f t="shared" si="112"/>
        <v/>
      </c>
      <c r="AG297" s="881" t="str">
        <f t="shared" si="113"/>
        <v/>
      </c>
      <c r="AI297" s="881" t="str">
        <f t="shared" si="114"/>
        <v/>
      </c>
      <c r="AK297" s="881" t="str">
        <f t="shared" si="115"/>
        <v/>
      </c>
      <c r="AM297" s="881" t="str">
        <f t="shared" si="116"/>
        <v/>
      </c>
      <c r="AO297" s="881" t="str">
        <f t="shared" si="117"/>
        <v/>
      </c>
      <c r="AQ297" s="881" t="str">
        <f t="shared" si="118"/>
        <v/>
      </c>
    </row>
    <row r="298" spans="5:43" x14ac:dyDescent="0.2">
      <c r="E298" s="881" t="str">
        <f t="shared" si="99"/>
        <v/>
      </c>
      <c r="G298" s="881" t="str">
        <f t="shared" si="100"/>
        <v/>
      </c>
      <c r="I298" s="881" t="str">
        <f t="shared" si="101"/>
        <v/>
      </c>
      <c r="K298" s="881" t="str">
        <f t="shared" si="102"/>
        <v/>
      </c>
      <c r="M298" s="881" t="str">
        <f t="shared" si="103"/>
        <v/>
      </c>
      <c r="O298" s="881" t="str">
        <f t="shared" si="104"/>
        <v/>
      </c>
      <c r="Q298" s="881" t="str">
        <f t="shared" si="105"/>
        <v/>
      </c>
      <c r="S298" s="881" t="str">
        <f t="shared" si="106"/>
        <v/>
      </c>
      <c r="U298" s="881" t="str">
        <f t="shared" si="107"/>
        <v/>
      </c>
      <c r="W298" s="881" t="str">
        <f t="shared" si="108"/>
        <v/>
      </c>
      <c r="Y298" s="881" t="str">
        <f t="shared" si="109"/>
        <v/>
      </c>
      <c r="AA298" s="881" t="str">
        <f t="shared" si="110"/>
        <v/>
      </c>
      <c r="AC298" s="881" t="str">
        <f t="shared" si="111"/>
        <v/>
      </c>
      <c r="AE298" s="881" t="str">
        <f t="shared" si="112"/>
        <v/>
      </c>
      <c r="AG298" s="881" t="str">
        <f t="shared" si="113"/>
        <v/>
      </c>
      <c r="AI298" s="881" t="str">
        <f t="shared" si="114"/>
        <v/>
      </c>
      <c r="AK298" s="881" t="str">
        <f t="shared" si="115"/>
        <v/>
      </c>
      <c r="AM298" s="881" t="str">
        <f t="shared" si="116"/>
        <v/>
      </c>
      <c r="AO298" s="881" t="str">
        <f t="shared" si="117"/>
        <v/>
      </c>
      <c r="AQ298" s="881" t="str">
        <f t="shared" si="118"/>
        <v/>
      </c>
    </row>
    <row r="299" spans="5:43" x14ac:dyDescent="0.2">
      <c r="E299" s="881" t="str">
        <f t="shared" si="99"/>
        <v/>
      </c>
      <c r="G299" s="881" t="str">
        <f t="shared" si="100"/>
        <v/>
      </c>
      <c r="I299" s="881" t="str">
        <f t="shared" si="101"/>
        <v/>
      </c>
      <c r="K299" s="881" t="str">
        <f t="shared" si="102"/>
        <v/>
      </c>
      <c r="M299" s="881" t="str">
        <f t="shared" si="103"/>
        <v/>
      </c>
      <c r="O299" s="881" t="str">
        <f t="shared" si="104"/>
        <v/>
      </c>
      <c r="Q299" s="881" t="str">
        <f t="shared" si="105"/>
        <v/>
      </c>
      <c r="S299" s="881" t="str">
        <f t="shared" si="106"/>
        <v/>
      </c>
      <c r="U299" s="881" t="str">
        <f t="shared" si="107"/>
        <v/>
      </c>
      <c r="W299" s="881" t="str">
        <f t="shared" si="108"/>
        <v/>
      </c>
      <c r="Y299" s="881" t="str">
        <f t="shared" si="109"/>
        <v/>
      </c>
      <c r="AA299" s="881" t="str">
        <f t="shared" si="110"/>
        <v/>
      </c>
      <c r="AC299" s="881" t="str">
        <f t="shared" si="111"/>
        <v/>
      </c>
      <c r="AE299" s="881" t="str">
        <f t="shared" si="112"/>
        <v/>
      </c>
      <c r="AG299" s="881" t="str">
        <f t="shared" si="113"/>
        <v/>
      </c>
      <c r="AI299" s="881" t="str">
        <f t="shared" si="114"/>
        <v/>
      </c>
      <c r="AK299" s="881" t="str">
        <f t="shared" si="115"/>
        <v/>
      </c>
      <c r="AM299" s="881" t="str">
        <f t="shared" si="116"/>
        <v/>
      </c>
      <c r="AO299" s="881" t="str">
        <f t="shared" si="117"/>
        <v/>
      </c>
      <c r="AQ299" s="881" t="str">
        <f t="shared" si="118"/>
        <v/>
      </c>
    </row>
    <row r="300" spans="5:43" x14ac:dyDescent="0.2">
      <c r="E300" s="881" t="str">
        <f t="shared" si="99"/>
        <v/>
      </c>
      <c r="G300" s="881" t="str">
        <f t="shared" si="100"/>
        <v/>
      </c>
      <c r="I300" s="881" t="str">
        <f t="shared" si="101"/>
        <v/>
      </c>
      <c r="K300" s="881" t="str">
        <f t="shared" si="102"/>
        <v/>
      </c>
      <c r="M300" s="881" t="str">
        <f t="shared" si="103"/>
        <v/>
      </c>
      <c r="O300" s="881" t="str">
        <f t="shared" si="104"/>
        <v/>
      </c>
      <c r="Q300" s="881" t="str">
        <f t="shared" si="105"/>
        <v/>
      </c>
      <c r="S300" s="881" t="str">
        <f t="shared" si="106"/>
        <v/>
      </c>
      <c r="U300" s="881" t="str">
        <f t="shared" si="107"/>
        <v/>
      </c>
      <c r="W300" s="881" t="str">
        <f t="shared" si="108"/>
        <v/>
      </c>
      <c r="Y300" s="881" t="str">
        <f t="shared" si="109"/>
        <v/>
      </c>
      <c r="AA300" s="881" t="str">
        <f t="shared" si="110"/>
        <v/>
      </c>
      <c r="AC300" s="881" t="str">
        <f t="shared" si="111"/>
        <v/>
      </c>
      <c r="AE300" s="881" t="str">
        <f t="shared" si="112"/>
        <v/>
      </c>
      <c r="AG300" s="881" t="str">
        <f t="shared" si="113"/>
        <v/>
      </c>
      <c r="AI300" s="881" t="str">
        <f t="shared" si="114"/>
        <v/>
      </c>
      <c r="AK300" s="881" t="str">
        <f t="shared" si="115"/>
        <v/>
      </c>
      <c r="AM300" s="881" t="str">
        <f t="shared" si="116"/>
        <v/>
      </c>
      <c r="AO300" s="881" t="str">
        <f t="shared" si="117"/>
        <v/>
      </c>
      <c r="AQ300" s="881" t="str">
        <f t="shared" si="118"/>
        <v/>
      </c>
    </row>
    <row r="301" spans="5:43" x14ac:dyDescent="0.2">
      <c r="E301" s="881" t="str">
        <f t="shared" si="99"/>
        <v/>
      </c>
      <c r="G301" s="881" t="str">
        <f t="shared" si="100"/>
        <v/>
      </c>
      <c r="I301" s="881" t="str">
        <f t="shared" si="101"/>
        <v/>
      </c>
      <c r="K301" s="881" t="str">
        <f t="shared" si="102"/>
        <v/>
      </c>
      <c r="M301" s="881" t="str">
        <f t="shared" si="103"/>
        <v/>
      </c>
      <c r="O301" s="881" t="str">
        <f t="shared" si="104"/>
        <v/>
      </c>
      <c r="Q301" s="881" t="str">
        <f t="shared" si="105"/>
        <v/>
      </c>
      <c r="S301" s="881" t="str">
        <f t="shared" si="106"/>
        <v/>
      </c>
      <c r="U301" s="881" t="str">
        <f t="shared" si="107"/>
        <v/>
      </c>
      <c r="W301" s="881" t="str">
        <f t="shared" si="108"/>
        <v/>
      </c>
      <c r="Y301" s="881" t="str">
        <f t="shared" si="109"/>
        <v/>
      </c>
      <c r="AA301" s="881" t="str">
        <f t="shared" si="110"/>
        <v/>
      </c>
      <c r="AC301" s="881" t="str">
        <f t="shared" si="111"/>
        <v/>
      </c>
      <c r="AE301" s="881" t="str">
        <f t="shared" si="112"/>
        <v/>
      </c>
      <c r="AG301" s="881" t="str">
        <f t="shared" si="113"/>
        <v/>
      </c>
      <c r="AI301" s="881" t="str">
        <f t="shared" si="114"/>
        <v/>
      </c>
      <c r="AK301" s="881" t="str">
        <f t="shared" si="115"/>
        <v/>
      </c>
      <c r="AM301" s="881" t="str">
        <f t="shared" si="116"/>
        <v/>
      </c>
      <c r="AO301" s="881" t="str">
        <f t="shared" si="117"/>
        <v/>
      </c>
      <c r="AQ301" s="881" t="str">
        <f t="shared" si="118"/>
        <v/>
      </c>
    </row>
    <row r="302" spans="5:43" x14ac:dyDescent="0.2">
      <c r="E302" s="881" t="str">
        <f t="shared" si="99"/>
        <v/>
      </c>
      <c r="G302" s="881" t="str">
        <f t="shared" si="100"/>
        <v/>
      </c>
      <c r="I302" s="881" t="str">
        <f t="shared" si="101"/>
        <v/>
      </c>
      <c r="K302" s="881" t="str">
        <f t="shared" si="102"/>
        <v/>
      </c>
      <c r="M302" s="881" t="str">
        <f t="shared" si="103"/>
        <v/>
      </c>
      <c r="O302" s="881" t="str">
        <f t="shared" si="104"/>
        <v/>
      </c>
      <c r="Q302" s="881" t="str">
        <f t="shared" si="105"/>
        <v/>
      </c>
      <c r="S302" s="881" t="str">
        <f t="shared" si="106"/>
        <v/>
      </c>
      <c r="U302" s="881" t="str">
        <f t="shared" si="107"/>
        <v/>
      </c>
      <c r="W302" s="881" t="str">
        <f t="shared" si="108"/>
        <v/>
      </c>
      <c r="Y302" s="881" t="str">
        <f t="shared" si="109"/>
        <v/>
      </c>
      <c r="AA302" s="881" t="str">
        <f t="shared" si="110"/>
        <v/>
      </c>
      <c r="AC302" s="881" t="str">
        <f t="shared" si="111"/>
        <v/>
      </c>
      <c r="AE302" s="881" t="str">
        <f t="shared" si="112"/>
        <v/>
      </c>
      <c r="AG302" s="881" t="str">
        <f t="shared" si="113"/>
        <v/>
      </c>
      <c r="AI302" s="881" t="str">
        <f t="shared" si="114"/>
        <v/>
      </c>
      <c r="AK302" s="881" t="str">
        <f t="shared" si="115"/>
        <v/>
      </c>
      <c r="AM302" s="881" t="str">
        <f t="shared" si="116"/>
        <v/>
      </c>
      <c r="AO302" s="881" t="str">
        <f t="shared" si="117"/>
        <v/>
      </c>
      <c r="AQ302" s="881" t="str">
        <f t="shared" si="118"/>
        <v/>
      </c>
    </row>
  </sheetData>
  <mergeCells count="1">
    <mergeCell ref="A3:A6"/>
  </mergeCells>
  <conditionalFormatting sqref="E12:E26 E32:E302">
    <cfRule type="expression" dxfId="8" priority="3">
      <formula>AND(LEN(E12)&gt;0,OR(E12&lt;E$2,E12&gt;E$3))</formula>
    </cfRule>
  </conditionalFormatting>
  <conditionalFormatting sqref="F11:F26 L11:L26 R11:R303 X11:X303 AD11:AD303 AJ11:AJ303 AP11:AP303 F32:F303 L32:L303">
    <cfRule type="expression" dxfId="7" priority="4">
      <formula>OR(AND(LEN(F11)&gt;0,F11&lt;F$8),AND(LEN(F11)&gt;0,F11&gt;#REF!))</formula>
    </cfRule>
    <cfRule type="expression" dxfId="6" priority="5">
      <formula>AND(F11&gt;=F$8,F11&lt;=#REF!)</formula>
    </cfRule>
  </conditionalFormatting>
  <conditionalFormatting sqref="G12:G302 I12:I302 K12:K302 M12:M302">
    <cfRule type="expression" dxfId="5" priority="1">
      <formula>AND(LEN(G12)&gt;0,OR(G12&lt;G$2,G12&gt;G$3))</formula>
    </cfRule>
  </conditionalFormatting>
  <conditionalFormatting sqref="O12:O302 Q12:Q302 S12:S302 U12:U302 W12:W302 Y12:Y302 AA12:AA302 AC12:AC302 AE12:AE302 AG12:AG302 AI12:AI302 AK12:AK302 AM12:AM302 AO12:AO302 AQ12:AQ302">
    <cfRule type="expression" dxfId="4" priority="2">
      <formula>AND(LEN(O12)&gt;0,OR(O12&lt;O$2,O12&gt;O$3))</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1890F-F6FF-4E7C-9610-3779DFABAF9A}">
  <dimension ref="A1:ARS301"/>
  <sheetViews>
    <sheetView zoomScale="90" zoomScaleNormal="90" workbookViewId="0">
      <selection activeCell="D41" sqref="D41"/>
    </sheetView>
  </sheetViews>
  <sheetFormatPr defaultRowHeight="12.75" x14ac:dyDescent="0.2"/>
  <cols>
    <col min="1" max="1" width="35.625" style="33" customWidth="1"/>
    <col min="2" max="2" width="16.375" style="33" customWidth="1"/>
    <col min="3" max="3" width="9" style="33"/>
    <col min="4" max="5" width="16.375" style="33" customWidth="1"/>
    <col min="6" max="13" width="16.375" style="33" hidden="1" customWidth="1"/>
    <col min="14" max="15" width="16.375" style="33" customWidth="1"/>
    <col min="16" max="25" width="16.375" style="33" hidden="1" customWidth="1"/>
    <col min="26" max="28" width="16.375" style="33" customWidth="1"/>
    <col min="29" max="35" width="16.375" style="33" hidden="1" customWidth="1"/>
    <col min="36" max="37" width="16.375" style="33" customWidth="1"/>
    <col min="38" max="43" width="16.375" style="33" hidden="1" customWidth="1"/>
    <col min="44" max="803" width="9" style="33"/>
    <col min="804" max="843" width="9" style="528"/>
    <col min="844" max="1043" width="9" style="33"/>
    <col min="1044" max="1163" width="9" style="529"/>
    <col min="1164" max="16384" width="9" style="33"/>
  </cols>
  <sheetData>
    <row r="1" spans="1:43" x14ac:dyDescent="0.2">
      <c r="A1" s="31">
        <v>8</v>
      </c>
      <c r="C1" s="3" t="s">
        <v>365</v>
      </c>
      <c r="E1" s="32">
        <f ca="1">IF(COUNT(E12:E301)=0,"-",AVERAGE(E12:OFFSET(E12,$A$1-1,0)))</f>
        <v>36064.619950667322</v>
      </c>
      <c r="G1" s="32">
        <f ca="1">IF(COUNT(G12:G301)=0,"-",AVERAGE(G12:OFFSET(G12,$A$1-1,0)))</f>
        <v>13040.390258195104</v>
      </c>
      <c r="I1" s="32" t="str">
        <f ca="1">IF(COUNT(I12:I301)=0,"-",AVERAGE(I12:OFFSET(I12,$A$1-1,0)))</f>
        <v>-</v>
      </c>
      <c r="K1" s="32">
        <f ca="1">IF(COUNT(K12:K301)=0,"-",AVERAGE(K12:OFFSET(K12,$A$1-1,0)))</f>
        <v>99814.275717284821</v>
      </c>
      <c r="M1" s="32" t="str">
        <f ca="1">IF(COUNT(M12:M301)=0,"-",AVERAGE(M12:OFFSET(M12,$A$1-1,0)))</f>
        <v>-</v>
      </c>
      <c r="O1" s="32">
        <f ca="1">IF(COUNT(O12:O301)=0,"-",AVERAGE(O12:OFFSET(O12,$A$1-1,0)))</f>
        <v>426.67084107884784</v>
      </c>
      <c r="Q1" s="32">
        <f ca="1">IF(COUNT(Q12:Q301)=0,"-",AVERAGE(Q12:OFFSET(Q12,$A$1-1,0)))</f>
        <v>1563.0110531571249</v>
      </c>
      <c r="S1" s="32">
        <f ca="1">IF(COUNT(S12:S301)=0,"-",AVERAGE(S12:OFFSET(S12,$A$1-1,0)))</f>
        <v>1666.8707695969188</v>
      </c>
      <c r="U1" s="32">
        <f ca="1">IF(COUNT(U12:U301)=0,"-",AVERAGE(U12:OFFSET(U12,$A$1-1,0)))</f>
        <v>595.41270474827422</v>
      </c>
      <c r="W1" s="32">
        <f ca="1">IF(COUNT(W12:W301)=0,"-",AVERAGE(W12:OFFSET(W12,$A$1-1,0)))</f>
        <v>259.95166783277898</v>
      </c>
      <c r="Y1" s="32">
        <f ca="1">IF(COUNT(Y12:Y301)=0,"-",AVERAGE(Y12:OFFSET(Y12,$A$1-1,0)))</f>
        <v>176.11949685534589</v>
      </c>
      <c r="AA1" s="32" t="str">
        <f ca="1">IF(COUNT(AA12:AA301)=0,"-",AVERAGE(AA12:OFFSET(AA12,$A$1-1,0)))</f>
        <v>-</v>
      </c>
      <c r="AC1" s="32">
        <f ca="1">IF(COUNT(AC12:AC301)=0,"-",AVERAGE(AC12:OFFSET(AC12,$A$1-1,0)))</f>
        <v>4572.550744659743</v>
      </c>
      <c r="AE1" s="32">
        <f ca="1">IF(COUNT(AE12:AE301)=0,"-",AVERAGE(AE12:OFFSET(AE12,$A$1-1,0)))</f>
        <v>4815.3846153846152</v>
      </c>
      <c r="AG1" s="32" t="str">
        <f ca="1">IF(COUNT(AG12:AG301)=0,"-",AVERAGE(AG12:OFFSET(AG12,$A$1-1,0)))</f>
        <v>-</v>
      </c>
      <c r="AI1" s="32" t="str">
        <f ca="1">IF(COUNT(AI12:AI301)=0,"-",AVERAGE(AI12:OFFSET(AI12,$A$1-1,0)))</f>
        <v>-</v>
      </c>
      <c r="AK1" s="32">
        <f ca="1">IF(COUNT(AK12:AK300)=0,"-",AVERAGE(AK12:OFFSET(AK12,$A$1-1,0)))</f>
        <v>21111.516625019092</v>
      </c>
      <c r="AM1" s="32" t="str">
        <f ca="1">IF(COUNT(AM12:AM301)=0,"-",AVERAGE(AM12:OFFSET(AM12,$A$1-1,0)))</f>
        <v>-</v>
      </c>
      <c r="AO1" s="32">
        <f ca="1">IF(COUNT(AO12:AO301)=0,"-",AVERAGE(AO12:OFFSET(AO12,$A$1-1,0)))</f>
        <v>569.23076923076917</v>
      </c>
      <c r="AQ1" s="32">
        <f ca="1">IF(COUNT(AQ12:AQ300)=0,"-",AVERAGE(AQ12:OFFSET(AQ12,$A$1-1,0)))</f>
        <v>41797.130648420614</v>
      </c>
    </row>
    <row r="2" spans="1:43" x14ac:dyDescent="0.2">
      <c r="C2" s="3" t="s">
        <v>134</v>
      </c>
      <c r="E2" s="32">
        <f ca="1">IF(COUNT(E12:E301)=0,"-",E1-(2*_xlfn.STDEV.P(E12:OFFSET(E12,$A$1-1,0))))</f>
        <v>-14714.594482424662</v>
      </c>
      <c r="G2" s="32">
        <f ca="1">IF(COUNT(G12:G301)=0,"-",G1-(2*_xlfn.STDEV.P(G12:OFFSET(G12,$A$1-1,0))))</f>
        <v>-31104.464560874228</v>
      </c>
      <c r="I2" s="32" t="str">
        <f ca="1">IF(COUNT(I12:I301)=0,"-",I1-(2*_xlfn.STDEV.P(I12:OFFSET(I12,$A$1-1,0))))</f>
        <v>-</v>
      </c>
      <c r="K2" s="32">
        <f ca="1">IF(COUNT(K12:K301)=0,"-",K1-(2*_xlfn.STDEV.P(K12:OFFSET(K12,$A$1-1,0))))</f>
        <v>99814.275717284821</v>
      </c>
      <c r="M2" s="32" t="str">
        <f ca="1">IF(COUNT(M12:M301)=0,"-",M1-(2*_xlfn.STDEV.P(M12:OFFSET(M12,$A$1-1,0))))</f>
        <v>-</v>
      </c>
      <c r="O2" s="32">
        <f ca="1">IF(COUNT(O12:O301)=0,"-",O1-(2*_xlfn.STDEV.P(O12:OFFSET(O12,$A$1-1,0))))</f>
        <v>-1031.3142391903948</v>
      </c>
      <c r="Q2" s="32">
        <f ca="1">IF(COUNT(Q12:Q301)=0,"-",Q1-(2*_xlfn.STDEV.P(Q12:OFFSET(Q12,$A$1-1,0))))</f>
        <v>-965.69370563571192</v>
      </c>
      <c r="S2" s="32">
        <f ca="1">IF(COUNT(S12:S301)=0,"-",S1-(2*_xlfn.STDEV.P(S12:OFFSET(S12,$A$1-1,0))))</f>
        <v>-1704.4203759126808</v>
      </c>
      <c r="U2" s="32">
        <f ca="1">IF(COUNT(U12:U301)=0,"-",U1-(2*_xlfn.STDEV.P(U12:OFFSET(U12,$A$1-1,0))))</f>
        <v>69.701073686417885</v>
      </c>
      <c r="W2" s="32">
        <f ca="1">IF(COUNT(W12:W301)=0,"-",W1-(2*_xlfn.STDEV.P(W12:OFFSET(W12,$A$1-1,0))))</f>
        <v>-61.678266334061902</v>
      </c>
      <c r="Y2" s="32">
        <f ca="1">IF(COUNT(Y12:Y301)=0,"-",Y1-(2*_xlfn.STDEV.P(Y12:OFFSET(Y12,$A$1-1,0))))</f>
        <v>176.11949685534589</v>
      </c>
      <c r="AA2" s="32" t="str">
        <f ca="1">IF(COUNT(AA12:AA301)=0,"-",AA1-(2*_xlfn.STDEV.P(AA12:OFFSET(AA12,$A$1-1,0))))</f>
        <v>-</v>
      </c>
      <c r="AC2" s="32">
        <f ca="1">IF(COUNT(AC12:AC301)=0,"-",AC1-(2*_xlfn.STDEV.P(AC12:OFFSET(AC12,$A$1-1,0))))</f>
        <v>-3072.7040983142651</v>
      </c>
      <c r="AE2" s="32">
        <f ca="1">IF(COUNT(AE12:AE301)=0,"-",AE1-(2*_xlfn.STDEV.P(AE12:OFFSET(AE12,$A$1-1,0))))</f>
        <v>4815.3846153846152</v>
      </c>
      <c r="AG2" s="32" t="str">
        <f ca="1">IF(COUNT(AG12:AG301)=0,"-",AG1-(2*_xlfn.STDEV.P(AG12:OFFSET(AG12,$A$1-1,0))))</f>
        <v>-</v>
      </c>
      <c r="AI2" s="32" t="str">
        <f ca="1">IF(COUNT(AI12:AI301)=0,"-",AI1-(2*_xlfn.STDEV.P(AI12:OFFSET(AI12,$A$1-1,0))))</f>
        <v>-</v>
      </c>
      <c r="AK2" s="32">
        <f ca="1">IF(COUNT(AK12:AK300)=0,"-",AK1-(2*_xlfn.STDEV.P(AK12:OFFSET(AK12,$A$1-1,0))))</f>
        <v>-57263.469881889265</v>
      </c>
      <c r="AM2" s="32" t="str">
        <f ca="1">IF(COUNT(AM12:AM301)=0,"-",AM1-(2*_xlfn.STDEV.P(AM12:OFFSET(AM12,$A$1-1,0))))</f>
        <v>-</v>
      </c>
      <c r="AO2" s="32">
        <f ca="1">IF(COUNT(AO12:AO301)=0,"-",AO1-(2*_xlfn.STDEV.P(AO12:OFFSET(AO12,$A$1-1,0))))</f>
        <v>569.23076923076917</v>
      </c>
      <c r="AQ2" s="32">
        <f ca="1">IF(COUNT(AQ12:AQ300)=0,"-",AQ1-(2*_xlfn.STDEV.P(AQ12:OFFSET(AQ12,$A$1-1,0))))</f>
        <v>-70357.97606617515</v>
      </c>
    </row>
    <row r="3" spans="1:43" x14ac:dyDescent="0.2">
      <c r="A3" s="1094" t="s">
        <v>486</v>
      </c>
      <c r="C3" s="3" t="s">
        <v>135</v>
      </c>
      <c r="E3" s="32">
        <f ca="1">IF(COUNT(E12:E301)=0,"-",E1+(2*_xlfn.STDEV.P(E12:OFFSET(E12,$A$1-1,0))))</f>
        <v>86843.834383759298</v>
      </c>
      <c r="G3" s="32">
        <f ca="1">IF(COUNT(G12:G301)=0,"-",G1+(2*_xlfn.STDEV.P(G12:OFFSET(G12,$A$1-1,0))))</f>
        <v>57185.245077264437</v>
      </c>
      <c r="I3" s="32" t="str">
        <f ca="1">IF(COUNT(I12:I301)=0,"-",I1+(2*_xlfn.STDEV.P(I12:OFFSET(I12,$A$1-1,0))))</f>
        <v>-</v>
      </c>
      <c r="K3" s="32">
        <f ca="1">IF(COUNT(K12:K301)=0,"-",K1+(2*_xlfn.STDEV.P(K12:OFFSET(K12,$A$1-1,0))))</f>
        <v>99814.275717284821</v>
      </c>
      <c r="M3" s="32" t="str">
        <f ca="1">IF(COUNT(M12:M301)=0,"-",M1+(2*_xlfn.STDEV.P(M12:OFFSET(M12,$A$1-1,0))))</f>
        <v>-</v>
      </c>
      <c r="O3" s="32">
        <f ca="1">IF(COUNT(O12:O301)=0,"-",O1+(2*_xlfn.STDEV.P(O12:OFFSET(O12,$A$1-1,0))))</f>
        <v>1884.6559213480905</v>
      </c>
      <c r="Q3" s="32">
        <f ca="1">IF(COUNT(Q12:Q301)=0,"-",Q1+(2*_xlfn.STDEV.P(Q12:OFFSET(Q12,$A$1-1,0))))</f>
        <v>4091.7158119499618</v>
      </c>
      <c r="S3" s="32">
        <f ca="1">IF(COUNT(S12:S301)=0,"-",S1+(2*_xlfn.STDEV.P(S12:OFFSET(S12,$A$1-1,0))))</f>
        <v>5038.1619151065188</v>
      </c>
      <c r="U3" s="32">
        <f ca="1">IF(COUNT(U12:U301)=0,"-",U1+(2*_xlfn.STDEV.P(U12:OFFSET(U12,$A$1-1,0))))</f>
        <v>1121.1243358101306</v>
      </c>
      <c r="W3" s="32">
        <f ca="1">IF(COUNT(W12:W301)=0,"-",W1+(2*_xlfn.STDEV.P(W12:OFFSET(W12,$A$1-1,0))))</f>
        <v>581.58160199961981</v>
      </c>
      <c r="Y3" s="32">
        <f ca="1">IF(COUNT(Y12:Y301)=0,"-",Y1+(2*_xlfn.STDEV.P(Y12:OFFSET(Y12,$A$1-1,0))))</f>
        <v>176.11949685534589</v>
      </c>
      <c r="AA3" s="32" t="str">
        <f ca="1">IF(COUNT(AA12:AA301)=0,"-",AA1+(2*_xlfn.STDEV.P(AA12:OFFSET(AA12,$A$1-1,0))))</f>
        <v>-</v>
      </c>
      <c r="AC3" s="32">
        <f ca="1">IF(COUNT(AC12:AC301)=0,"-",AC1+(2*_xlfn.STDEV.P(AC12:OFFSET(AC12,$A$1-1,0))))</f>
        <v>12217.805587633751</v>
      </c>
      <c r="AE3" s="32">
        <f ca="1">IF(COUNT(AE12:AE301)=0,"-",AE1+(2*_xlfn.STDEV.P(AE12:OFFSET(AE12,$A$1-1,0))))</f>
        <v>4815.3846153846152</v>
      </c>
      <c r="AG3" s="32" t="str">
        <f ca="1">IF(COUNT(AG12:AG301)=0,"-",AG1+(2*_xlfn.STDEV.P(AG12:OFFSET(AG12,$A$1-1,0))))</f>
        <v>-</v>
      </c>
      <c r="AI3" s="32" t="str">
        <f ca="1">IF(COUNT(AI12:AI301)=0,"-",AI1+(2*_xlfn.STDEV.P(AI12:OFFSET(AI12,$A$1-1,0))))</f>
        <v>-</v>
      </c>
      <c r="AK3" s="32">
        <f ca="1">IF(COUNT(AK12:AK300)=0,"-",AK1+(2*_xlfn.STDEV.P(AK12:OFFSET(AK12,$A$1-1,0))))</f>
        <v>99486.503131927457</v>
      </c>
      <c r="AM3" s="32" t="str">
        <f ca="1">IF(COUNT(AM12:AM301)=0,"-",AM1+(2*_xlfn.STDEV.P(AM12:OFFSET(AM12,$A$1-1,0))))</f>
        <v>-</v>
      </c>
      <c r="AO3" s="32">
        <f ca="1">IF(COUNT(AO12:AO301)=0,"-",AO1+(2*_xlfn.STDEV.P(AO12:OFFSET(AO12,$A$1-1,0))))</f>
        <v>569.23076923076917</v>
      </c>
      <c r="AQ3" s="32">
        <f ca="1">IF(COUNT(AQ12:AQ300)=0,"-",AQ1+(2*_xlfn.STDEV.P(AQ12:OFFSET(AQ12,$A$1-1,0))))</f>
        <v>153952.23736301638</v>
      </c>
    </row>
    <row r="4" spans="1:43" x14ac:dyDescent="0.2">
      <c r="A4" s="1094"/>
      <c r="C4" s="3" t="s">
        <v>136</v>
      </c>
      <c r="E4" s="511">
        <f ca="1">IF(COUNT(E12:E301)=0,"-",AVERAGEIFS(E12:E301, E12:E301, "&gt;="&amp;E2,E12:E301,"&lt;="&amp;E3))</f>
        <v>36064.619950667322</v>
      </c>
      <c r="G4" s="511">
        <f ca="1">IF(COUNT(G12:G301)=0,"-",AVERAGEIFS(G12:G301, G12:G301, "&gt;="&amp;G2,G12:G301,"&lt;="&amp;G3))</f>
        <v>13040.390258195104</v>
      </c>
      <c r="I4" s="511" t="str">
        <f>IF(COUNT(I12:I301)=0,"-",AVERAGEIFS(I12:I301, I12:I301, "&gt;="&amp;I2,I12:I301,"&lt;="&amp;I3))</f>
        <v>-</v>
      </c>
      <c r="K4" s="511">
        <f ca="1">IF(COUNT(K12:K301)=0,"-",AVERAGEIFS(K12:K301, K12:K301, "&gt;="&amp;K2,K12:K301,"&lt;="&amp;K3))</f>
        <v>99814.275717284821</v>
      </c>
      <c r="M4" s="511" t="str">
        <f>IF(COUNT(M12:M301)=0,"-",AVERAGEIFS(M12:M301, M12:M301, "&gt;="&amp;M2,M12:M301,"&lt;="&amp;M3))</f>
        <v>-</v>
      </c>
      <c r="O4" s="511">
        <f ca="1">IF(COUNT(O12:O301)=0,"-",AVERAGEIFS(O12:O301, O12:O301, "&gt;="&amp;O2,O12:O301,"&lt;="&amp;O3))</f>
        <v>426.67084107884784</v>
      </c>
      <c r="Q4" s="511">
        <f ca="1">IF(COUNT(Q12:Q301)=0,"-",AVERAGEIFS(Q12:Q301, Q12:Q301, "&gt;="&amp;Q2,Q12:Q301,"&lt;="&amp;Q3))</f>
        <v>1563.0110531571249</v>
      </c>
      <c r="S4" s="511">
        <f ca="1">IF(COUNT(S12:S301)=0,"-",AVERAGEIFS(S12:S301, S12:S301, "&gt;="&amp;S2,S12:S301,"&lt;="&amp;S3))</f>
        <v>1095.1586665061116</v>
      </c>
      <c r="U4" s="511">
        <f ca="1">IF(COUNT(U12:U301)=0,"-",AVERAGEIFS(U12:U301, U12:U301, "&gt;="&amp;U2,U12:U301,"&lt;="&amp;U3))</f>
        <v>595.41270474827422</v>
      </c>
      <c r="W4" s="511">
        <f ca="1">IF(COUNT(W12:W301)=0,"-",AVERAGEIFS(W12:W301, W12:W301, "&gt;="&amp;W2,W12:W301,"&lt;="&amp;W3))</f>
        <v>259.95166783277898</v>
      </c>
      <c r="Y4" s="511">
        <f ca="1">IF(COUNT(Y12:Y301)=0,"-",AVERAGEIFS(Y12:Y301, Y12:Y301, "&gt;="&amp;Y2,Y12:Y301,"&lt;="&amp;Y3))</f>
        <v>176.11949685534589</v>
      </c>
      <c r="AA4" s="511" t="str">
        <f>IF(COUNT(AA12:AA301)=0,"-",AVERAGEIFS(AA12:AA301, AA12:AA301, "&gt;="&amp;AA2,AA12:AA301,"&lt;="&amp;AA3))</f>
        <v>-</v>
      </c>
      <c r="AC4" s="511">
        <f ca="1">IF(COUNT(AC12:AC301)=0,"-",AVERAGEIFS(AC12:AC301, AC12:AC301, "&gt;="&amp;AC2,AC12:AC301,"&lt;="&amp;AC3))</f>
        <v>4572.550744659743</v>
      </c>
      <c r="AE4" s="511">
        <f ca="1">IF(COUNT(AE12:AE301)=0,"-",AVERAGEIFS(AE12:AE301, AE12:AE301, "&gt;="&amp;AE2,AE12:AE301,"&lt;="&amp;AE3))</f>
        <v>4815.3846153846152</v>
      </c>
      <c r="AG4" s="511" t="str">
        <f>IF(COUNT(AG12:AG301)=0,"-",AVERAGEIFS(AG12:AG301, AG12:AG301, "&gt;="&amp;AG2,AG12:AG301,"&lt;="&amp;AG3))</f>
        <v>-</v>
      </c>
      <c r="AI4" s="511" t="str">
        <f>IF(COUNT(AI12:AI301)=0,"-",AVERAGEIFS(AI12:AI301, AI12:AI301, "&gt;="&amp;AI2,AI12:AI301,"&lt;="&amp;AI3))</f>
        <v>-</v>
      </c>
      <c r="AK4" s="511">
        <f ca="1">IF(COUNT(AK12:AK300)=0,"-",AVERAGEIFS(AK12:AK300, AK12:AK300, "&gt;="&amp;AK2,AK12:AK300,"&lt;="&amp;AK3))</f>
        <v>3724.5891807921421</v>
      </c>
      <c r="AM4" s="511" t="str">
        <f>IF(COUNT(AM12:AM301)=0,"-",AVERAGEIFS(AM12:AM301, AM12:AM301, "&gt;="&amp;AM2,AM12:AM301,"&lt;="&amp;AM3))</f>
        <v>-</v>
      </c>
      <c r="AO4" s="511">
        <f ca="1">IF(COUNT(AO12:AO301)=0,"-",AVERAGEIFS(AO12:AO301, AO12:AO301, "&gt;="&amp;AO2,AO12:AO301,"&lt;="&amp;AO3))</f>
        <v>569.23076923076917</v>
      </c>
      <c r="AQ4" s="511">
        <f ca="1">IF(COUNT(AQ12:AQ300)=0,"-",AVERAGEIFS(AQ12:AQ300, AQ12:AQ300, "&gt;="&amp;AQ2,AQ12:AQ300,"&lt;="&amp;AQ3))</f>
        <v>24217.599861931256</v>
      </c>
    </row>
    <row r="5" spans="1:43" x14ac:dyDescent="0.2">
      <c r="A5" s="1094"/>
      <c r="C5" s="3" t="s">
        <v>137</v>
      </c>
      <c r="E5" s="512">
        <f ca="1">IF(COUNT(E12:E300)=0,"-",SUMIFS(D12:D300,E12:E300,"&gt;="&amp;E2,E12:E300,"&lt;="&amp;E3)/SUMIFS($B12:$B300,E12:E300,"&gt;="&amp;E2,E12:E300,"&lt;="&amp;E3))</f>
        <v>15811.671629781535</v>
      </c>
      <c r="G5" s="512" t="e">
        <f ca="1">IF(COUNT(G12:G301)=0,"-",SUMIFS(F12:F301,G12:G301,"&gt;="&amp;G2,G12:G301,"&lt;="&amp;G3)/SUMIFS($B12:$B300,G12:G301,"&gt;="&amp;G2,G12:G301,"&lt;="&amp;G3))</f>
        <v>#VALUE!</v>
      </c>
      <c r="I5" s="512" t="str">
        <f>IF(COUNT(I12:I301)=0,"-",SUMIFS(H12:H301,I12:I301,"&gt;="&amp;I2,I12:I301,"&lt;="&amp;I3)/SUMIFS($B12:$B300,I12:I301,"&gt;="&amp;I2,I12:I301,"&lt;="&amp;I3))</f>
        <v>-</v>
      </c>
      <c r="K5" s="512" t="e">
        <f ca="1">IF(COUNT(K12:K301)=0,"-",SUMIFS(J12:J301,K12:K301,"&gt;="&amp;K2,K12:K301,"&lt;="&amp;K3)/SUMIFS($B12:$B300,K12:K301,"&gt;="&amp;K2,K12:K301,"&lt;="&amp;K3))</f>
        <v>#VALUE!</v>
      </c>
      <c r="M5" s="512" t="str">
        <f>IF(COUNT(M12:M301)=0,"-",SUMIFS(L12:L301,M12:M301,"&gt;="&amp;M2,M12:M301,"&lt;="&amp;M3)/SUMIFS($B12:$B300,M12:M301,"&gt;="&amp;M2,M12:M301,"&lt;="&amp;M3))</f>
        <v>-</v>
      </c>
      <c r="O5" s="512" t="e">
        <f ca="1">IF(COUNT(O12:O301)=0,"-",SUMIFS(N12:N301,O12:O301,"&gt;="&amp;O2,O12:O301,"&lt;="&amp;O3)/SUMIFS($B12:$B300,O12:O301,"&gt;="&amp;O2,O12:O301,"&lt;="&amp;O3))</f>
        <v>#VALUE!</v>
      </c>
      <c r="Q5" s="512" t="e">
        <f ca="1">IF(COUNT(Q12:Q301)=0,"-",SUMIFS(P12:P301,Q12:Q301,"&gt;="&amp;Q2,Q12:Q301,"&lt;="&amp;Q3)/SUMIFS($B12:$B300,Q12:Q301,"&gt;="&amp;Q2,Q12:Q301,"&lt;="&amp;Q3))</f>
        <v>#VALUE!</v>
      </c>
      <c r="S5" s="512" t="e">
        <f ca="1">IF(COUNT(S12:S301)=0,"-",SUMIFS(R12:R301,S12:S301,"&gt;="&amp;S2,S12:S301,"&lt;="&amp;S3)/SUMIFS($B12:$B300,S12:S301,"&gt;="&amp;S2,S12:S301,"&lt;="&amp;S3))</f>
        <v>#VALUE!</v>
      </c>
      <c r="U5" s="512" t="e">
        <f ca="1">IF(COUNT(U12:U301)=0,"-",SUMIFS(T12:T301,U12:U301,"&gt;="&amp;U2,U12:U301,"&lt;="&amp;U3)/SUMIFS($B12:$B300,U12:U301,"&gt;="&amp;U2,U12:U301,"&lt;="&amp;U3))</f>
        <v>#VALUE!</v>
      </c>
      <c r="W5" s="512" t="e">
        <f ca="1">IF(COUNT(W12:W301)=0,"-",SUMIFS(V12:V301,W12:W301,"&gt;="&amp;W2,W12:W301,"&lt;="&amp;W3)/SUMIFS($B12:$B300,W12:W301,"&gt;="&amp;W2,W12:W301,"&lt;="&amp;W3))</f>
        <v>#VALUE!</v>
      </c>
      <c r="Y5" s="512" t="e">
        <f ca="1">IF(COUNT(Y12:Y301)=0,"-",SUMIFS(X12:X301,Y12:Y301,"&gt;="&amp;Y2,Y12:Y301,"&lt;="&amp;Y3)/SUMIFS($B12:$B300,Y12:Y301,"&gt;="&amp;Y2,Y12:Y301,"&lt;="&amp;Y3))</f>
        <v>#VALUE!</v>
      </c>
      <c r="AA5" s="512" t="str">
        <f>IF(COUNT(AA12:AA301)=0,"-",SUMIFS(Z12:Z301,AA12:AA301,"&gt;="&amp;AA2,AA12:AA301,"&lt;="&amp;AA3)/SUMIFS($B12:$B300,AA12:AA301,"&gt;="&amp;AA2,AA12:AA301,"&lt;="&amp;AA3))</f>
        <v>-</v>
      </c>
      <c r="AC5" s="512" t="e">
        <f ca="1">IF(COUNT(AC12:AC301)=0,"-",SUMIFS(AB12:AB301,AC12:AC301,"&gt;="&amp;AC2,AC12:AC301,"&lt;="&amp;AC3)/SUMIFS($B12:$B300,AC12:AC301,"&gt;="&amp;AC2,AC12:AC301,"&lt;="&amp;AC3))</f>
        <v>#VALUE!</v>
      </c>
      <c r="AE5" s="512" t="e">
        <f ca="1">IF(COUNT(AE12:AE301)=0,"-",SUMIFS(AD12:AD301,AE12:AE301,"&gt;="&amp;AE2,AE12:AE301,"&lt;="&amp;AE3)/SUMIFS($B12:$B300,AE12:AE301,"&gt;="&amp;AE2,AE12:AE301,"&lt;="&amp;AE3))</f>
        <v>#VALUE!</v>
      </c>
      <c r="AG5" s="512" t="str">
        <f>IF(COUNT(AG12:AG301)=0,"-",SUMIFS(AF12:AF301,AG12:AG301,"&gt;="&amp;AG2,AG12:AG301,"&lt;="&amp;AG3)/SUMIFS($B12:$B300,AG12:AG301,"&gt;="&amp;AG2,AG12:AG301,"&lt;="&amp;AG3))</f>
        <v>-</v>
      </c>
      <c r="AI5" s="512" t="str">
        <f>IF(COUNT(AI12:AI301)=0,"-",SUMIFS(AH12:AH301,AI12:AI301,"&gt;="&amp;AI2,AI12:AI301,"&lt;="&amp;AI3)/SUMIFS($B12:$B300,AI12:AI301,"&gt;="&amp;AI2,AI12:AI301,"&lt;="&amp;AI3))</f>
        <v>-</v>
      </c>
      <c r="AK5" s="512">
        <f ca="1">IF(COUNT(AK12:AK300)=0,"-",SUMIFS(AJ12:AJ300,AK12:AK300,"&gt;="&amp;AK2,AK12:AK300,"&lt;="&amp;AK3)/SUMIFS($B12:$B300,AK12:AK300,"&gt;="&amp;AK2,AK12:AK300,"&lt;="&amp;AK3))</f>
        <v>2217.6816986589256</v>
      </c>
      <c r="AM5" s="512" t="str">
        <f>IF(COUNT(AM12:AM301)=0,"-",SUMIFS(AL12:AL301,AM12:AM301,"&gt;="&amp;AM2,AM12:AM301,"&lt;="&amp;AM3)/SUMIFS($B12:$B300,AM12:AM301,"&gt;="&amp;AM2,AM12:AM301,"&lt;="&amp;AM3))</f>
        <v>-</v>
      </c>
      <c r="AO5" s="512" t="e">
        <f ca="1">IF(COUNT(AO12:AO301)=0,"-",SUMIFS(AN12:AN301,AO12:AO301,"&gt;="&amp;AO2,AO12:AO301,"&lt;="&amp;AO3)/SUMIFS($B12:$B300,AO12:AO301,"&gt;="&amp;AO2,AO12:AO301,"&lt;="&amp;AO3))</f>
        <v>#VALUE!</v>
      </c>
      <c r="AQ5" s="512">
        <f ca="1">IF(COUNT(AQ12:AQ300)=0,"-",SUMIFS(AP12:AP300,AQ12:AQ300,"&gt;="&amp;AQ2,AQ12:AQ300,"&lt;="&amp;AQ3)/SUMIFS($B12:$B300,AQ12:AQ300,"&gt;="&amp;AQ2,AQ12:AQ300,"&lt;="&amp;AQ3))</f>
        <v>8930.3120711438696</v>
      </c>
    </row>
    <row r="6" spans="1:43" x14ac:dyDescent="0.2">
      <c r="A6" s="1094"/>
      <c r="C6" s="3" t="s">
        <v>367</v>
      </c>
      <c r="E6" s="513">
        <f ca="1">IF(COUNT(E12:E301)=0,"-",SUMIFS(E12:E301, E12:E301, "&gt;="&amp;E2,E12:E301,"&lt;="&amp;E3)/($A$1-COUNTIF(E12:E301,"&lt;"&amp;E$2)-COUNTIF(E12:E301,"&gt;"&amp;E$3)))</f>
        <v>36064.619950667322</v>
      </c>
      <c r="G6" s="513">
        <f ca="1">IF(COUNT(G12:G301)=0,"-",SUMIFS(G12:G301, G12:G301, "&gt;="&amp;G2,G12:G301,"&lt;="&amp;G3)/($A$1-COUNTIF(G12:G301,"&lt;"&amp;G$2)-COUNTIF(G12:G301,"&gt;"&amp;G$3)))</f>
        <v>6520.1951290975521</v>
      </c>
      <c r="I6" s="513" t="str">
        <f>IF(COUNT(I12:I301)=0,"-",SUMIFS(I12:I301, I12:I301, "&gt;="&amp;I2,I12:I301,"&lt;="&amp;I3)/($A$1-COUNTIF(I12:I301,"&lt;"&amp;I$2)-COUNTIF(I12:I301,"&gt;"&amp;I$3)))</f>
        <v>-</v>
      </c>
      <c r="K6" s="513">
        <f ca="1">IF(COUNT(K12:K301)=0,"-",SUMIFS(K12:K301, K12:K301, "&gt;="&amp;K2,K12:K301,"&lt;="&amp;K3)/($A$1-COUNTIF(K12:K301,"&lt;"&amp;K$2)-COUNTIF(K12:K301,"&gt;"&amp;K$3)))</f>
        <v>12476.784464660603</v>
      </c>
      <c r="M6" s="513" t="str">
        <f>IF(COUNT(M12:M301)=0,"-",SUMIFS(M12:M301, M12:M301, "&gt;="&amp;M2,M12:M301,"&lt;="&amp;M3)/($A$1-COUNTIF(M12:M301,"&lt;"&amp;M$2)-COUNTIF(M12:M301,"&gt;"&amp;M$3)))</f>
        <v>-</v>
      </c>
      <c r="O6" s="513">
        <f ca="1">IF(COUNT(O12:O301)=0,"-",SUMIFS(O12:O301, O12:O301, "&gt;="&amp;O2,O12:O301,"&lt;="&amp;O3)/($A$1-COUNTIF(O12:O301,"&lt;"&amp;O$2)-COUNTIF(O12:O301,"&gt;"&amp;O$3)))</f>
        <v>266.6692756742799</v>
      </c>
      <c r="Q6" s="513">
        <f ca="1">IF(COUNT(Q12:Q301)=0,"-",SUMIFS(Q12:Q301, Q12:Q301, "&gt;="&amp;Q2,Q12:Q301,"&lt;="&amp;Q3)/($A$1-COUNTIF(Q12:Q301,"&lt;"&amp;Q$2)-COUNTIF(Q12:Q301,"&gt;"&amp;Q$3)))</f>
        <v>1367.6346715124844</v>
      </c>
      <c r="S6" s="513">
        <f ca="1">IF(COUNT(S12:S301)=0,"-",SUMIFS(S12:S301, S12:S301, "&gt;="&amp;S2,S12:S301,"&lt;="&amp;S3)/($A$1-COUNTIF(S12:S301,"&lt;"&amp;S$2)-COUNTIF(S12:S301,"&gt;"&amp;S$3)))</f>
        <v>938.70742843380981</v>
      </c>
      <c r="U6" s="513">
        <f ca="1">IF(COUNT(U12:U301)=0,"-",SUMIFS(U12:U301, U12:U301, "&gt;="&amp;U2,U12:U301,"&lt;="&amp;U3)/($A$1-COUNTIF(U12:U301,"&lt;"&amp;U$2)-COUNTIF(U12:U301,"&gt;"&amp;U$3)))</f>
        <v>223.27976428060282</v>
      </c>
      <c r="W6" s="513">
        <f ca="1">IF(COUNT(W12:W301)=0,"-",SUMIFS(W12:W301, W12:W301, "&gt;="&amp;W2,W12:W301,"&lt;="&amp;W3)/($A$1-COUNTIF(W12:W301,"&lt;"&amp;W$2)-COUNTIF(W12:W301,"&gt;"&amp;W$3)))</f>
        <v>97.481875437292118</v>
      </c>
      <c r="Y6" s="513">
        <f ca="1">IF(COUNT(Y12:Y301)=0,"-",SUMIFS(Y12:Y301, Y12:Y301, "&gt;="&amp;Y2,Y12:Y301,"&lt;="&amp;Y3)/($A$1-COUNTIF(Y12:Y301,"&lt;"&amp;Y$2)-COUNTIF(Y12:Y301,"&gt;"&amp;Y$3)))</f>
        <v>22.014937106918236</v>
      </c>
      <c r="AA6" s="513" t="str">
        <f>IF(COUNT(AA12:AA301)=0,"-",SUMIFS(AA12:AA301, AA12:AA301, "&gt;="&amp;AA2,AA12:AA301,"&lt;="&amp;AA3)/($A$1-COUNTIF(AA12:AA301,"&lt;"&amp;AA$2)-COUNTIF(AA12:AA301,"&gt;"&amp;AA$3)))</f>
        <v>-</v>
      </c>
      <c r="AC6" s="513">
        <f ca="1">IF(COUNT(AC12:AC301)=0,"-",SUMIFS(AC12:AC301, AC12:AC301, "&gt;="&amp;AC2,AC12:AC301,"&lt;="&amp;AC3)/($A$1-COUNTIF(AC12:AC301,"&lt;"&amp;AC$2)-COUNTIF(AC12:AC301,"&gt;"&amp;AC$3)))</f>
        <v>2857.8442154123395</v>
      </c>
      <c r="AE6" s="513">
        <f ca="1">IF(COUNT(AE12:AE301)=0,"-",SUMIFS(AE12:AE301, AE12:AE301, "&gt;="&amp;AE2,AE12:AE301,"&lt;="&amp;AE3)/($A$1-COUNTIF(AE12:AE301,"&lt;"&amp;AE$2)-COUNTIF(AE12:AE301,"&gt;"&amp;AE$3)))</f>
        <v>601.92307692307691</v>
      </c>
      <c r="AG6" s="513" t="str">
        <f>IF(COUNT(AG12:AG301)=0,"-",SUMIFS(AG12:AG301, AG12:AG301, "&gt;="&amp;AG2,AG12:AG301,"&lt;="&amp;AG3)/($A$1-COUNTIF(AG12:AG301,"&lt;"&amp;AG$2)-COUNTIF(AG12:AG301,"&gt;"&amp;AG$3)))</f>
        <v>-</v>
      </c>
      <c r="AI6" s="513" t="str">
        <f>IF(COUNT(AI12:AI301)=0,"-",SUMIFS(AI12:AI301, AI12:AI301, "&gt;="&amp;AI2,AI12:AI301,"&lt;="&amp;AI3)/($A$1-COUNTIF(AI12:AI301,"&lt;"&amp;AI$2)-COUNTIF(AI12:AI301,"&gt;"&amp;AI$3)))</f>
        <v>-</v>
      </c>
      <c r="AK6" s="513">
        <f ca="1">IF(COUNT(AK12:AK300)=0,"-",SUMIFS(AK12:AK300, AK12:AK300, "&gt;="&amp;AK2,AK12:AK300,"&lt;="&amp;AK3)/($A$1-COUNTIF(AK12:AK300,"&lt;"&amp;AK$2)-COUNTIF(AK12:AK300,"&gt;"&amp;AK$3)))</f>
        <v>2660.4208434229586</v>
      </c>
      <c r="AM6" s="513" t="str">
        <f>IF(COUNT(AM12:AM301)=0,"-",SUMIFS(AM12:AM301, AM12:AM301, "&gt;="&amp;AM2,AM12:AM301,"&lt;="&amp;AM3)/($A$1-COUNTIF(AM12:AM301,"&lt;"&amp;AM$2)-COUNTIF(AM12:AM301,"&gt;"&amp;AM$3)))</f>
        <v>-</v>
      </c>
      <c r="AO6" s="513">
        <f ca="1">IF(COUNT(AO12:AO301)=0,"-",SUMIFS(AO12:AO301, AO12:AO301, "&gt;="&amp;AO2,AO12:AO301,"&lt;="&amp;AO3)/($A$1-COUNTIF(AO12:AO301,"&lt;"&amp;AO$2)-COUNTIF(AO12:AO301,"&gt;"&amp;AO$3)))</f>
        <v>71.153846153846146</v>
      </c>
      <c r="AQ6" s="513">
        <f ca="1">IF(COUNT(AQ12:AQ300)=0,"-",SUMIFS(AQ12:AQ300, AQ12:AQ300, "&gt;="&amp;AQ2,AQ12:AQ300,"&lt;="&amp;AQ3)/($A$1-COUNTIF(AQ12:AQ300,"&lt;"&amp;AQ$2)-COUNTIF(AQ12:AQ300,"&gt;"&amp;AQ$3)))</f>
        <v>24217.599861931256</v>
      </c>
    </row>
    <row r="9" spans="1:43" x14ac:dyDescent="0.2">
      <c r="D9" s="33" t="s">
        <v>138</v>
      </c>
      <c r="E9" s="572"/>
      <c r="F9" s="33" t="s">
        <v>456</v>
      </c>
      <c r="G9" s="572"/>
      <c r="H9" s="33" t="s">
        <v>457</v>
      </c>
      <c r="I9" s="572"/>
      <c r="J9" s="33" t="s">
        <v>458</v>
      </c>
      <c r="K9" s="572"/>
      <c r="L9" s="33" t="s">
        <v>459</v>
      </c>
      <c r="M9" s="572"/>
      <c r="N9" s="33" t="s">
        <v>139</v>
      </c>
      <c r="O9" s="572"/>
      <c r="P9" s="33" t="s">
        <v>460</v>
      </c>
      <c r="Q9" s="572"/>
      <c r="R9" s="33" t="s">
        <v>461</v>
      </c>
      <c r="S9" s="572"/>
      <c r="T9" s="33" t="s">
        <v>462</v>
      </c>
      <c r="U9" s="572"/>
      <c r="V9" s="33" t="s">
        <v>463</v>
      </c>
      <c r="W9" s="572"/>
      <c r="X9" s="33" t="s">
        <v>464</v>
      </c>
      <c r="Y9" s="572"/>
      <c r="Z9" s="33" t="s">
        <v>140</v>
      </c>
      <c r="AA9" s="572"/>
      <c r="AB9" s="33" t="s">
        <v>141</v>
      </c>
      <c r="AC9" s="572"/>
      <c r="AD9" s="33" t="s">
        <v>465</v>
      </c>
      <c r="AE9" s="572"/>
      <c r="AF9" s="33" t="s">
        <v>466</v>
      </c>
      <c r="AG9" s="572"/>
      <c r="AH9" s="33" t="s">
        <v>467</v>
      </c>
      <c r="AI9" s="572"/>
      <c r="AJ9" s="33" t="s">
        <v>142</v>
      </c>
      <c r="AK9" s="572"/>
      <c r="AL9" s="33" t="s">
        <v>468</v>
      </c>
      <c r="AM9" s="572"/>
      <c r="AN9" s="33" t="s">
        <v>469</v>
      </c>
      <c r="AO9" s="572"/>
      <c r="AP9" s="33" t="s">
        <v>470</v>
      </c>
      <c r="AQ9" s="572"/>
    </row>
    <row r="10" spans="1:43" ht="51" x14ac:dyDescent="0.2">
      <c r="A10" s="34"/>
      <c r="B10" s="34"/>
      <c r="D10" s="34" t="s">
        <v>145</v>
      </c>
      <c r="E10" s="573" t="str">
        <f>D10&amp;"
per FTE"</f>
        <v>Total Occupancy
per FTE</v>
      </c>
      <c r="F10" s="34" t="s">
        <v>471</v>
      </c>
      <c r="G10" s="573" t="str">
        <f>F10&amp;"
per FTE"</f>
        <v>Direct Care Consultant 201
per FTE</v>
      </c>
      <c r="H10" s="34" t="s">
        <v>472</v>
      </c>
      <c r="I10" s="573" t="str">
        <f>H10&amp;"
per FTE"</f>
        <v>Temporary Help 202
per FTE</v>
      </c>
      <c r="J10" s="34" t="s">
        <v>473</v>
      </c>
      <c r="K10" s="573" t="str">
        <f>J10&amp;"
per FTE"</f>
        <v>Clients and Caregivers Reimb./Stipends 203
per FTE</v>
      </c>
      <c r="L10" s="34" t="s">
        <v>474</v>
      </c>
      <c r="M10" s="573" t="str">
        <f>L10&amp;"
per FTE"</f>
        <v>Subcontracted Direct Care 206
per FTE</v>
      </c>
      <c r="N10" s="34" t="s">
        <v>146</v>
      </c>
      <c r="O10" s="573" t="str">
        <f>N10&amp;"
per FTE"</f>
        <v>Staff Training 204
per FTE</v>
      </c>
      <c r="P10" s="34" t="s">
        <v>475</v>
      </c>
      <c r="Q10" s="573" t="str">
        <f>P10&amp;"
per FTE"</f>
        <v>Staff Mileage / Travel 205
per FTE</v>
      </c>
      <c r="R10" s="34" t="s">
        <v>476</v>
      </c>
      <c r="S10" s="573" t="str">
        <f>R10&amp;"
per FTE"</f>
        <v>Meals 207
per FTE</v>
      </c>
      <c r="T10" s="34" t="s">
        <v>477</v>
      </c>
      <c r="U10" s="573" t="str">
        <f>T10&amp;"
per FTE"</f>
        <v>Client Transportation 208
per FTE</v>
      </c>
      <c r="V10" s="34" t="s">
        <v>478</v>
      </c>
      <c r="W10" s="573" t="str">
        <f>V10&amp;"
per FTE"</f>
        <v>Vehicle Expenses 208
per FTE</v>
      </c>
      <c r="X10" s="34" t="s">
        <v>479</v>
      </c>
      <c r="Y10" s="573" t="str">
        <f>X10&amp;"
per FTE"</f>
        <v>Vehicle Depreciation 208
per FTE</v>
      </c>
      <c r="Z10" s="34" t="s">
        <v>147</v>
      </c>
      <c r="AA10" s="573" t="str">
        <f>Z10&amp;"
per FTE"</f>
        <v>Incidental Medical /Medicine/Pharmacy 209
per FTE</v>
      </c>
      <c r="AB10" s="34" t="s">
        <v>148</v>
      </c>
      <c r="AC10" s="573" t="str">
        <f>AB10&amp;"
per FTE"</f>
        <v>Client Personal Allowances 211
per FTE</v>
      </c>
      <c r="AD10" s="34" t="s">
        <v>480</v>
      </c>
      <c r="AE10" s="573" t="str">
        <f>AD10&amp;"
per FTE"</f>
        <v>Provision Material Goods/Svs./Benefits 212
per FTE</v>
      </c>
      <c r="AF10" s="34" t="s">
        <v>481</v>
      </c>
      <c r="AG10" s="573" t="str">
        <f>AF10&amp;"
per FTE"</f>
        <v>Direct Client Wages 214
per FTE</v>
      </c>
      <c r="AH10" s="34" t="s">
        <v>482</v>
      </c>
      <c r="AI10" s="573" t="str">
        <f>AH10&amp;"
per FTE"</f>
        <v>Other Commercial Prod. &amp; Svs. 214
per FTE</v>
      </c>
      <c r="AJ10" s="34" t="s">
        <v>149</v>
      </c>
      <c r="AK10" s="573" t="str">
        <f>AJ10&amp;"
per FTE"</f>
        <v>Program Supplies &amp; Materials 215
per FTE</v>
      </c>
      <c r="AL10" s="34" t="s">
        <v>483</v>
      </c>
      <c r="AM10" s="573" t="str">
        <f>AL10&amp;"
per FTE"</f>
        <v>Non Charitable Expenses
per FTE</v>
      </c>
      <c r="AN10" s="34" t="s">
        <v>484</v>
      </c>
      <c r="AO10" s="573" t="str">
        <f>AN10&amp;"
per FTE"</f>
        <v>Other Expense
per FTE</v>
      </c>
      <c r="AP10" s="34" t="s">
        <v>485</v>
      </c>
      <c r="AQ10" s="573" t="str">
        <f>AP10&amp;"
per FTE"</f>
        <v>Total Other Program Expense
per FTE</v>
      </c>
    </row>
    <row r="11" spans="1:43" x14ac:dyDescent="0.2">
      <c r="A11" s="33" t="s">
        <v>143</v>
      </c>
      <c r="B11" s="33" t="s">
        <v>144</v>
      </c>
      <c r="D11" s="33" t="s">
        <v>151</v>
      </c>
      <c r="E11" s="572"/>
      <c r="F11" s="33" t="s">
        <v>151</v>
      </c>
      <c r="G11" s="572"/>
      <c r="H11" s="33" t="s">
        <v>151</v>
      </c>
      <c r="I11" s="572"/>
      <c r="J11" s="33" t="s">
        <v>151</v>
      </c>
      <c r="K11" s="572"/>
      <c r="L11" s="33" t="s">
        <v>151</v>
      </c>
      <c r="M11" s="572"/>
      <c r="N11" s="33" t="s">
        <v>151</v>
      </c>
      <c r="O11" s="572"/>
      <c r="P11" s="33" t="s">
        <v>151</v>
      </c>
      <c r="Q11" s="572"/>
      <c r="R11" s="33" t="s">
        <v>151</v>
      </c>
      <c r="S11" s="572"/>
      <c r="T11" s="33" t="s">
        <v>151</v>
      </c>
      <c r="U11" s="572"/>
      <c r="V11" s="33" t="s">
        <v>151</v>
      </c>
      <c r="W11" s="572"/>
      <c r="X11" s="33" t="s">
        <v>151</v>
      </c>
      <c r="Y11" s="572"/>
      <c r="Z11" s="33" t="s">
        <v>151</v>
      </c>
      <c r="AA11" s="572"/>
      <c r="AB11" s="33" t="s">
        <v>151</v>
      </c>
      <c r="AC11" s="572"/>
      <c r="AD11" s="33" t="s">
        <v>151</v>
      </c>
      <c r="AE11" s="572"/>
      <c r="AF11" s="33" t="s">
        <v>151</v>
      </c>
      <c r="AG11" s="572"/>
      <c r="AH11" s="33" t="s">
        <v>151</v>
      </c>
      <c r="AI11" s="572"/>
      <c r="AJ11" s="33" t="s">
        <v>151</v>
      </c>
      <c r="AK11" s="572"/>
      <c r="AL11" s="33" t="s">
        <v>151</v>
      </c>
      <c r="AM11" s="572"/>
      <c r="AN11" s="33" t="s">
        <v>151</v>
      </c>
      <c r="AO11" s="572"/>
      <c r="AP11" s="33" t="s">
        <v>151</v>
      </c>
      <c r="AQ11" s="572"/>
    </row>
    <row r="12" spans="1:43" x14ac:dyDescent="0.2">
      <c r="A12" s="33" t="s">
        <v>377</v>
      </c>
      <c r="B12" s="33">
        <v>1.59</v>
      </c>
      <c r="D12" s="574">
        <v>124107.86</v>
      </c>
      <c r="E12" s="575">
        <f>IF(OR($B12=0,D12=0),"",D12/$B12)</f>
        <v>78055.257861635211</v>
      </c>
      <c r="G12" s="576" t="str">
        <f>IF(OR($B12=0,F12=0),"",F12/$B12)</f>
        <v/>
      </c>
      <c r="I12" s="576" t="str">
        <f>IF(OR($B12=0,H12=0),"",H12/$B12)</f>
        <v/>
      </c>
      <c r="K12" s="576" t="str">
        <f>IF(OR($B12=0,J12=0),"",J12/$B12)</f>
        <v/>
      </c>
      <c r="M12" s="576" t="str">
        <f>IF(OR($B12=0,L12=0),"",L12/$B12)</f>
        <v/>
      </c>
      <c r="N12" s="33">
        <v>174</v>
      </c>
      <c r="O12" s="576">
        <f>IF(OR($B12=0,N12=0),"",N12/$B12)</f>
        <v>109.43396226415094</v>
      </c>
      <c r="P12" s="33">
        <v>1434.29</v>
      </c>
      <c r="Q12" s="576">
        <f>IF(OR($B12=0,P12=0),"",P12/$B12)</f>
        <v>902.06918238993705</v>
      </c>
      <c r="R12" s="33">
        <v>93.51</v>
      </c>
      <c r="S12" s="576">
        <f>IF(OR($B12=0,R12=0),"",R12/$B12)</f>
        <v>58.811320754716981</v>
      </c>
      <c r="U12" s="576" t="str">
        <f>IF(OR($B12=0,T12=0),"",T12/$B12)</f>
        <v/>
      </c>
      <c r="V12" s="33">
        <v>539.33000000000004</v>
      </c>
      <c r="W12" s="576">
        <f>IF(OR($B12=0,V12=0),"",V12/$B12)</f>
        <v>339.20125786163521</v>
      </c>
      <c r="X12" s="33">
        <v>280.02999999999997</v>
      </c>
      <c r="Y12" s="576">
        <f>IF(OR($B12=0,X12=0),"",X12/$B12)</f>
        <v>176.11949685534589</v>
      </c>
      <c r="AA12" s="576" t="str">
        <f>IF(OR($B12=0,Z12=0),"",Z12/$B12)</f>
        <v/>
      </c>
      <c r="AB12" s="33">
        <v>13456</v>
      </c>
      <c r="AC12" s="576">
        <f>IF(OR($B12=0,AB12=0),"",AB12/$B12)</f>
        <v>8462.8930817610053</v>
      </c>
      <c r="AE12" s="576" t="str">
        <f>IF(OR($B12=0,AD12=0),"",AD12/$B12)</f>
        <v/>
      </c>
      <c r="AG12" s="576" t="str">
        <f>IF(OR($B12=0,AF12=0),"",AF12/$B12)</f>
        <v/>
      </c>
      <c r="AI12" s="576" t="str">
        <f>IF(OR($B12=0,AH12=0),"",AH12/$B12)</f>
        <v/>
      </c>
      <c r="AJ12" s="33">
        <v>22888.83</v>
      </c>
      <c r="AK12" s="576">
        <f>IF(OR($B12=0,AJ12=0),"",AJ12/$B12)</f>
        <v>14395.490566037735</v>
      </c>
      <c r="AM12" s="576" t="str">
        <f>IF(OR($B12=0,AL12=0),"",AL12/$B12)</f>
        <v/>
      </c>
      <c r="AO12" s="576" t="str">
        <f>IF(OR($B12=0,AN12=0),"",AN12/$B12)</f>
        <v/>
      </c>
      <c r="AP12" s="574">
        <v>38865.99</v>
      </c>
      <c r="AQ12" s="576">
        <f>IF(OR($B12=0,AP12=0),"",AP12/$B12)</f>
        <v>24444.018867924526</v>
      </c>
    </row>
    <row r="13" spans="1:43" x14ac:dyDescent="0.2">
      <c r="A13" s="33" t="s">
        <v>401</v>
      </c>
      <c r="B13" s="33">
        <v>0.111</v>
      </c>
      <c r="D13" s="574">
        <v>6916</v>
      </c>
      <c r="E13" s="575">
        <f t="shared" ref="E13:G27" si="0">IF(OR($B13=0,D13=0),"",D13/$B13)</f>
        <v>62306.306306306309</v>
      </c>
      <c r="G13" s="576" t="str">
        <f t="shared" si="0"/>
        <v/>
      </c>
      <c r="I13" s="576" t="str">
        <f t="shared" ref="I13:I27" si="1">IF(OR($B13=0,H13=0),"",H13/$B13)</f>
        <v/>
      </c>
      <c r="K13" s="576" t="str">
        <f t="shared" ref="K13:K27" si="2">IF(OR($B13=0,J13=0),"",J13/$B13)</f>
        <v/>
      </c>
      <c r="M13" s="576" t="str">
        <f t="shared" ref="M13:M27" si="3">IF(OR($B13=0,L13=0),"",L13/$B13)</f>
        <v/>
      </c>
      <c r="N13" s="33">
        <v>23</v>
      </c>
      <c r="O13" s="576">
        <f t="shared" ref="O13:O29" si="4">IF(OR($B13=0,N13=0),"",N13/$B13)</f>
        <v>207.2072072072072</v>
      </c>
      <c r="P13" s="33">
        <v>190</v>
      </c>
      <c r="Q13" s="576">
        <f t="shared" ref="Q13:Q29" si="5">IF(OR($B13=0,P13=0),"",P13/$B13)</f>
        <v>1711.7117117117116</v>
      </c>
      <c r="R13" s="33">
        <v>33</v>
      </c>
      <c r="S13" s="576">
        <f t="shared" ref="S13:S29" si="6">IF(OR($B13=0,R13=0),"",R13/$B13)</f>
        <v>297.29729729729729</v>
      </c>
      <c r="T13" s="33">
        <v>30</v>
      </c>
      <c r="U13" s="576">
        <f t="shared" ref="U13:U29" si="7">IF(OR($B13=0,T13=0),"",T13/$B13)</f>
        <v>270.27027027027026</v>
      </c>
      <c r="W13" s="576" t="str">
        <f t="shared" ref="W13:W29" si="8">IF(OR($B13=0,V13=0),"",V13/$B13)</f>
        <v/>
      </c>
      <c r="Y13" s="576" t="str">
        <f t="shared" ref="Y13:Y29" si="9">IF(OR($B13=0,X13=0),"",X13/$B13)</f>
        <v/>
      </c>
      <c r="AA13" s="576" t="str">
        <f t="shared" ref="AA13:AA29" si="10">IF(OR($B13=0,Z13=0),"",Z13/$B13)</f>
        <v/>
      </c>
      <c r="AB13" s="33">
        <v>1016</v>
      </c>
      <c r="AC13" s="576">
        <f t="shared" ref="AC13:AC29" si="11">IF(OR($B13=0,AB13=0),"",AB13/$B13)</f>
        <v>9153.1531531531527</v>
      </c>
      <c r="AE13" s="576" t="str">
        <f t="shared" ref="AE13:AE29" si="12">IF(OR($B13=0,AD13=0),"",AD13/$B13)</f>
        <v/>
      </c>
      <c r="AG13" s="576" t="str">
        <f t="shared" ref="AG13:AG29" si="13">IF(OR($B13=0,AF13=0),"",AF13/$B13)</f>
        <v/>
      </c>
      <c r="AI13" s="576" t="str">
        <f t="shared" ref="AI13:AI29" si="14">IF(OR($B13=0,AH13=0),"",AH13/$B13)</f>
        <v/>
      </c>
      <c r="AJ13" s="33">
        <v>58</v>
      </c>
      <c r="AK13" s="576">
        <f t="shared" ref="AK13:AK29" si="15">IF(OR($B13=0,AJ13=0),"",AJ13/$B13)</f>
        <v>522.52252252252254</v>
      </c>
      <c r="AM13" s="576" t="str">
        <f t="shared" ref="AM13:AM29" si="16">IF(OR($B13=0,AL13=0),"",AL13/$B13)</f>
        <v/>
      </c>
      <c r="AO13" s="576" t="str">
        <f t="shared" ref="AO13:AO29" si="17">IF(OR($B13=0,AN13=0),"",AN13/$B13)</f>
        <v/>
      </c>
      <c r="AP13" s="574">
        <v>1350</v>
      </c>
      <c r="AQ13" s="576">
        <f t="shared" ref="AQ13:AQ29" si="18">IF(OR($B13=0,AP13=0),"",AP13/$B13)</f>
        <v>12162.162162162162</v>
      </c>
    </row>
    <row r="14" spans="1:43" x14ac:dyDescent="0.2">
      <c r="B14" s="33">
        <v>16.812473514227801</v>
      </c>
      <c r="D14" s="574">
        <v>232540</v>
      </c>
      <c r="E14" s="575">
        <f t="shared" si="0"/>
        <v>13831.397254140484</v>
      </c>
      <c r="F14" s="33">
        <v>3654</v>
      </c>
      <c r="G14" s="576">
        <f t="shared" si="0"/>
        <v>217.3386323498294</v>
      </c>
      <c r="I14" s="576" t="str">
        <f t="shared" si="1"/>
        <v/>
      </c>
      <c r="K14" s="576" t="str">
        <f t="shared" si="2"/>
        <v/>
      </c>
      <c r="M14" s="576" t="str">
        <f t="shared" si="3"/>
        <v/>
      </c>
      <c r="N14" s="33">
        <v>166</v>
      </c>
      <c r="O14" s="576">
        <f t="shared" si="4"/>
        <v>9.8736215024826706</v>
      </c>
      <c r="P14" s="33">
        <v>408</v>
      </c>
      <c r="Q14" s="576">
        <f t="shared" si="5"/>
        <v>24.267696222969455</v>
      </c>
      <c r="R14" s="33">
        <v>23068</v>
      </c>
      <c r="S14" s="576">
        <f t="shared" si="6"/>
        <v>1372.0765109594593</v>
      </c>
      <c r="T14" s="33">
        <v>10120</v>
      </c>
      <c r="U14" s="576">
        <f t="shared" si="7"/>
        <v>601.93403376581102</v>
      </c>
      <c r="W14" s="576" t="str">
        <f t="shared" si="8"/>
        <v/>
      </c>
      <c r="Y14" s="576" t="str">
        <f t="shared" si="9"/>
        <v/>
      </c>
      <c r="AA14" s="576" t="str">
        <f t="shared" si="10"/>
        <v/>
      </c>
      <c r="AB14" s="33">
        <v>8678</v>
      </c>
      <c r="AC14" s="576">
        <f t="shared" si="11"/>
        <v>516.16438191894349</v>
      </c>
      <c r="AE14" s="576" t="str">
        <f t="shared" si="12"/>
        <v/>
      </c>
      <c r="AG14" s="576" t="str">
        <f t="shared" si="13"/>
        <v/>
      </c>
      <c r="AI14" s="576" t="str">
        <f t="shared" si="14"/>
        <v/>
      </c>
      <c r="AJ14" s="33">
        <v>19106</v>
      </c>
      <c r="AK14" s="576">
        <f t="shared" si="15"/>
        <v>1136.4181471471923</v>
      </c>
      <c r="AM14" s="576" t="str">
        <f t="shared" si="16"/>
        <v/>
      </c>
      <c r="AO14" s="576" t="str">
        <f t="shared" si="17"/>
        <v/>
      </c>
      <c r="AP14" s="574">
        <v>65200</v>
      </c>
      <c r="AQ14" s="576">
        <f t="shared" si="18"/>
        <v>3878.0730238666874</v>
      </c>
    </row>
    <row r="15" spans="1:43" x14ac:dyDescent="0.2">
      <c r="A15" s="33" t="s">
        <v>402</v>
      </c>
      <c r="B15" s="33">
        <v>0.7</v>
      </c>
      <c r="D15" s="574">
        <v>31338</v>
      </c>
      <c r="E15" s="575">
        <f t="shared" si="0"/>
        <v>44768.571428571435</v>
      </c>
      <c r="G15" s="576" t="str">
        <f t="shared" si="0"/>
        <v/>
      </c>
      <c r="I15" s="576" t="str">
        <f t="shared" si="1"/>
        <v/>
      </c>
      <c r="K15" s="576" t="str">
        <f t="shared" si="2"/>
        <v/>
      </c>
      <c r="M15" s="576" t="str">
        <f t="shared" si="3"/>
        <v/>
      </c>
      <c r="O15" s="576" t="str">
        <f t="shared" si="4"/>
        <v/>
      </c>
      <c r="P15" s="33">
        <v>2760</v>
      </c>
      <c r="Q15" s="576">
        <f t="shared" si="5"/>
        <v>3942.8571428571431</v>
      </c>
      <c r="R15" s="33">
        <v>1941</v>
      </c>
      <c r="S15" s="576">
        <f t="shared" si="6"/>
        <v>2772.8571428571431</v>
      </c>
      <c r="U15" s="576" t="str">
        <f t="shared" si="7"/>
        <v/>
      </c>
      <c r="V15" s="33">
        <v>25</v>
      </c>
      <c r="W15" s="576">
        <f t="shared" si="8"/>
        <v>35.714285714285715</v>
      </c>
      <c r="Y15" s="576" t="str">
        <f t="shared" si="9"/>
        <v/>
      </c>
      <c r="AA15" s="576" t="str">
        <f t="shared" si="10"/>
        <v/>
      </c>
      <c r="AC15" s="576" t="str">
        <f t="shared" si="11"/>
        <v/>
      </c>
      <c r="AE15" s="576" t="str">
        <f t="shared" si="12"/>
        <v/>
      </c>
      <c r="AG15" s="576" t="str">
        <f t="shared" si="13"/>
        <v/>
      </c>
      <c r="AI15" s="576" t="str">
        <f t="shared" si="14"/>
        <v/>
      </c>
      <c r="AK15" s="576" t="str">
        <f t="shared" si="15"/>
        <v/>
      </c>
      <c r="AM15" s="576" t="str">
        <f t="shared" si="16"/>
        <v/>
      </c>
      <c r="AO15" s="576" t="str">
        <f t="shared" si="17"/>
        <v/>
      </c>
      <c r="AP15" s="574">
        <v>4726</v>
      </c>
      <c r="AQ15" s="576">
        <f t="shared" si="18"/>
        <v>6751.4285714285716</v>
      </c>
    </row>
    <row r="16" spans="1:43" x14ac:dyDescent="0.2">
      <c r="A16" s="33" t="s">
        <v>521</v>
      </c>
      <c r="B16" s="33">
        <v>1.0003</v>
      </c>
      <c r="D16" s="574">
        <v>3083.26</v>
      </c>
      <c r="E16" s="575">
        <f t="shared" si="0"/>
        <v>3082.3352994101774</v>
      </c>
      <c r="F16" s="33">
        <v>626</v>
      </c>
      <c r="G16" s="576">
        <f t="shared" si="0"/>
        <v>625.81225632310304</v>
      </c>
      <c r="I16" s="576" t="str">
        <f t="shared" si="1"/>
        <v/>
      </c>
      <c r="J16" s="33">
        <v>99844.22</v>
      </c>
      <c r="K16" s="576">
        <f t="shared" si="2"/>
        <v>99814.275717284821</v>
      </c>
      <c r="M16" s="576" t="str">
        <f t="shared" si="3"/>
        <v/>
      </c>
      <c r="N16" s="33">
        <v>1873.53</v>
      </c>
      <c r="O16" s="576">
        <f t="shared" si="4"/>
        <v>1872.9681095671299</v>
      </c>
      <c r="P16" s="33">
        <v>2199.77</v>
      </c>
      <c r="Q16" s="576">
        <f t="shared" si="5"/>
        <v>2199.110266919924</v>
      </c>
      <c r="S16" s="576" t="str">
        <f t="shared" si="6"/>
        <v/>
      </c>
      <c r="U16" s="576" t="str">
        <f t="shared" si="7"/>
        <v/>
      </c>
      <c r="W16" s="576" t="str">
        <f t="shared" si="8"/>
        <v/>
      </c>
      <c r="Y16" s="576" t="str">
        <f t="shared" si="9"/>
        <v/>
      </c>
      <c r="AA16" s="576" t="str">
        <f t="shared" si="10"/>
        <v/>
      </c>
      <c r="AC16" s="576" t="str">
        <f t="shared" si="11"/>
        <v/>
      </c>
      <c r="AE16" s="576" t="str">
        <f t="shared" si="12"/>
        <v/>
      </c>
      <c r="AG16" s="576" t="str">
        <f t="shared" si="13"/>
        <v/>
      </c>
      <c r="AI16" s="576" t="str">
        <f t="shared" si="14"/>
        <v/>
      </c>
      <c r="AJ16" s="33">
        <v>267</v>
      </c>
      <c r="AK16" s="576">
        <f t="shared" si="15"/>
        <v>266.91992402279317</v>
      </c>
      <c r="AM16" s="576" t="str">
        <f t="shared" si="16"/>
        <v/>
      </c>
      <c r="AO16" s="576" t="str">
        <f t="shared" si="17"/>
        <v/>
      </c>
      <c r="AP16" s="574">
        <v>104810.52</v>
      </c>
      <c r="AQ16" s="576">
        <f t="shared" si="18"/>
        <v>104779.08627411777</v>
      </c>
    </row>
    <row r="17" spans="1:43" x14ac:dyDescent="0.2">
      <c r="A17" s="33" t="s">
        <v>152</v>
      </c>
      <c r="B17" s="33">
        <v>11.386887316152</v>
      </c>
      <c r="D17" s="574">
        <v>85909</v>
      </c>
      <c r="E17" s="575">
        <f t="shared" si="0"/>
        <v>7544.555207650149</v>
      </c>
      <c r="F17" s="33">
        <v>560</v>
      </c>
      <c r="G17" s="576">
        <f t="shared" si="0"/>
        <v>49.179374876719358</v>
      </c>
      <c r="I17" s="576" t="str">
        <f t="shared" si="1"/>
        <v/>
      </c>
      <c r="K17" s="576" t="str">
        <f t="shared" si="2"/>
        <v/>
      </c>
      <c r="M17" s="576" t="str">
        <f t="shared" si="3"/>
        <v/>
      </c>
      <c r="N17" s="33">
        <v>-753</v>
      </c>
      <c r="O17" s="576">
        <f t="shared" si="4"/>
        <v>-66.128695146731559</v>
      </c>
      <c r="P17" s="33">
        <v>1413</v>
      </c>
      <c r="Q17" s="576">
        <f t="shared" si="5"/>
        <v>124.09010125143652</v>
      </c>
      <c r="R17" s="33">
        <v>21818</v>
      </c>
      <c r="S17" s="576">
        <f t="shared" si="6"/>
        <v>1916.063573321898</v>
      </c>
      <c r="T17" s="33">
        <v>10408</v>
      </c>
      <c r="U17" s="576">
        <f t="shared" si="7"/>
        <v>914.03381020874122</v>
      </c>
      <c r="V17" s="33">
        <v>4611</v>
      </c>
      <c r="W17" s="576">
        <f t="shared" si="8"/>
        <v>404.93945992241601</v>
      </c>
      <c r="Y17" s="576" t="str">
        <f t="shared" si="9"/>
        <v/>
      </c>
      <c r="AA17" s="576" t="str">
        <f t="shared" si="10"/>
        <v/>
      </c>
      <c r="AB17" s="33">
        <v>537</v>
      </c>
      <c r="AC17" s="576">
        <f t="shared" si="11"/>
        <v>47.159507694282667</v>
      </c>
      <c r="AE17" s="576" t="str">
        <f t="shared" si="12"/>
        <v/>
      </c>
      <c r="AG17" s="576" t="str">
        <f t="shared" si="13"/>
        <v/>
      </c>
      <c r="AI17" s="576" t="str">
        <f t="shared" si="14"/>
        <v/>
      </c>
      <c r="AJ17" s="33">
        <v>26208</v>
      </c>
      <c r="AK17" s="576">
        <f t="shared" si="15"/>
        <v>2301.5947442304659</v>
      </c>
      <c r="AM17" s="576" t="str">
        <f t="shared" si="16"/>
        <v/>
      </c>
      <c r="AO17" s="576" t="str">
        <f t="shared" si="17"/>
        <v/>
      </c>
      <c r="AP17" s="574">
        <v>64802</v>
      </c>
      <c r="AQ17" s="576">
        <f t="shared" si="18"/>
        <v>5690.9318763592282</v>
      </c>
    </row>
    <row r="18" spans="1:43" x14ac:dyDescent="0.2">
      <c r="B18" s="33">
        <v>0.84831829727599195</v>
      </c>
      <c r="D18" s="574">
        <v>24769</v>
      </c>
      <c r="E18" s="575">
        <f t="shared" si="0"/>
        <v>29197.767016855527</v>
      </c>
      <c r="G18" s="576" t="str">
        <f t="shared" si="0"/>
        <v/>
      </c>
      <c r="I18" s="576" t="str">
        <f t="shared" si="1"/>
        <v/>
      </c>
      <c r="K18" s="576" t="str">
        <f t="shared" si="2"/>
        <v/>
      </c>
      <c r="M18" s="576" t="str">
        <f t="shared" si="3"/>
        <v/>
      </c>
      <c r="O18" s="576" t="str">
        <f t="shared" si="4"/>
        <v/>
      </c>
      <c r="P18" s="33">
        <v>1728</v>
      </c>
      <c r="Q18" s="576">
        <f t="shared" si="5"/>
        <v>2036.971270746754</v>
      </c>
      <c r="R18" s="33">
        <v>4324</v>
      </c>
      <c r="S18" s="576">
        <f t="shared" si="6"/>
        <v>5097.1433881417615</v>
      </c>
      <c r="U18" s="576" t="str">
        <f t="shared" si="7"/>
        <v/>
      </c>
      <c r="W18" s="576" t="str">
        <f t="shared" si="8"/>
        <v/>
      </c>
      <c r="Y18" s="576" t="str">
        <f t="shared" si="9"/>
        <v/>
      </c>
      <c r="AA18" s="576" t="str">
        <f t="shared" si="10"/>
        <v/>
      </c>
      <c r="AB18" s="33">
        <v>3973</v>
      </c>
      <c r="AC18" s="576">
        <f t="shared" si="11"/>
        <v>4683.3835987713273</v>
      </c>
      <c r="AE18" s="576" t="str">
        <f t="shared" si="12"/>
        <v/>
      </c>
      <c r="AG18" s="576" t="str">
        <f t="shared" si="13"/>
        <v/>
      </c>
      <c r="AI18" s="576" t="str">
        <f t="shared" si="14"/>
        <v/>
      </c>
      <c r="AK18" s="576" t="str">
        <f t="shared" si="15"/>
        <v/>
      </c>
      <c r="AM18" s="576" t="str">
        <f t="shared" si="16"/>
        <v/>
      </c>
      <c r="AO18" s="576" t="str">
        <f t="shared" si="17"/>
        <v/>
      </c>
      <c r="AP18" s="574">
        <v>10025</v>
      </c>
      <c r="AQ18" s="576">
        <f t="shared" si="18"/>
        <v>11817.498257659843</v>
      </c>
    </row>
    <row r="19" spans="1:43" x14ac:dyDescent="0.2">
      <c r="A19" s="33" t="s">
        <v>522</v>
      </c>
      <c r="B19" s="33">
        <v>0.13</v>
      </c>
      <c r="D19" s="574">
        <v>6465</v>
      </c>
      <c r="E19" s="575">
        <f t="shared" si="0"/>
        <v>49730.769230769227</v>
      </c>
      <c r="F19" s="33">
        <v>6665</v>
      </c>
      <c r="G19" s="576">
        <f t="shared" si="0"/>
        <v>51269.230769230766</v>
      </c>
      <c r="I19" s="576" t="str">
        <f t="shared" si="1"/>
        <v/>
      </c>
      <c r="K19" s="576" t="str">
        <f t="shared" si="2"/>
        <v/>
      </c>
      <c r="M19" s="576" t="str">
        <f t="shared" si="3"/>
        <v/>
      </c>
      <c r="O19" s="576" t="str">
        <f t="shared" si="4"/>
        <v/>
      </c>
      <c r="Q19" s="576" t="str">
        <f t="shared" si="5"/>
        <v/>
      </c>
      <c r="R19" s="33">
        <v>20</v>
      </c>
      <c r="S19" s="576">
        <f t="shared" si="6"/>
        <v>153.84615384615384</v>
      </c>
      <c r="U19" s="576" t="str">
        <f t="shared" si="7"/>
        <v/>
      </c>
      <c r="W19" s="576" t="str">
        <f t="shared" si="8"/>
        <v/>
      </c>
      <c r="Y19" s="576" t="str">
        <f t="shared" si="9"/>
        <v/>
      </c>
      <c r="AA19" s="576" t="str">
        <f t="shared" si="10"/>
        <v/>
      </c>
      <c r="AC19" s="576" t="str">
        <f t="shared" si="11"/>
        <v/>
      </c>
      <c r="AD19" s="33">
        <v>626</v>
      </c>
      <c r="AE19" s="576">
        <f t="shared" si="12"/>
        <v>4815.3846153846152</v>
      </c>
      <c r="AG19" s="576" t="str">
        <f t="shared" si="13"/>
        <v/>
      </c>
      <c r="AI19" s="576" t="str">
        <f t="shared" si="14"/>
        <v/>
      </c>
      <c r="AJ19" s="33">
        <v>14046</v>
      </c>
      <c r="AK19" s="576">
        <f t="shared" si="15"/>
        <v>108046.15384615384</v>
      </c>
      <c r="AM19" s="576" t="str">
        <f t="shared" si="16"/>
        <v/>
      </c>
      <c r="AN19" s="33">
        <v>74</v>
      </c>
      <c r="AO19" s="576">
        <f t="shared" si="17"/>
        <v>569.23076923076917</v>
      </c>
      <c r="AP19" s="574">
        <v>21431</v>
      </c>
      <c r="AQ19" s="576">
        <f t="shared" si="18"/>
        <v>164853.84615384616</v>
      </c>
    </row>
    <row r="20" spans="1:43" x14ac:dyDescent="0.2">
      <c r="D20" s="574"/>
      <c r="E20" s="576" t="str">
        <f t="shared" si="0"/>
        <v/>
      </c>
      <c r="G20" s="576" t="str">
        <f t="shared" si="0"/>
        <v/>
      </c>
      <c r="I20" s="576" t="str">
        <f t="shared" si="1"/>
        <v/>
      </c>
      <c r="K20" s="576" t="str">
        <f t="shared" si="2"/>
        <v/>
      </c>
      <c r="M20" s="576" t="str">
        <f t="shared" si="3"/>
        <v/>
      </c>
      <c r="O20" s="576" t="str">
        <f t="shared" si="4"/>
        <v/>
      </c>
      <c r="Q20" s="576" t="str">
        <f t="shared" si="5"/>
        <v/>
      </c>
      <c r="S20" s="576" t="str">
        <f t="shared" si="6"/>
        <v/>
      </c>
      <c r="U20" s="576" t="str">
        <f t="shared" si="7"/>
        <v/>
      </c>
      <c r="W20" s="576" t="str">
        <f t="shared" si="8"/>
        <v/>
      </c>
      <c r="Y20" s="576" t="str">
        <f t="shared" si="9"/>
        <v/>
      </c>
      <c r="AA20" s="576" t="str">
        <f t="shared" si="10"/>
        <v/>
      </c>
      <c r="AC20" s="576" t="str">
        <f t="shared" si="11"/>
        <v/>
      </c>
      <c r="AE20" s="576" t="str">
        <f t="shared" si="12"/>
        <v/>
      </c>
      <c r="AG20" s="576" t="str">
        <f t="shared" si="13"/>
        <v/>
      </c>
      <c r="AI20" s="576" t="str">
        <f t="shared" si="14"/>
        <v/>
      </c>
      <c r="AK20" s="576" t="str">
        <f t="shared" si="15"/>
        <v/>
      </c>
      <c r="AM20" s="576" t="str">
        <f t="shared" si="16"/>
        <v/>
      </c>
      <c r="AO20" s="576" t="str">
        <f t="shared" si="17"/>
        <v/>
      </c>
      <c r="AP20" s="574"/>
      <c r="AQ20" s="576" t="str">
        <f t="shared" si="18"/>
        <v/>
      </c>
    </row>
    <row r="21" spans="1:43" x14ac:dyDescent="0.2">
      <c r="A21" s="33" t="s">
        <v>523</v>
      </c>
      <c r="B21" s="33">
        <f>SUM(B12:B19)</f>
        <v>32.578979127655799</v>
      </c>
      <c r="D21" s="574"/>
      <c r="E21" s="576" t="str">
        <f t="shared" si="0"/>
        <v/>
      </c>
      <c r="G21" s="576" t="str">
        <f t="shared" si="0"/>
        <v/>
      </c>
      <c r="I21" s="576" t="str">
        <f t="shared" si="1"/>
        <v/>
      </c>
      <c r="K21" s="576" t="str">
        <f t="shared" si="2"/>
        <v/>
      </c>
      <c r="M21" s="576" t="str">
        <f t="shared" si="3"/>
        <v/>
      </c>
      <c r="O21" s="576" t="str">
        <f t="shared" si="4"/>
        <v/>
      </c>
      <c r="Q21" s="576" t="str">
        <f t="shared" si="5"/>
        <v/>
      </c>
      <c r="S21" s="576" t="str">
        <f t="shared" si="6"/>
        <v/>
      </c>
      <c r="U21" s="576" t="str">
        <f t="shared" si="7"/>
        <v/>
      </c>
      <c r="W21" s="576" t="str">
        <f t="shared" si="8"/>
        <v/>
      </c>
      <c r="Y21" s="576" t="str">
        <f t="shared" si="9"/>
        <v/>
      </c>
      <c r="AA21" s="576" t="str">
        <f t="shared" si="10"/>
        <v/>
      </c>
      <c r="AC21" s="576" t="str">
        <f t="shared" si="11"/>
        <v/>
      </c>
      <c r="AE21" s="576" t="str">
        <f t="shared" si="12"/>
        <v/>
      </c>
      <c r="AG21" s="576" t="str">
        <f t="shared" si="13"/>
        <v/>
      </c>
      <c r="AI21" s="576" t="str">
        <f t="shared" si="14"/>
        <v/>
      </c>
      <c r="AK21" s="576" t="str">
        <f t="shared" si="15"/>
        <v/>
      </c>
      <c r="AM21" s="576" t="str">
        <f t="shared" si="16"/>
        <v/>
      </c>
      <c r="AO21" s="576" t="str">
        <f t="shared" si="17"/>
        <v/>
      </c>
      <c r="AP21" s="574"/>
      <c r="AQ21" s="576" t="str">
        <f t="shared" si="18"/>
        <v/>
      </c>
    </row>
    <row r="22" spans="1:43" x14ac:dyDescent="0.2">
      <c r="D22" s="574">
        <f>SUM(D12:D19)</f>
        <v>515128.12</v>
      </c>
      <c r="E22" s="576" t="str">
        <f t="shared" si="0"/>
        <v/>
      </c>
      <c r="G22" s="576" t="str">
        <f t="shared" si="0"/>
        <v/>
      </c>
      <c r="I22" s="576" t="str">
        <f t="shared" si="1"/>
        <v/>
      </c>
      <c r="K22" s="576" t="str">
        <f t="shared" si="2"/>
        <v/>
      </c>
      <c r="M22" s="576" t="str">
        <f t="shared" si="3"/>
        <v/>
      </c>
      <c r="N22" s="577">
        <f>SUM(E12:E19)</f>
        <v>288516.95960533858</v>
      </c>
      <c r="O22" s="576" t="str">
        <f t="shared" si="4"/>
        <v/>
      </c>
      <c r="Q22" s="576" t="str">
        <f t="shared" si="5"/>
        <v/>
      </c>
      <c r="S22" s="576" t="str">
        <f t="shared" si="6"/>
        <v/>
      </c>
      <c r="U22" s="576" t="str">
        <f t="shared" si="7"/>
        <v/>
      </c>
      <c r="W22" s="576" t="str">
        <f t="shared" si="8"/>
        <v/>
      </c>
      <c r="Y22" s="576" t="str">
        <f t="shared" si="9"/>
        <v/>
      </c>
      <c r="Z22" s="574">
        <f>SUM(N12:N16)-753</f>
        <v>1483.5299999999997</v>
      </c>
      <c r="AA22" s="576" t="str">
        <f t="shared" si="10"/>
        <v/>
      </c>
      <c r="AC22" s="576" t="str">
        <f t="shared" si="11"/>
        <v/>
      </c>
      <c r="AE22" s="576" t="str">
        <f t="shared" si="12"/>
        <v/>
      </c>
      <c r="AG22" s="576" t="str">
        <f t="shared" si="13"/>
        <v/>
      </c>
      <c r="AI22" s="576" t="str">
        <f t="shared" si="14"/>
        <v/>
      </c>
      <c r="AK22" s="576" t="str">
        <f t="shared" si="15"/>
        <v/>
      </c>
      <c r="AM22" s="576" t="str">
        <f t="shared" si="16"/>
        <v/>
      </c>
      <c r="AO22" s="576" t="str">
        <f t="shared" si="17"/>
        <v/>
      </c>
      <c r="AP22" s="574">
        <f>SUM(AP12:AP19)</f>
        <v>311210.51</v>
      </c>
      <c r="AQ22" s="576" t="str">
        <f t="shared" si="18"/>
        <v/>
      </c>
    </row>
    <row r="23" spans="1:43" x14ac:dyDescent="0.2">
      <c r="D23" s="574">
        <f>D22/B21</f>
        <v>15811.671629781535</v>
      </c>
      <c r="E23" s="576" t="str">
        <f t="shared" si="0"/>
        <v/>
      </c>
      <c r="G23" s="576" t="str">
        <f t="shared" si="0"/>
        <v/>
      </c>
      <c r="I23" s="576" t="str">
        <f t="shared" si="1"/>
        <v/>
      </c>
      <c r="K23" s="576" t="str">
        <f t="shared" si="2"/>
        <v/>
      </c>
      <c r="M23" s="576" t="str">
        <f t="shared" si="3"/>
        <v/>
      </c>
      <c r="N23" s="577">
        <f>N22/B21</f>
        <v>8855.9238911332523</v>
      </c>
      <c r="O23" s="576" t="str">
        <f t="shared" si="4"/>
        <v/>
      </c>
      <c r="Q23" s="576" t="str">
        <f t="shared" si="5"/>
        <v/>
      </c>
      <c r="S23" s="576" t="str">
        <f t="shared" si="6"/>
        <v/>
      </c>
      <c r="U23" s="576" t="str">
        <f t="shared" si="7"/>
        <v/>
      </c>
      <c r="W23" s="576" t="str">
        <f t="shared" si="8"/>
        <v/>
      </c>
      <c r="Y23" s="576" t="str">
        <f t="shared" si="9"/>
        <v/>
      </c>
      <c r="Z23" s="574">
        <f>SUM(AB12:AB18)</f>
        <v>27660</v>
      </c>
      <c r="AA23" s="576" t="str">
        <f t="shared" si="10"/>
        <v/>
      </c>
      <c r="AC23" s="576" t="str">
        <f t="shared" si="11"/>
        <v/>
      </c>
      <c r="AE23" s="576" t="str">
        <f t="shared" si="12"/>
        <v/>
      </c>
      <c r="AG23" s="576" t="str">
        <f t="shared" si="13"/>
        <v/>
      </c>
      <c r="AI23" s="576" t="str">
        <f t="shared" si="14"/>
        <v/>
      </c>
      <c r="AK23" s="576" t="str">
        <f t="shared" si="15"/>
        <v/>
      </c>
      <c r="AM23" s="576" t="str">
        <f t="shared" si="16"/>
        <v/>
      </c>
      <c r="AO23" s="576" t="str">
        <f t="shared" si="17"/>
        <v/>
      </c>
      <c r="AP23" s="577">
        <f>AP22/B21</f>
        <v>9552.494225818702</v>
      </c>
      <c r="AQ23" s="576" t="str">
        <f t="shared" si="18"/>
        <v/>
      </c>
    </row>
    <row r="24" spans="1:43" ht="13.5" thickBot="1" x14ac:dyDescent="0.25">
      <c r="E24" s="576" t="str">
        <f t="shared" si="0"/>
        <v/>
      </c>
      <c r="G24" s="576" t="str">
        <f t="shared" si="0"/>
        <v/>
      </c>
      <c r="I24" s="576" t="str">
        <f t="shared" si="1"/>
        <v/>
      </c>
      <c r="K24" s="576" t="str">
        <f t="shared" si="2"/>
        <v/>
      </c>
      <c r="M24" s="576" t="str">
        <f t="shared" si="3"/>
        <v/>
      </c>
      <c r="O24" s="576" t="str">
        <f t="shared" si="4"/>
        <v/>
      </c>
      <c r="Q24" s="576" t="str">
        <f t="shared" si="5"/>
        <v/>
      </c>
      <c r="S24" s="576" t="str">
        <f t="shared" si="6"/>
        <v/>
      </c>
      <c r="U24" s="576" t="str">
        <f t="shared" si="7"/>
        <v/>
      </c>
      <c r="W24" s="576" t="str">
        <f t="shared" si="8"/>
        <v/>
      </c>
      <c r="Y24" s="576" t="str">
        <f t="shared" si="9"/>
        <v/>
      </c>
      <c r="Z24" s="574">
        <f>SUM(AJ12:AJ19)</f>
        <v>82573.83</v>
      </c>
      <c r="AA24" s="576" t="str">
        <f t="shared" si="10"/>
        <v/>
      </c>
      <c r="AC24" s="576" t="str">
        <f t="shared" si="11"/>
        <v/>
      </c>
      <c r="AE24" s="576" t="str">
        <f t="shared" si="12"/>
        <v/>
      </c>
      <c r="AG24" s="576" t="str">
        <f t="shared" si="13"/>
        <v/>
      </c>
      <c r="AI24" s="576" t="str">
        <f t="shared" si="14"/>
        <v/>
      </c>
      <c r="AK24" s="576" t="str">
        <f t="shared" si="15"/>
        <v/>
      </c>
      <c r="AM24" s="576" t="str">
        <f t="shared" si="16"/>
        <v/>
      </c>
      <c r="AO24" s="576" t="str">
        <f t="shared" si="17"/>
        <v/>
      </c>
      <c r="AQ24" s="576" t="str">
        <f t="shared" si="18"/>
        <v/>
      </c>
    </row>
    <row r="25" spans="1:43" x14ac:dyDescent="0.2">
      <c r="A25" s="522" t="s">
        <v>455</v>
      </c>
      <c r="B25" s="524">
        <f>SUM(E12:E19)</f>
        <v>288516.95960533858</v>
      </c>
      <c r="E25" s="576" t="str">
        <f t="shared" si="0"/>
        <v/>
      </c>
      <c r="G25" s="576" t="str">
        <f t="shared" si="0"/>
        <v/>
      </c>
      <c r="I25" s="576" t="str">
        <f t="shared" si="1"/>
        <v/>
      </c>
      <c r="K25" s="576" t="str">
        <f t="shared" si="2"/>
        <v/>
      </c>
      <c r="M25" s="576" t="str">
        <f t="shared" si="3"/>
        <v/>
      </c>
      <c r="O25" s="576" t="str">
        <f t="shared" si="4"/>
        <v/>
      </c>
      <c r="Q25" s="576" t="str">
        <f t="shared" si="5"/>
        <v/>
      </c>
      <c r="S25" s="576" t="str">
        <f t="shared" si="6"/>
        <v/>
      </c>
      <c r="U25" s="576" t="str">
        <f t="shared" si="7"/>
        <v/>
      </c>
      <c r="W25" s="576" t="str">
        <f t="shared" si="8"/>
        <v/>
      </c>
      <c r="Y25" s="576" t="str">
        <f t="shared" si="9"/>
        <v/>
      </c>
      <c r="Z25" s="574">
        <f>SUM(Z22:Z24)</f>
        <v>111717.36</v>
      </c>
      <c r="AA25" s="576"/>
      <c r="AC25" s="576" t="str">
        <f t="shared" si="11"/>
        <v/>
      </c>
      <c r="AE25" s="576" t="str">
        <f t="shared" si="12"/>
        <v/>
      </c>
      <c r="AG25" s="576" t="str">
        <f t="shared" si="13"/>
        <v/>
      </c>
      <c r="AI25" s="576" t="str">
        <f t="shared" si="14"/>
        <v/>
      </c>
      <c r="AK25" s="576" t="str">
        <f t="shared" si="15"/>
        <v/>
      </c>
      <c r="AM25" s="576" t="str">
        <f t="shared" si="16"/>
        <v/>
      </c>
      <c r="AO25" s="576" t="str">
        <f t="shared" si="17"/>
        <v/>
      </c>
      <c r="AQ25" s="576" t="str">
        <f t="shared" si="18"/>
        <v/>
      </c>
    </row>
    <row r="26" spans="1:43" x14ac:dyDescent="0.2">
      <c r="A26" s="241" t="s">
        <v>454</v>
      </c>
      <c r="B26" s="525">
        <f>C37</f>
        <v>6594</v>
      </c>
      <c r="E26" s="576" t="str">
        <f t="shared" si="0"/>
        <v/>
      </c>
      <c r="G26" s="576" t="str">
        <f t="shared" si="0"/>
        <v/>
      </c>
      <c r="I26" s="576" t="str">
        <f t="shared" si="1"/>
        <v/>
      </c>
      <c r="K26" s="576" t="str">
        <f t="shared" si="2"/>
        <v/>
      </c>
      <c r="M26" s="576" t="str">
        <f t="shared" si="3"/>
        <v/>
      </c>
      <c r="O26" s="576" t="str">
        <f t="shared" si="4"/>
        <v/>
      </c>
      <c r="Q26" s="576" t="str">
        <f t="shared" si="5"/>
        <v/>
      </c>
      <c r="S26" s="576" t="str">
        <f t="shared" si="6"/>
        <v/>
      </c>
      <c r="U26" s="576" t="str">
        <f t="shared" si="7"/>
        <v/>
      </c>
      <c r="W26" s="576" t="str">
        <f t="shared" si="8"/>
        <v/>
      </c>
      <c r="Y26" s="576" t="str">
        <f t="shared" si="9"/>
        <v/>
      </c>
      <c r="Z26" s="574">
        <f>Z25/B21</f>
        <v>3429.1240238760224</v>
      </c>
      <c r="AA26" s="576"/>
      <c r="AC26" s="576" t="str">
        <f t="shared" si="11"/>
        <v/>
      </c>
      <c r="AE26" s="576" t="str">
        <f t="shared" si="12"/>
        <v/>
      </c>
      <c r="AG26" s="576" t="str">
        <f t="shared" si="13"/>
        <v/>
      </c>
      <c r="AI26" s="576" t="str">
        <f t="shared" si="14"/>
        <v/>
      </c>
      <c r="AK26" s="576" t="str">
        <f t="shared" si="15"/>
        <v/>
      </c>
      <c r="AM26" s="576" t="str">
        <f t="shared" si="16"/>
        <v/>
      </c>
      <c r="AO26" s="576" t="str">
        <f t="shared" si="17"/>
        <v/>
      </c>
      <c r="AQ26" s="576" t="str">
        <f t="shared" si="18"/>
        <v/>
      </c>
    </row>
    <row r="27" spans="1:43" ht="13.5" thickBot="1" x14ac:dyDescent="0.25">
      <c r="A27" s="369" t="s">
        <v>453</v>
      </c>
      <c r="B27" s="526">
        <f>B25/B26</f>
        <v>43.754467638055594</v>
      </c>
      <c r="E27" s="576" t="str">
        <f t="shared" si="0"/>
        <v/>
      </c>
      <c r="G27" s="576" t="str">
        <f t="shared" si="0"/>
        <v/>
      </c>
      <c r="I27" s="576" t="str">
        <f t="shared" si="1"/>
        <v/>
      </c>
      <c r="K27" s="576" t="str">
        <f t="shared" si="2"/>
        <v/>
      </c>
      <c r="M27" s="576" t="str">
        <f t="shared" si="3"/>
        <v/>
      </c>
      <c r="O27" s="576" t="str">
        <f t="shared" si="4"/>
        <v/>
      </c>
      <c r="Q27" s="576" t="str">
        <f t="shared" si="5"/>
        <v/>
      </c>
      <c r="S27" s="576" t="str">
        <f t="shared" si="6"/>
        <v/>
      </c>
      <c r="U27" s="576" t="str">
        <f t="shared" si="7"/>
        <v/>
      </c>
      <c r="W27" s="576" t="str">
        <f t="shared" si="8"/>
        <v/>
      </c>
      <c r="Y27" s="576" t="str">
        <f t="shared" si="9"/>
        <v/>
      </c>
      <c r="Z27" s="574"/>
      <c r="AA27" s="576" t="str">
        <f t="shared" si="10"/>
        <v/>
      </c>
      <c r="AC27" s="576" t="str">
        <f t="shared" si="11"/>
        <v/>
      </c>
      <c r="AE27" s="576" t="str">
        <f t="shared" si="12"/>
        <v/>
      </c>
      <c r="AG27" s="576" t="str">
        <f t="shared" si="13"/>
        <v/>
      </c>
      <c r="AI27" s="576" t="str">
        <f t="shared" si="14"/>
        <v/>
      </c>
      <c r="AK27" s="576" t="str">
        <f t="shared" si="15"/>
        <v/>
      </c>
      <c r="AM27" s="576" t="str">
        <f t="shared" si="16"/>
        <v/>
      </c>
      <c r="AO27" s="576" t="str">
        <f t="shared" si="17"/>
        <v/>
      </c>
      <c r="AP27" s="577">
        <f>AP23*30.68</f>
        <v>293070.52284811775</v>
      </c>
      <c r="AQ27" s="576"/>
    </row>
    <row r="28" spans="1:43" x14ac:dyDescent="0.2">
      <c r="B28" s="233"/>
      <c r="E28" s="576"/>
      <c r="G28" s="576"/>
      <c r="I28" s="576"/>
      <c r="K28" s="576"/>
      <c r="M28" s="576"/>
      <c r="O28" s="576"/>
      <c r="Q28" s="576"/>
      <c r="S28" s="576"/>
      <c r="U28" s="576"/>
      <c r="W28" s="576"/>
      <c r="Y28" s="576"/>
      <c r="Z28" s="574"/>
      <c r="AA28" s="576"/>
      <c r="AC28" s="576"/>
      <c r="AE28" s="576"/>
      <c r="AG28" s="576"/>
      <c r="AI28" s="576"/>
      <c r="AK28" s="576"/>
      <c r="AM28" s="576"/>
      <c r="AO28" s="576"/>
      <c r="AP28" s="577">
        <f>AP27/6616</f>
        <v>44.297237431698569</v>
      </c>
      <c r="AQ28" s="576"/>
    </row>
    <row r="29" spans="1:43" ht="13.5" thickBot="1" x14ac:dyDescent="0.25">
      <c r="C29" s="33" t="s">
        <v>524</v>
      </c>
      <c r="E29" s="523" t="str">
        <f t="shared" ref="E29:G32" si="19">IF(OR($B29=0,D29=0),"",D29/$B29)</f>
        <v/>
      </c>
      <c r="G29" s="523" t="str">
        <f t="shared" si="19"/>
        <v/>
      </c>
      <c r="I29" s="523" t="str">
        <f t="shared" ref="I29:I32" si="20">IF(OR($B29=0,H29=0),"",H29/$B29)</f>
        <v/>
      </c>
      <c r="K29" s="523" t="str">
        <f t="shared" ref="K29:K32" si="21">IF(OR($B29=0,J29=0),"",J29/$B29)</f>
        <v/>
      </c>
      <c r="M29" s="523" t="str">
        <f t="shared" ref="M29:M32" si="22">IF(OR($B29=0,L29=0),"",L29/$B29)</f>
        <v/>
      </c>
      <c r="O29" s="576" t="str">
        <f t="shared" si="4"/>
        <v/>
      </c>
      <c r="Q29" s="576" t="str">
        <f t="shared" si="5"/>
        <v/>
      </c>
      <c r="S29" s="576" t="str">
        <f t="shared" si="6"/>
        <v/>
      </c>
      <c r="U29" s="576" t="str">
        <f t="shared" si="7"/>
        <v/>
      </c>
      <c r="W29" s="576" t="str">
        <f t="shared" si="8"/>
        <v/>
      </c>
      <c r="Y29" s="576" t="str">
        <f t="shared" si="9"/>
        <v/>
      </c>
      <c r="Z29" s="574"/>
      <c r="AA29" s="576" t="str">
        <f t="shared" si="10"/>
        <v/>
      </c>
      <c r="AC29" s="576" t="str">
        <f t="shared" si="11"/>
        <v/>
      </c>
      <c r="AE29" s="576" t="str">
        <f t="shared" si="12"/>
        <v/>
      </c>
      <c r="AG29" s="576" t="str">
        <f t="shared" si="13"/>
        <v/>
      </c>
      <c r="AI29" s="576" t="str">
        <f t="shared" si="14"/>
        <v/>
      </c>
      <c r="AK29" s="576" t="str">
        <f t="shared" si="15"/>
        <v/>
      </c>
      <c r="AM29" s="576" t="str">
        <f t="shared" si="16"/>
        <v/>
      </c>
      <c r="AO29" s="576" t="str">
        <f t="shared" si="17"/>
        <v/>
      </c>
      <c r="AQ29" s="576" t="str">
        <f t="shared" si="18"/>
        <v/>
      </c>
    </row>
    <row r="30" spans="1:43" x14ac:dyDescent="0.2">
      <c r="A30" s="522" t="s">
        <v>401</v>
      </c>
      <c r="B30" s="295" t="s">
        <v>452</v>
      </c>
      <c r="C30" s="413">
        <v>1254</v>
      </c>
      <c r="E30" s="522" t="s">
        <v>155</v>
      </c>
      <c r="F30" s="295"/>
      <c r="G30" s="530" t="str">
        <f t="shared" si="19"/>
        <v/>
      </c>
      <c r="H30" s="295"/>
      <c r="I30" s="530" t="str">
        <f t="shared" si="20"/>
        <v/>
      </c>
      <c r="J30" s="295"/>
      <c r="K30" s="530" t="str">
        <f t="shared" si="21"/>
        <v/>
      </c>
      <c r="L30" s="295"/>
      <c r="M30" s="530" t="str">
        <f t="shared" si="22"/>
        <v/>
      </c>
      <c r="N30" s="524">
        <f>D23*30.68</f>
        <v>485102.0856016975</v>
      </c>
      <c r="O30" s="576"/>
      <c r="Q30" s="576" t="e">
        <f>IF(OR(#REF!=0,P30=0),"",P30/#REF!)</f>
        <v>#REF!</v>
      </c>
      <c r="S30" s="576" t="e">
        <f>IF(OR(#REF!=0,R30=0),"",R30/#REF!)</f>
        <v>#REF!</v>
      </c>
      <c r="U30" s="576" t="e">
        <f>IF(OR(#REF!=0,T30=0),"",T30/#REF!)</f>
        <v>#REF!</v>
      </c>
      <c r="W30" s="576" t="e">
        <f>IF(OR(#REF!=0,V30=0),"",V30/#REF!)</f>
        <v>#REF!</v>
      </c>
      <c r="Y30" s="576" t="e">
        <f>IF(OR(#REF!=0,X30=0),"",X30/#REF!)</f>
        <v>#REF!</v>
      </c>
      <c r="Z30" s="574">
        <f>Z26*30.68</f>
        <v>105205.52505251637</v>
      </c>
      <c r="AA30" s="576"/>
      <c r="AC30" s="576" t="e">
        <f>IF(OR(#REF!=0,AB30=0),"",AB30/#REF!)</f>
        <v>#REF!</v>
      </c>
      <c r="AE30" s="576" t="e">
        <f>IF(OR(#REF!=0,AD30=0),"",AD30/#REF!)</f>
        <v>#REF!</v>
      </c>
      <c r="AG30" s="576" t="e">
        <f>IF(OR(#REF!=0,AF30=0),"",AF30/#REF!)</f>
        <v>#REF!</v>
      </c>
      <c r="AI30" s="576" t="e">
        <f>IF(OR(#REF!=0,AH30=0),"",AH30/#REF!)</f>
        <v>#REF!</v>
      </c>
      <c r="AK30" s="576"/>
      <c r="AM30" s="576" t="e">
        <f>IF(OR(#REF!=0,AL30=0),"",AL30/#REF!)</f>
        <v>#REF!</v>
      </c>
      <c r="AO30" s="576" t="e">
        <f>IF(OR(#REF!=0,AN30=0),"",AN30/#REF!)</f>
        <v>#REF!</v>
      </c>
      <c r="AQ30" s="576"/>
    </row>
    <row r="31" spans="1:43" x14ac:dyDescent="0.2">
      <c r="A31" s="241"/>
      <c r="C31" s="139">
        <v>143</v>
      </c>
      <c r="E31" s="241"/>
      <c r="G31" s="523" t="str">
        <f t="shared" si="19"/>
        <v/>
      </c>
      <c r="I31" s="523" t="str">
        <f t="shared" si="20"/>
        <v/>
      </c>
      <c r="K31" s="523" t="str">
        <f t="shared" si="21"/>
        <v/>
      </c>
      <c r="M31" s="523" t="str">
        <f t="shared" si="22"/>
        <v/>
      </c>
      <c r="N31" s="525">
        <f>N30/6616</f>
        <v>73.322564329156208</v>
      </c>
      <c r="O31" s="576"/>
      <c r="Q31" s="576" t="str">
        <f t="shared" ref="Q31:Q94" si="23">IF(OR($B30=0,P31=0),"",P31/$B30)</f>
        <v/>
      </c>
      <c r="S31" s="576" t="str">
        <f t="shared" ref="S31:S94" si="24">IF(OR($B30=0,R31=0),"",R31/$B30)</f>
        <v/>
      </c>
      <c r="U31" s="576" t="str">
        <f t="shared" ref="U31:U94" si="25">IF(OR($B30=0,T31=0),"",T31/$B30)</f>
        <v/>
      </c>
      <c r="W31" s="576" t="str">
        <f t="shared" ref="W31:W94" si="26">IF(OR($B30=0,V31=0),"",V31/$B30)</f>
        <v/>
      </c>
      <c r="Y31" s="576" t="str">
        <f t="shared" ref="Y31:Y94" si="27">IF(OR($B30=0,X31=0),"",X31/$B30)</f>
        <v/>
      </c>
      <c r="Z31" s="578">
        <f>Z30/6616</f>
        <v>15.901681537562935</v>
      </c>
      <c r="AA31" s="576"/>
      <c r="AC31" s="576" t="str">
        <f t="shared" ref="AC31:AC94" si="28">IF(OR($B30=0,AB31=0),"",AB31/$B30)</f>
        <v/>
      </c>
      <c r="AE31" s="576" t="str">
        <f t="shared" ref="AE31:AE94" si="29">IF(OR($B30=0,AD31=0),"",AD31/$B30)</f>
        <v/>
      </c>
      <c r="AG31" s="576" t="str">
        <f t="shared" ref="AG31:AG94" si="30">IF(OR($B30=0,AF31=0),"",AF31/$B30)</f>
        <v/>
      </c>
      <c r="AI31" s="576" t="str">
        <f t="shared" ref="AI31:AI94" si="31">IF(OR($B30=0,AH31=0),"",AH31/$B30)</f>
        <v/>
      </c>
      <c r="AK31" s="576" t="str">
        <f t="shared" ref="AK31:AK94" si="32">IF(OR($B30=0,AJ31=0),"",AJ31/$B30)</f>
        <v/>
      </c>
      <c r="AM31" s="576" t="str">
        <f t="shared" ref="AM31:AM94" si="33">IF(OR($B30=0,AL31=0),"",AL31/$B30)</f>
        <v/>
      </c>
      <c r="AO31" s="576" t="str">
        <f t="shared" ref="AO31:AO94" si="34">IF(OR($B30=0,AN31=0),"",AN31/$B30)</f>
        <v/>
      </c>
      <c r="AQ31" s="576" t="str">
        <f t="shared" ref="AQ31:AQ94" si="35">IF(OR($B30=0,AP31=0),"",AP31/$B30)</f>
        <v/>
      </c>
    </row>
    <row r="32" spans="1:43" x14ac:dyDescent="0.2">
      <c r="A32" s="241" t="s">
        <v>402</v>
      </c>
      <c r="C32" s="139">
        <v>438</v>
      </c>
      <c r="E32" s="241" t="s">
        <v>156</v>
      </c>
      <c r="G32" s="523" t="str">
        <f t="shared" si="19"/>
        <v/>
      </c>
      <c r="I32" s="523" t="str">
        <f t="shared" si="20"/>
        <v/>
      </c>
      <c r="K32" s="523" t="str">
        <f t="shared" si="21"/>
        <v/>
      </c>
      <c r="M32" s="523" t="str">
        <f t="shared" si="22"/>
        <v/>
      </c>
      <c r="N32" s="569">
        <f>N31*0.6</f>
        <v>43.993538597493725</v>
      </c>
      <c r="O32" s="576" t="str">
        <f>IF(OR($B31=0,N32=0),"",N32/$B31)</f>
        <v/>
      </c>
      <c r="Q32" s="576" t="str">
        <f t="shared" si="23"/>
        <v/>
      </c>
      <c r="S32" s="576" t="str">
        <f t="shared" si="24"/>
        <v/>
      </c>
      <c r="U32" s="576" t="str">
        <f t="shared" si="25"/>
        <v/>
      </c>
      <c r="W32" s="576" t="str">
        <f t="shared" si="26"/>
        <v/>
      </c>
      <c r="Y32" s="576" t="str">
        <f t="shared" si="27"/>
        <v/>
      </c>
      <c r="AA32" s="576" t="str">
        <f t="shared" ref="AA32:AA95" si="36">IF(OR($B31=0,Z32=0),"",Z32/$B31)</f>
        <v/>
      </c>
      <c r="AC32" s="576" t="str">
        <f t="shared" si="28"/>
        <v/>
      </c>
      <c r="AE32" s="576" t="str">
        <f t="shared" si="29"/>
        <v/>
      </c>
      <c r="AG32" s="576" t="str">
        <f t="shared" si="30"/>
        <v/>
      </c>
      <c r="AI32" s="576" t="str">
        <f t="shared" si="31"/>
        <v/>
      </c>
      <c r="AK32" s="576" t="str">
        <f t="shared" si="32"/>
        <v/>
      </c>
      <c r="AM32" s="576" t="str">
        <f t="shared" si="33"/>
        <v/>
      </c>
      <c r="AO32" s="576" t="str">
        <f t="shared" si="34"/>
        <v/>
      </c>
      <c r="AQ32" s="576" t="str">
        <f t="shared" si="35"/>
        <v/>
      </c>
    </row>
    <row r="33" spans="1:43" x14ac:dyDescent="0.2">
      <c r="A33" s="241" t="s">
        <v>152</v>
      </c>
      <c r="B33" s="33" t="s">
        <v>452</v>
      </c>
      <c r="C33" s="139">
        <v>1240</v>
      </c>
      <c r="E33" s="241" t="s">
        <v>157</v>
      </c>
      <c r="G33" s="523" t="e">
        <f>IF(OR(#REF!=0,F33=0),"",F33/#REF!)</f>
        <v>#REF!</v>
      </c>
      <c r="I33" s="523" t="e">
        <f>IF(OR(#REF!=0,H33=0),"",H33/#REF!)</f>
        <v>#REF!</v>
      </c>
      <c r="K33" s="523" t="e">
        <f>IF(OR(#REF!=0,J33=0),"",J33/#REF!)</f>
        <v>#REF!</v>
      </c>
      <c r="M33" s="523" t="e">
        <f>IF(OR(#REF!=0,L33=0),"",L33/#REF!)</f>
        <v>#REF!</v>
      </c>
      <c r="N33" s="525">
        <f>N32*0.3</f>
        <v>13.198061579248117</v>
      </c>
      <c r="O33" s="576" t="str">
        <f>IF(OR($B32=0,N33=0),"",N33/$B32)</f>
        <v/>
      </c>
      <c r="Q33" s="576" t="str">
        <f t="shared" si="23"/>
        <v/>
      </c>
      <c r="S33" s="576" t="str">
        <f t="shared" si="24"/>
        <v/>
      </c>
      <c r="U33" s="576" t="str">
        <f t="shared" si="25"/>
        <v/>
      </c>
      <c r="W33" s="576" t="str">
        <f t="shared" si="26"/>
        <v/>
      </c>
      <c r="Y33" s="576" t="str">
        <f t="shared" si="27"/>
        <v/>
      </c>
      <c r="AA33" s="576" t="str">
        <f t="shared" si="36"/>
        <v/>
      </c>
      <c r="AC33" s="576" t="str">
        <f t="shared" si="28"/>
        <v/>
      </c>
      <c r="AE33" s="576" t="str">
        <f t="shared" si="29"/>
        <v/>
      </c>
      <c r="AG33" s="576" t="str">
        <f t="shared" si="30"/>
        <v/>
      </c>
      <c r="AI33" s="576" t="str">
        <f t="shared" si="31"/>
        <v/>
      </c>
      <c r="AK33" s="576" t="str">
        <f t="shared" si="32"/>
        <v/>
      </c>
      <c r="AM33" s="576" t="str">
        <f t="shared" si="33"/>
        <v/>
      </c>
      <c r="AO33" s="576" t="str">
        <f t="shared" si="34"/>
        <v/>
      </c>
      <c r="AQ33" s="576" t="str">
        <f t="shared" si="35"/>
        <v/>
      </c>
    </row>
    <row r="34" spans="1:43" ht="13.5" thickBot="1" x14ac:dyDescent="0.25">
      <c r="A34" s="241"/>
      <c r="C34" s="139">
        <v>346</v>
      </c>
      <c r="E34" s="369" t="s">
        <v>158</v>
      </c>
      <c r="F34" s="36"/>
      <c r="G34" s="531" t="str">
        <f t="shared" ref="G34:G97" si="37">IF(OR($B33=0,F34=0),"",F34/$B33)</f>
        <v/>
      </c>
      <c r="H34" s="36"/>
      <c r="I34" s="531" t="str">
        <f t="shared" ref="I34:I97" si="38">IF(OR($B33=0,H34=0),"",H34/$B33)</f>
        <v/>
      </c>
      <c r="J34" s="36"/>
      <c r="K34" s="531" t="str">
        <f t="shared" ref="K34:K97" si="39">IF(OR($B33=0,J34=0),"",J34/$B33)</f>
        <v/>
      </c>
      <c r="L34" s="36"/>
      <c r="M34" s="531" t="str">
        <f t="shared" ref="M34:M97" si="40">IF(OR($B33=0,L34=0),"",L34/$B33)</f>
        <v/>
      </c>
      <c r="N34" s="532">
        <f>N31*10%</f>
        <v>7.3322564329156208</v>
      </c>
      <c r="O34" s="576"/>
      <c r="Q34" s="576" t="str">
        <f t="shared" si="23"/>
        <v/>
      </c>
      <c r="S34" s="576" t="str">
        <f t="shared" si="24"/>
        <v/>
      </c>
      <c r="U34" s="576" t="str">
        <f t="shared" si="25"/>
        <v/>
      </c>
      <c r="W34" s="576" t="str">
        <f t="shared" si="26"/>
        <v/>
      </c>
      <c r="Y34" s="576" t="str">
        <f t="shared" si="27"/>
        <v/>
      </c>
      <c r="AA34" s="576" t="str">
        <f t="shared" si="36"/>
        <v/>
      </c>
      <c r="AC34" s="576" t="str">
        <f t="shared" si="28"/>
        <v/>
      </c>
      <c r="AE34" s="576" t="str">
        <f t="shared" si="29"/>
        <v/>
      </c>
      <c r="AG34" s="576" t="str">
        <f t="shared" si="30"/>
        <v/>
      </c>
      <c r="AI34" s="576" t="str">
        <f t="shared" si="31"/>
        <v/>
      </c>
      <c r="AK34" s="576" t="str">
        <f t="shared" si="32"/>
        <v/>
      </c>
      <c r="AM34" s="576" t="str">
        <f t="shared" si="33"/>
        <v/>
      </c>
      <c r="AO34" s="576" t="str">
        <f t="shared" si="34"/>
        <v/>
      </c>
      <c r="AQ34" s="576" t="str">
        <f t="shared" si="35"/>
        <v/>
      </c>
    </row>
    <row r="35" spans="1:43" x14ac:dyDescent="0.2">
      <c r="A35" s="241" t="s">
        <v>414</v>
      </c>
      <c r="B35" s="33" t="s">
        <v>452</v>
      </c>
      <c r="C35" s="139">
        <v>3173</v>
      </c>
      <c r="E35" s="576" t="str">
        <f t="shared" ref="E35:E98" si="41">IF(OR($B34=0,D35=0),"",D35/$B34)</f>
        <v/>
      </c>
      <c r="G35" s="576" t="str">
        <f t="shared" si="37"/>
        <v/>
      </c>
      <c r="I35" s="576" t="str">
        <f t="shared" si="38"/>
        <v/>
      </c>
      <c r="K35" s="576" t="str">
        <f t="shared" si="39"/>
        <v/>
      </c>
      <c r="M35" s="576" t="str">
        <f t="shared" si="40"/>
        <v/>
      </c>
      <c r="O35" s="576" t="str">
        <f t="shared" ref="O35:O98" si="42">IF(OR($B34=0,N35=0),"",N35/$B34)</f>
        <v/>
      </c>
      <c r="Q35" s="576" t="str">
        <f t="shared" si="23"/>
        <v/>
      </c>
      <c r="S35" s="576" t="str">
        <f t="shared" si="24"/>
        <v/>
      </c>
      <c r="U35" s="576" t="str">
        <f t="shared" si="25"/>
        <v/>
      </c>
      <c r="W35" s="576" t="str">
        <f t="shared" si="26"/>
        <v/>
      </c>
      <c r="Y35" s="576" t="str">
        <f t="shared" si="27"/>
        <v/>
      </c>
      <c r="AA35" s="576" t="str">
        <f t="shared" si="36"/>
        <v/>
      </c>
      <c r="AC35" s="576" t="str">
        <f t="shared" si="28"/>
        <v/>
      </c>
      <c r="AE35" s="576" t="str">
        <f t="shared" si="29"/>
        <v/>
      </c>
      <c r="AG35" s="576" t="str">
        <f t="shared" si="30"/>
        <v/>
      </c>
      <c r="AI35" s="576" t="str">
        <f t="shared" si="31"/>
        <v/>
      </c>
      <c r="AK35" s="576" t="str">
        <f t="shared" si="32"/>
        <v/>
      </c>
      <c r="AM35" s="576" t="str">
        <f t="shared" si="33"/>
        <v/>
      </c>
      <c r="AO35" s="576" t="str">
        <f t="shared" si="34"/>
        <v/>
      </c>
      <c r="AQ35" s="576" t="str">
        <f t="shared" si="35"/>
        <v/>
      </c>
    </row>
    <row r="36" spans="1:43" x14ac:dyDescent="0.2">
      <c r="A36" s="241" t="s">
        <v>525</v>
      </c>
      <c r="C36" s="139">
        <v>0</v>
      </c>
      <c r="E36" s="576" t="str">
        <f t="shared" si="41"/>
        <v/>
      </c>
      <c r="G36" s="576" t="str">
        <f t="shared" si="37"/>
        <v/>
      </c>
      <c r="I36" s="576" t="str">
        <f t="shared" si="38"/>
        <v/>
      </c>
      <c r="K36" s="576" t="str">
        <f t="shared" si="39"/>
        <v/>
      </c>
      <c r="M36" s="576" t="str">
        <f t="shared" si="40"/>
        <v/>
      </c>
      <c r="O36" s="576" t="str">
        <f t="shared" si="42"/>
        <v/>
      </c>
      <c r="Q36" s="576" t="str">
        <f t="shared" si="23"/>
        <v/>
      </c>
      <c r="S36" s="576" t="str">
        <f t="shared" si="24"/>
        <v/>
      </c>
      <c r="U36" s="576" t="str">
        <f t="shared" si="25"/>
        <v/>
      </c>
      <c r="W36" s="576" t="str">
        <f t="shared" si="26"/>
        <v/>
      </c>
      <c r="Y36" s="576" t="str">
        <f t="shared" si="27"/>
        <v/>
      </c>
      <c r="AA36" s="576" t="str">
        <f t="shared" si="36"/>
        <v/>
      </c>
      <c r="AC36" s="576" t="str">
        <f t="shared" si="28"/>
        <v/>
      </c>
      <c r="AE36" s="576" t="str">
        <f t="shared" si="29"/>
        <v/>
      </c>
      <c r="AG36" s="576" t="str">
        <f t="shared" si="30"/>
        <v/>
      </c>
      <c r="AI36" s="576" t="str">
        <f t="shared" si="31"/>
        <v/>
      </c>
      <c r="AK36" s="576" t="str">
        <f t="shared" si="32"/>
        <v/>
      </c>
      <c r="AM36" s="576" t="str">
        <f t="shared" si="33"/>
        <v/>
      </c>
      <c r="AO36" s="576" t="str">
        <f t="shared" si="34"/>
        <v/>
      </c>
      <c r="AQ36" s="576" t="str">
        <f t="shared" si="35"/>
        <v/>
      </c>
    </row>
    <row r="37" spans="1:43" ht="13.5" thickBot="1" x14ac:dyDescent="0.25">
      <c r="A37" s="369" t="s">
        <v>526</v>
      </c>
      <c r="B37" s="36"/>
      <c r="C37" s="527">
        <f>SUM(C30:C36)</f>
        <v>6594</v>
      </c>
      <c r="E37" s="576" t="str">
        <f t="shared" si="41"/>
        <v/>
      </c>
      <c r="G37" s="576" t="str">
        <f t="shared" si="37"/>
        <v/>
      </c>
      <c r="I37" s="576" t="str">
        <f t="shared" si="38"/>
        <v/>
      </c>
      <c r="K37" s="576" t="str">
        <f t="shared" si="39"/>
        <v/>
      </c>
      <c r="M37" s="576" t="str">
        <f t="shared" si="40"/>
        <v/>
      </c>
      <c r="O37" s="576" t="str">
        <f t="shared" si="42"/>
        <v/>
      </c>
      <c r="Q37" s="576" t="str">
        <f t="shared" si="23"/>
        <v/>
      </c>
      <c r="S37" s="576" t="str">
        <f t="shared" si="24"/>
        <v/>
      </c>
      <c r="U37" s="576" t="str">
        <f t="shared" si="25"/>
        <v/>
      </c>
      <c r="W37" s="576" t="str">
        <f t="shared" si="26"/>
        <v/>
      </c>
      <c r="Y37" s="576" t="str">
        <f t="shared" si="27"/>
        <v/>
      </c>
      <c r="AA37" s="576" t="str">
        <f t="shared" si="36"/>
        <v/>
      </c>
      <c r="AC37" s="576" t="str">
        <f t="shared" si="28"/>
        <v/>
      </c>
      <c r="AE37" s="576" t="str">
        <f t="shared" si="29"/>
        <v/>
      </c>
      <c r="AG37" s="576" t="str">
        <f t="shared" si="30"/>
        <v/>
      </c>
      <c r="AI37" s="576" t="str">
        <f t="shared" si="31"/>
        <v/>
      </c>
      <c r="AK37" s="576" t="str">
        <f t="shared" si="32"/>
        <v/>
      </c>
      <c r="AM37" s="576" t="str">
        <f t="shared" si="33"/>
        <v/>
      </c>
      <c r="AO37" s="576" t="str">
        <f t="shared" si="34"/>
        <v/>
      </c>
      <c r="AQ37" s="576" t="str">
        <f t="shared" si="35"/>
        <v/>
      </c>
    </row>
    <row r="38" spans="1:43" x14ac:dyDescent="0.2">
      <c r="E38" s="576" t="str">
        <f t="shared" si="41"/>
        <v/>
      </c>
      <c r="G38" s="576" t="str">
        <f t="shared" si="37"/>
        <v/>
      </c>
      <c r="I38" s="576" t="str">
        <f t="shared" si="38"/>
        <v/>
      </c>
      <c r="K38" s="576" t="str">
        <f t="shared" si="39"/>
        <v/>
      </c>
      <c r="M38" s="576" t="str">
        <f t="shared" si="40"/>
        <v/>
      </c>
      <c r="O38" s="576" t="str">
        <f t="shared" si="42"/>
        <v/>
      </c>
      <c r="Q38" s="576" t="str">
        <f t="shared" si="23"/>
        <v/>
      </c>
      <c r="S38" s="576" t="str">
        <f t="shared" si="24"/>
        <v/>
      </c>
      <c r="U38" s="576" t="str">
        <f t="shared" si="25"/>
        <v/>
      </c>
      <c r="W38" s="576" t="str">
        <f t="shared" si="26"/>
        <v/>
      </c>
      <c r="Y38" s="576" t="str">
        <f t="shared" si="27"/>
        <v/>
      </c>
      <c r="AA38" s="576" t="str">
        <f t="shared" si="36"/>
        <v/>
      </c>
      <c r="AC38" s="576" t="str">
        <f t="shared" si="28"/>
        <v/>
      </c>
      <c r="AE38" s="576" t="str">
        <f t="shared" si="29"/>
        <v/>
      </c>
      <c r="AG38" s="576" t="str">
        <f t="shared" si="30"/>
        <v/>
      </c>
      <c r="AI38" s="576" t="str">
        <f t="shared" si="31"/>
        <v/>
      </c>
      <c r="AK38" s="576" t="str">
        <f t="shared" si="32"/>
        <v/>
      </c>
      <c r="AM38" s="576" t="str">
        <f t="shared" si="33"/>
        <v/>
      </c>
      <c r="AO38" s="576" t="str">
        <f t="shared" si="34"/>
        <v/>
      </c>
      <c r="AQ38" s="576" t="str">
        <f t="shared" si="35"/>
        <v/>
      </c>
    </row>
    <row r="39" spans="1:43" x14ac:dyDescent="0.2">
      <c r="E39" s="576" t="str">
        <f t="shared" si="41"/>
        <v/>
      </c>
      <c r="G39" s="576" t="str">
        <f t="shared" si="37"/>
        <v/>
      </c>
      <c r="I39" s="576" t="str">
        <f t="shared" si="38"/>
        <v/>
      </c>
      <c r="K39" s="576" t="str">
        <f t="shared" si="39"/>
        <v/>
      </c>
      <c r="M39" s="576" t="str">
        <f t="shared" si="40"/>
        <v/>
      </c>
      <c r="O39" s="576" t="str">
        <f t="shared" si="42"/>
        <v/>
      </c>
      <c r="Q39" s="576" t="str">
        <f t="shared" si="23"/>
        <v/>
      </c>
      <c r="S39" s="576" t="str">
        <f t="shared" si="24"/>
        <v/>
      </c>
      <c r="U39" s="576" t="str">
        <f t="shared" si="25"/>
        <v/>
      </c>
      <c r="W39" s="576" t="str">
        <f t="shared" si="26"/>
        <v/>
      </c>
      <c r="Y39" s="576" t="str">
        <f t="shared" si="27"/>
        <v/>
      </c>
      <c r="AA39" s="576" t="str">
        <f t="shared" si="36"/>
        <v/>
      </c>
      <c r="AC39" s="576" t="str">
        <f t="shared" si="28"/>
        <v/>
      </c>
      <c r="AE39" s="576" t="str">
        <f t="shared" si="29"/>
        <v/>
      </c>
      <c r="AG39" s="576" t="str">
        <f t="shared" si="30"/>
        <v/>
      </c>
      <c r="AI39" s="576" t="str">
        <f t="shared" si="31"/>
        <v/>
      </c>
      <c r="AK39" s="576" t="str">
        <f t="shared" si="32"/>
        <v/>
      </c>
      <c r="AM39" s="576" t="str">
        <f t="shared" si="33"/>
        <v/>
      </c>
      <c r="AO39" s="576" t="str">
        <f t="shared" si="34"/>
        <v/>
      </c>
      <c r="AQ39" s="576" t="str">
        <f t="shared" si="35"/>
        <v/>
      </c>
    </row>
    <row r="40" spans="1:43" x14ac:dyDescent="0.2">
      <c r="E40" s="576" t="str">
        <f t="shared" si="41"/>
        <v/>
      </c>
      <c r="G40" s="576" t="str">
        <f t="shared" si="37"/>
        <v/>
      </c>
      <c r="I40" s="576" t="str">
        <f t="shared" si="38"/>
        <v/>
      </c>
      <c r="K40" s="576" t="str">
        <f t="shared" si="39"/>
        <v/>
      </c>
      <c r="M40" s="576" t="str">
        <f t="shared" si="40"/>
        <v/>
      </c>
      <c r="O40" s="576" t="str">
        <f t="shared" si="42"/>
        <v/>
      </c>
      <c r="Q40" s="576" t="str">
        <f t="shared" si="23"/>
        <v/>
      </c>
      <c r="S40" s="576" t="str">
        <f t="shared" si="24"/>
        <v/>
      </c>
      <c r="U40" s="576" t="str">
        <f t="shared" si="25"/>
        <v/>
      </c>
      <c r="W40" s="576" t="str">
        <f t="shared" si="26"/>
        <v/>
      </c>
      <c r="Y40" s="576" t="str">
        <f t="shared" si="27"/>
        <v/>
      </c>
      <c r="AA40" s="576" t="str">
        <f t="shared" si="36"/>
        <v/>
      </c>
      <c r="AC40" s="576" t="str">
        <f t="shared" si="28"/>
        <v/>
      </c>
      <c r="AE40" s="576" t="str">
        <f t="shared" si="29"/>
        <v/>
      </c>
      <c r="AG40" s="576" t="str">
        <f t="shared" si="30"/>
        <v/>
      </c>
      <c r="AI40" s="576" t="str">
        <f t="shared" si="31"/>
        <v/>
      </c>
      <c r="AK40" s="576" t="str">
        <f t="shared" si="32"/>
        <v/>
      </c>
      <c r="AM40" s="576" t="str">
        <f t="shared" si="33"/>
        <v/>
      </c>
      <c r="AO40" s="576" t="str">
        <f t="shared" si="34"/>
        <v/>
      </c>
      <c r="AQ40" s="576" t="str">
        <f t="shared" si="35"/>
        <v/>
      </c>
    </row>
    <row r="41" spans="1:43" x14ac:dyDescent="0.2">
      <c r="E41" s="576" t="str">
        <f t="shared" si="41"/>
        <v/>
      </c>
      <c r="G41" s="576" t="str">
        <f t="shared" si="37"/>
        <v/>
      </c>
      <c r="I41" s="576" t="str">
        <f t="shared" si="38"/>
        <v/>
      </c>
      <c r="K41" s="576" t="str">
        <f t="shared" si="39"/>
        <v/>
      </c>
      <c r="M41" s="576" t="str">
        <f t="shared" si="40"/>
        <v/>
      </c>
      <c r="O41" s="576" t="str">
        <f t="shared" si="42"/>
        <v/>
      </c>
      <c r="Q41" s="576" t="str">
        <f t="shared" si="23"/>
        <v/>
      </c>
      <c r="S41" s="576" t="str">
        <f t="shared" si="24"/>
        <v/>
      </c>
      <c r="U41" s="576" t="str">
        <f t="shared" si="25"/>
        <v/>
      </c>
      <c r="W41" s="576" t="str">
        <f t="shared" si="26"/>
        <v/>
      </c>
      <c r="Y41" s="576" t="str">
        <f t="shared" si="27"/>
        <v/>
      </c>
      <c r="AA41" s="576" t="str">
        <f t="shared" si="36"/>
        <v/>
      </c>
      <c r="AC41" s="576" t="str">
        <f t="shared" si="28"/>
        <v/>
      </c>
      <c r="AE41" s="576" t="str">
        <f t="shared" si="29"/>
        <v/>
      </c>
      <c r="AG41" s="576" t="str">
        <f t="shared" si="30"/>
        <v/>
      </c>
      <c r="AI41" s="576" t="str">
        <f t="shared" si="31"/>
        <v/>
      </c>
      <c r="AK41" s="576" t="str">
        <f t="shared" si="32"/>
        <v/>
      </c>
      <c r="AM41" s="576" t="str">
        <f t="shared" si="33"/>
        <v/>
      </c>
      <c r="AO41" s="576" t="str">
        <f t="shared" si="34"/>
        <v/>
      </c>
      <c r="AQ41" s="576" t="str">
        <f t="shared" si="35"/>
        <v/>
      </c>
    </row>
    <row r="42" spans="1:43" x14ac:dyDescent="0.2">
      <c r="E42" s="576" t="str">
        <f t="shared" si="41"/>
        <v/>
      </c>
      <c r="G42" s="576" t="str">
        <f t="shared" si="37"/>
        <v/>
      </c>
      <c r="I42" s="576" t="str">
        <f t="shared" si="38"/>
        <v/>
      </c>
      <c r="K42" s="576" t="str">
        <f t="shared" si="39"/>
        <v/>
      </c>
      <c r="M42" s="576" t="str">
        <f t="shared" si="40"/>
        <v/>
      </c>
      <c r="O42" s="576" t="str">
        <f t="shared" si="42"/>
        <v/>
      </c>
      <c r="Q42" s="576" t="str">
        <f t="shared" si="23"/>
        <v/>
      </c>
      <c r="S42" s="576" t="str">
        <f t="shared" si="24"/>
        <v/>
      </c>
      <c r="U42" s="576" t="str">
        <f t="shared" si="25"/>
        <v/>
      </c>
      <c r="W42" s="576" t="str">
        <f t="shared" si="26"/>
        <v/>
      </c>
      <c r="Y42" s="576" t="str">
        <f t="shared" si="27"/>
        <v/>
      </c>
      <c r="AA42" s="576" t="str">
        <f t="shared" si="36"/>
        <v/>
      </c>
      <c r="AC42" s="576" t="str">
        <f t="shared" si="28"/>
        <v/>
      </c>
      <c r="AE42" s="576" t="str">
        <f t="shared" si="29"/>
        <v/>
      </c>
      <c r="AG42" s="576" t="str">
        <f t="shared" si="30"/>
        <v/>
      </c>
      <c r="AI42" s="576" t="str">
        <f t="shared" si="31"/>
        <v/>
      </c>
      <c r="AK42" s="576" t="str">
        <f t="shared" si="32"/>
        <v/>
      </c>
      <c r="AM42" s="576" t="str">
        <f t="shared" si="33"/>
        <v/>
      </c>
      <c r="AO42" s="576" t="str">
        <f t="shared" si="34"/>
        <v/>
      </c>
      <c r="AQ42" s="576" t="str">
        <f t="shared" si="35"/>
        <v/>
      </c>
    </row>
    <row r="43" spans="1:43" x14ac:dyDescent="0.2">
      <c r="E43" s="576" t="str">
        <f t="shared" si="41"/>
        <v/>
      </c>
      <c r="G43" s="576" t="str">
        <f t="shared" si="37"/>
        <v/>
      </c>
      <c r="I43" s="576" t="str">
        <f t="shared" si="38"/>
        <v/>
      </c>
      <c r="K43" s="576" t="str">
        <f t="shared" si="39"/>
        <v/>
      </c>
      <c r="M43" s="576" t="str">
        <f t="shared" si="40"/>
        <v/>
      </c>
      <c r="O43" s="576" t="str">
        <f t="shared" si="42"/>
        <v/>
      </c>
      <c r="Q43" s="576" t="str">
        <f t="shared" si="23"/>
        <v/>
      </c>
      <c r="S43" s="576" t="str">
        <f t="shared" si="24"/>
        <v/>
      </c>
      <c r="U43" s="576" t="str">
        <f t="shared" si="25"/>
        <v/>
      </c>
      <c r="W43" s="576" t="str">
        <f t="shared" si="26"/>
        <v/>
      </c>
      <c r="Y43" s="576" t="str">
        <f t="shared" si="27"/>
        <v/>
      </c>
      <c r="AA43" s="576" t="str">
        <f t="shared" si="36"/>
        <v/>
      </c>
      <c r="AC43" s="576" t="str">
        <f t="shared" si="28"/>
        <v/>
      </c>
      <c r="AE43" s="576" t="str">
        <f t="shared" si="29"/>
        <v/>
      </c>
      <c r="AG43" s="576" t="str">
        <f t="shared" si="30"/>
        <v/>
      </c>
      <c r="AI43" s="576" t="str">
        <f t="shared" si="31"/>
        <v/>
      </c>
      <c r="AK43" s="576" t="str">
        <f t="shared" si="32"/>
        <v/>
      </c>
      <c r="AM43" s="576" t="str">
        <f t="shared" si="33"/>
        <v/>
      </c>
      <c r="AO43" s="576" t="str">
        <f t="shared" si="34"/>
        <v/>
      </c>
      <c r="AQ43" s="576" t="str">
        <f t="shared" si="35"/>
        <v/>
      </c>
    </row>
    <row r="44" spans="1:43" x14ac:dyDescent="0.2">
      <c r="E44" s="576" t="str">
        <f t="shared" si="41"/>
        <v/>
      </c>
      <c r="G44" s="576" t="str">
        <f t="shared" si="37"/>
        <v/>
      </c>
      <c r="I44" s="576" t="str">
        <f t="shared" si="38"/>
        <v/>
      </c>
      <c r="K44" s="576" t="str">
        <f t="shared" si="39"/>
        <v/>
      </c>
      <c r="M44" s="576" t="str">
        <f t="shared" si="40"/>
        <v/>
      </c>
      <c r="O44" s="576" t="str">
        <f t="shared" si="42"/>
        <v/>
      </c>
      <c r="Q44" s="576" t="str">
        <f t="shared" si="23"/>
        <v/>
      </c>
      <c r="S44" s="576" t="str">
        <f t="shared" si="24"/>
        <v/>
      </c>
      <c r="U44" s="576" t="str">
        <f t="shared" si="25"/>
        <v/>
      </c>
      <c r="W44" s="576" t="str">
        <f t="shared" si="26"/>
        <v/>
      </c>
      <c r="Y44" s="576" t="str">
        <f t="shared" si="27"/>
        <v/>
      </c>
      <c r="AA44" s="576" t="str">
        <f t="shared" si="36"/>
        <v/>
      </c>
      <c r="AC44" s="576" t="str">
        <f t="shared" si="28"/>
        <v/>
      </c>
      <c r="AE44" s="576" t="str">
        <f t="shared" si="29"/>
        <v/>
      </c>
      <c r="AG44" s="576" t="str">
        <f t="shared" si="30"/>
        <v/>
      </c>
      <c r="AI44" s="576" t="str">
        <f t="shared" si="31"/>
        <v/>
      </c>
      <c r="AK44" s="576" t="str">
        <f t="shared" si="32"/>
        <v/>
      </c>
      <c r="AM44" s="576" t="str">
        <f t="shared" si="33"/>
        <v/>
      </c>
      <c r="AO44" s="576" t="str">
        <f t="shared" si="34"/>
        <v/>
      </c>
      <c r="AQ44" s="576" t="str">
        <f t="shared" si="35"/>
        <v/>
      </c>
    </row>
    <row r="45" spans="1:43" x14ac:dyDescent="0.2">
      <c r="E45" s="576" t="str">
        <f t="shared" si="41"/>
        <v/>
      </c>
      <c r="G45" s="576" t="str">
        <f t="shared" si="37"/>
        <v/>
      </c>
      <c r="I45" s="576" t="str">
        <f t="shared" si="38"/>
        <v/>
      </c>
      <c r="K45" s="576" t="str">
        <f t="shared" si="39"/>
        <v/>
      </c>
      <c r="M45" s="576" t="str">
        <f t="shared" si="40"/>
        <v/>
      </c>
      <c r="O45" s="576" t="str">
        <f t="shared" si="42"/>
        <v/>
      </c>
      <c r="Q45" s="576" t="str">
        <f t="shared" si="23"/>
        <v/>
      </c>
      <c r="S45" s="576" t="str">
        <f t="shared" si="24"/>
        <v/>
      </c>
      <c r="U45" s="576" t="str">
        <f t="shared" si="25"/>
        <v/>
      </c>
      <c r="W45" s="576" t="str">
        <f t="shared" si="26"/>
        <v/>
      </c>
      <c r="Y45" s="576" t="str">
        <f t="shared" si="27"/>
        <v/>
      </c>
      <c r="AA45" s="576" t="str">
        <f t="shared" si="36"/>
        <v/>
      </c>
      <c r="AC45" s="576" t="str">
        <f t="shared" si="28"/>
        <v/>
      </c>
      <c r="AE45" s="576" t="str">
        <f t="shared" si="29"/>
        <v/>
      </c>
      <c r="AG45" s="576" t="str">
        <f t="shared" si="30"/>
        <v/>
      </c>
      <c r="AI45" s="576" t="str">
        <f t="shared" si="31"/>
        <v/>
      </c>
      <c r="AK45" s="576" t="str">
        <f t="shared" si="32"/>
        <v/>
      </c>
      <c r="AM45" s="576" t="str">
        <f t="shared" si="33"/>
        <v/>
      </c>
      <c r="AO45" s="576" t="str">
        <f t="shared" si="34"/>
        <v/>
      </c>
      <c r="AQ45" s="576" t="str">
        <f t="shared" si="35"/>
        <v/>
      </c>
    </row>
    <row r="46" spans="1:43" x14ac:dyDescent="0.2">
      <c r="E46" s="576" t="str">
        <f t="shared" si="41"/>
        <v/>
      </c>
      <c r="G46" s="576" t="str">
        <f t="shared" si="37"/>
        <v/>
      </c>
      <c r="I46" s="576" t="str">
        <f t="shared" si="38"/>
        <v/>
      </c>
      <c r="K46" s="576" t="str">
        <f t="shared" si="39"/>
        <v/>
      </c>
      <c r="M46" s="576" t="str">
        <f t="shared" si="40"/>
        <v/>
      </c>
      <c r="O46" s="576" t="str">
        <f t="shared" si="42"/>
        <v/>
      </c>
      <c r="Q46" s="576" t="str">
        <f t="shared" si="23"/>
        <v/>
      </c>
      <c r="S46" s="576" t="str">
        <f t="shared" si="24"/>
        <v/>
      </c>
      <c r="U46" s="576" t="str">
        <f t="shared" si="25"/>
        <v/>
      </c>
      <c r="W46" s="576" t="str">
        <f t="shared" si="26"/>
        <v/>
      </c>
      <c r="Y46" s="576" t="str">
        <f t="shared" si="27"/>
        <v/>
      </c>
      <c r="AA46" s="576" t="str">
        <f t="shared" si="36"/>
        <v/>
      </c>
      <c r="AC46" s="576" t="str">
        <f t="shared" si="28"/>
        <v/>
      </c>
      <c r="AE46" s="576" t="str">
        <f t="shared" si="29"/>
        <v/>
      </c>
      <c r="AG46" s="576" t="str">
        <f t="shared" si="30"/>
        <v/>
      </c>
      <c r="AI46" s="576" t="str">
        <f t="shared" si="31"/>
        <v/>
      </c>
      <c r="AK46" s="576" t="str">
        <f t="shared" si="32"/>
        <v/>
      </c>
      <c r="AM46" s="576" t="str">
        <f t="shared" si="33"/>
        <v/>
      </c>
      <c r="AO46" s="576" t="str">
        <f t="shared" si="34"/>
        <v/>
      </c>
      <c r="AQ46" s="576" t="str">
        <f t="shared" si="35"/>
        <v/>
      </c>
    </row>
    <row r="47" spans="1:43" x14ac:dyDescent="0.2">
      <c r="E47" s="576" t="str">
        <f t="shared" si="41"/>
        <v/>
      </c>
      <c r="G47" s="576" t="str">
        <f t="shared" si="37"/>
        <v/>
      </c>
      <c r="I47" s="576" t="str">
        <f t="shared" si="38"/>
        <v/>
      </c>
      <c r="K47" s="576" t="str">
        <f t="shared" si="39"/>
        <v/>
      </c>
      <c r="M47" s="576" t="str">
        <f t="shared" si="40"/>
        <v/>
      </c>
      <c r="O47" s="576" t="str">
        <f t="shared" si="42"/>
        <v/>
      </c>
      <c r="Q47" s="576" t="str">
        <f t="shared" si="23"/>
        <v/>
      </c>
      <c r="S47" s="576" t="str">
        <f t="shared" si="24"/>
        <v/>
      </c>
      <c r="U47" s="576" t="str">
        <f t="shared" si="25"/>
        <v/>
      </c>
      <c r="W47" s="576" t="str">
        <f t="shared" si="26"/>
        <v/>
      </c>
      <c r="Y47" s="576" t="str">
        <f t="shared" si="27"/>
        <v/>
      </c>
      <c r="AA47" s="576" t="str">
        <f t="shared" si="36"/>
        <v/>
      </c>
      <c r="AC47" s="576" t="str">
        <f t="shared" si="28"/>
        <v/>
      </c>
      <c r="AE47" s="576" t="str">
        <f t="shared" si="29"/>
        <v/>
      </c>
      <c r="AG47" s="576" t="str">
        <f t="shared" si="30"/>
        <v/>
      </c>
      <c r="AI47" s="576" t="str">
        <f t="shared" si="31"/>
        <v/>
      </c>
      <c r="AK47" s="576" t="str">
        <f t="shared" si="32"/>
        <v/>
      </c>
      <c r="AM47" s="576" t="str">
        <f t="shared" si="33"/>
        <v/>
      </c>
      <c r="AO47" s="576" t="str">
        <f t="shared" si="34"/>
        <v/>
      </c>
      <c r="AQ47" s="576" t="str">
        <f t="shared" si="35"/>
        <v/>
      </c>
    </row>
    <row r="48" spans="1:43" x14ac:dyDescent="0.2">
      <c r="E48" s="576" t="str">
        <f t="shared" si="41"/>
        <v/>
      </c>
      <c r="G48" s="576" t="str">
        <f t="shared" si="37"/>
        <v/>
      </c>
      <c r="I48" s="576" t="str">
        <f t="shared" si="38"/>
        <v/>
      </c>
      <c r="K48" s="576" t="str">
        <f t="shared" si="39"/>
        <v/>
      </c>
      <c r="M48" s="576" t="str">
        <f t="shared" si="40"/>
        <v/>
      </c>
      <c r="O48" s="576" t="str">
        <f t="shared" si="42"/>
        <v/>
      </c>
      <c r="Q48" s="576" t="str">
        <f t="shared" si="23"/>
        <v/>
      </c>
      <c r="S48" s="576" t="str">
        <f t="shared" si="24"/>
        <v/>
      </c>
      <c r="U48" s="576" t="str">
        <f t="shared" si="25"/>
        <v/>
      </c>
      <c r="W48" s="576" t="str">
        <f t="shared" si="26"/>
        <v/>
      </c>
      <c r="Y48" s="576" t="str">
        <f t="shared" si="27"/>
        <v/>
      </c>
      <c r="AA48" s="576" t="str">
        <f t="shared" si="36"/>
        <v/>
      </c>
      <c r="AC48" s="576" t="str">
        <f t="shared" si="28"/>
        <v/>
      </c>
      <c r="AE48" s="576" t="str">
        <f t="shared" si="29"/>
        <v/>
      </c>
      <c r="AG48" s="576" t="str">
        <f t="shared" si="30"/>
        <v/>
      </c>
      <c r="AI48" s="576" t="str">
        <f t="shared" si="31"/>
        <v/>
      </c>
      <c r="AK48" s="576" t="str">
        <f t="shared" si="32"/>
        <v/>
      </c>
      <c r="AM48" s="576" t="str">
        <f t="shared" si="33"/>
        <v/>
      </c>
      <c r="AO48" s="576" t="str">
        <f t="shared" si="34"/>
        <v/>
      </c>
      <c r="AQ48" s="576" t="str">
        <f t="shared" si="35"/>
        <v/>
      </c>
    </row>
    <row r="49" spans="5:43" x14ac:dyDescent="0.2">
      <c r="E49" s="576" t="str">
        <f t="shared" si="41"/>
        <v/>
      </c>
      <c r="G49" s="576" t="str">
        <f t="shared" si="37"/>
        <v/>
      </c>
      <c r="I49" s="576" t="str">
        <f t="shared" si="38"/>
        <v/>
      </c>
      <c r="K49" s="576" t="str">
        <f t="shared" si="39"/>
        <v/>
      </c>
      <c r="M49" s="576" t="str">
        <f t="shared" si="40"/>
        <v/>
      </c>
      <c r="O49" s="576" t="str">
        <f t="shared" si="42"/>
        <v/>
      </c>
      <c r="Q49" s="576" t="str">
        <f t="shared" si="23"/>
        <v/>
      </c>
      <c r="S49" s="576" t="str">
        <f t="shared" si="24"/>
        <v/>
      </c>
      <c r="U49" s="576" t="str">
        <f t="shared" si="25"/>
        <v/>
      </c>
      <c r="W49" s="576" t="str">
        <f t="shared" si="26"/>
        <v/>
      </c>
      <c r="Y49" s="576" t="str">
        <f t="shared" si="27"/>
        <v/>
      </c>
      <c r="AA49" s="576" t="str">
        <f t="shared" si="36"/>
        <v/>
      </c>
      <c r="AC49" s="576" t="str">
        <f t="shared" si="28"/>
        <v/>
      </c>
      <c r="AE49" s="576" t="str">
        <f t="shared" si="29"/>
        <v/>
      </c>
      <c r="AG49" s="576" t="str">
        <f t="shared" si="30"/>
        <v/>
      </c>
      <c r="AI49" s="576" t="str">
        <f t="shared" si="31"/>
        <v/>
      </c>
      <c r="AK49" s="576" t="str">
        <f t="shared" si="32"/>
        <v/>
      </c>
      <c r="AM49" s="576" t="str">
        <f t="shared" si="33"/>
        <v/>
      </c>
      <c r="AO49" s="576" t="str">
        <f t="shared" si="34"/>
        <v/>
      </c>
      <c r="AQ49" s="576" t="str">
        <f t="shared" si="35"/>
        <v/>
      </c>
    </row>
    <row r="50" spans="5:43" x14ac:dyDescent="0.2">
      <c r="E50" s="576" t="str">
        <f t="shared" si="41"/>
        <v/>
      </c>
      <c r="G50" s="576" t="str">
        <f t="shared" si="37"/>
        <v/>
      </c>
      <c r="I50" s="576" t="str">
        <f t="shared" si="38"/>
        <v/>
      </c>
      <c r="K50" s="576" t="str">
        <f t="shared" si="39"/>
        <v/>
      </c>
      <c r="M50" s="576" t="str">
        <f t="shared" si="40"/>
        <v/>
      </c>
      <c r="O50" s="576" t="str">
        <f t="shared" si="42"/>
        <v/>
      </c>
      <c r="Q50" s="576" t="str">
        <f t="shared" si="23"/>
        <v/>
      </c>
      <c r="S50" s="576" t="str">
        <f t="shared" si="24"/>
        <v/>
      </c>
      <c r="U50" s="576" t="str">
        <f t="shared" si="25"/>
        <v/>
      </c>
      <c r="W50" s="576" t="str">
        <f t="shared" si="26"/>
        <v/>
      </c>
      <c r="Y50" s="576" t="str">
        <f t="shared" si="27"/>
        <v/>
      </c>
      <c r="AA50" s="576" t="str">
        <f t="shared" si="36"/>
        <v/>
      </c>
      <c r="AC50" s="576" t="str">
        <f t="shared" si="28"/>
        <v/>
      </c>
      <c r="AE50" s="576" t="str">
        <f t="shared" si="29"/>
        <v/>
      </c>
      <c r="AG50" s="576" t="str">
        <f t="shared" si="30"/>
        <v/>
      </c>
      <c r="AI50" s="576" t="str">
        <f t="shared" si="31"/>
        <v/>
      </c>
      <c r="AK50" s="576" t="str">
        <f t="shared" si="32"/>
        <v/>
      </c>
      <c r="AM50" s="576" t="str">
        <f t="shared" si="33"/>
        <v/>
      </c>
      <c r="AO50" s="576" t="str">
        <f t="shared" si="34"/>
        <v/>
      </c>
      <c r="AQ50" s="576" t="str">
        <f t="shared" si="35"/>
        <v/>
      </c>
    </row>
    <row r="51" spans="5:43" x14ac:dyDescent="0.2">
      <c r="E51" s="576" t="str">
        <f t="shared" si="41"/>
        <v/>
      </c>
      <c r="G51" s="576" t="str">
        <f t="shared" si="37"/>
        <v/>
      </c>
      <c r="I51" s="576" t="str">
        <f t="shared" si="38"/>
        <v/>
      </c>
      <c r="K51" s="576" t="str">
        <f t="shared" si="39"/>
        <v/>
      </c>
      <c r="M51" s="576" t="str">
        <f t="shared" si="40"/>
        <v/>
      </c>
      <c r="O51" s="576" t="str">
        <f t="shared" si="42"/>
        <v/>
      </c>
      <c r="Q51" s="576" t="str">
        <f t="shared" si="23"/>
        <v/>
      </c>
      <c r="S51" s="576" t="str">
        <f t="shared" si="24"/>
        <v/>
      </c>
      <c r="U51" s="576" t="str">
        <f t="shared" si="25"/>
        <v/>
      </c>
      <c r="W51" s="576" t="str">
        <f t="shared" si="26"/>
        <v/>
      </c>
      <c r="Y51" s="576" t="str">
        <f t="shared" si="27"/>
        <v/>
      </c>
      <c r="AA51" s="576" t="str">
        <f t="shared" si="36"/>
        <v/>
      </c>
      <c r="AC51" s="576" t="str">
        <f t="shared" si="28"/>
        <v/>
      </c>
      <c r="AE51" s="576" t="str">
        <f t="shared" si="29"/>
        <v/>
      </c>
      <c r="AG51" s="576" t="str">
        <f t="shared" si="30"/>
        <v/>
      </c>
      <c r="AI51" s="576" t="str">
        <f t="shared" si="31"/>
        <v/>
      </c>
      <c r="AK51" s="576" t="str">
        <f t="shared" si="32"/>
        <v/>
      </c>
      <c r="AM51" s="576" t="str">
        <f t="shared" si="33"/>
        <v/>
      </c>
      <c r="AO51" s="576" t="str">
        <f t="shared" si="34"/>
        <v/>
      </c>
      <c r="AQ51" s="576" t="str">
        <f t="shared" si="35"/>
        <v/>
      </c>
    </row>
    <row r="52" spans="5:43" x14ac:dyDescent="0.2">
      <c r="E52" s="576" t="str">
        <f t="shared" si="41"/>
        <v/>
      </c>
      <c r="G52" s="576" t="str">
        <f t="shared" si="37"/>
        <v/>
      </c>
      <c r="I52" s="576" t="str">
        <f t="shared" si="38"/>
        <v/>
      </c>
      <c r="K52" s="576" t="str">
        <f t="shared" si="39"/>
        <v/>
      </c>
      <c r="M52" s="576" t="str">
        <f t="shared" si="40"/>
        <v/>
      </c>
      <c r="O52" s="576" t="str">
        <f t="shared" si="42"/>
        <v/>
      </c>
      <c r="Q52" s="576" t="str">
        <f t="shared" si="23"/>
        <v/>
      </c>
      <c r="S52" s="576" t="str">
        <f t="shared" si="24"/>
        <v/>
      </c>
      <c r="U52" s="576" t="str">
        <f t="shared" si="25"/>
        <v/>
      </c>
      <c r="W52" s="576" t="str">
        <f t="shared" si="26"/>
        <v/>
      </c>
      <c r="Y52" s="576" t="str">
        <f t="shared" si="27"/>
        <v/>
      </c>
      <c r="AA52" s="576" t="str">
        <f t="shared" si="36"/>
        <v/>
      </c>
      <c r="AC52" s="576" t="str">
        <f t="shared" si="28"/>
        <v/>
      </c>
      <c r="AE52" s="576" t="str">
        <f t="shared" si="29"/>
        <v/>
      </c>
      <c r="AG52" s="576" t="str">
        <f t="shared" si="30"/>
        <v/>
      </c>
      <c r="AI52" s="576" t="str">
        <f t="shared" si="31"/>
        <v/>
      </c>
      <c r="AK52" s="576" t="str">
        <f t="shared" si="32"/>
        <v/>
      </c>
      <c r="AM52" s="576" t="str">
        <f t="shared" si="33"/>
        <v/>
      </c>
      <c r="AO52" s="576" t="str">
        <f t="shared" si="34"/>
        <v/>
      </c>
      <c r="AQ52" s="576" t="str">
        <f t="shared" si="35"/>
        <v/>
      </c>
    </row>
    <row r="53" spans="5:43" x14ac:dyDescent="0.2">
      <c r="E53" s="576" t="str">
        <f t="shared" si="41"/>
        <v/>
      </c>
      <c r="G53" s="576" t="str">
        <f t="shared" si="37"/>
        <v/>
      </c>
      <c r="I53" s="576" t="str">
        <f t="shared" si="38"/>
        <v/>
      </c>
      <c r="K53" s="576" t="str">
        <f t="shared" si="39"/>
        <v/>
      </c>
      <c r="M53" s="576" t="str">
        <f t="shared" si="40"/>
        <v/>
      </c>
      <c r="O53" s="576" t="str">
        <f t="shared" si="42"/>
        <v/>
      </c>
      <c r="Q53" s="576" t="str">
        <f t="shared" si="23"/>
        <v/>
      </c>
      <c r="S53" s="576" t="str">
        <f t="shared" si="24"/>
        <v/>
      </c>
      <c r="U53" s="576" t="str">
        <f t="shared" si="25"/>
        <v/>
      </c>
      <c r="W53" s="576" t="str">
        <f t="shared" si="26"/>
        <v/>
      </c>
      <c r="Y53" s="576" t="str">
        <f t="shared" si="27"/>
        <v/>
      </c>
      <c r="AA53" s="576" t="str">
        <f t="shared" si="36"/>
        <v/>
      </c>
      <c r="AC53" s="576" t="str">
        <f t="shared" si="28"/>
        <v/>
      </c>
      <c r="AE53" s="576" t="str">
        <f t="shared" si="29"/>
        <v/>
      </c>
      <c r="AG53" s="576" t="str">
        <f t="shared" si="30"/>
        <v/>
      </c>
      <c r="AI53" s="576" t="str">
        <f t="shared" si="31"/>
        <v/>
      </c>
      <c r="AK53" s="576" t="str">
        <f t="shared" si="32"/>
        <v/>
      </c>
      <c r="AM53" s="576" t="str">
        <f t="shared" si="33"/>
        <v/>
      </c>
      <c r="AO53" s="576" t="str">
        <f t="shared" si="34"/>
        <v/>
      </c>
      <c r="AQ53" s="576" t="str">
        <f t="shared" si="35"/>
        <v/>
      </c>
    </row>
    <row r="54" spans="5:43" x14ac:dyDescent="0.2">
      <c r="E54" s="576" t="str">
        <f t="shared" si="41"/>
        <v/>
      </c>
      <c r="G54" s="576" t="str">
        <f t="shared" si="37"/>
        <v/>
      </c>
      <c r="I54" s="576" t="str">
        <f t="shared" si="38"/>
        <v/>
      </c>
      <c r="K54" s="576" t="str">
        <f t="shared" si="39"/>
        <v/>
      </c>
      <c r="M54" s="576" t="str">
        <f t="shared" si="40"/>
        <v/>
      </c>
      <c r="O54" s="576" t="str">
        <f t="shared" si="42"/>
        <v/>
      </c>
      <c r="Q54" s="576" t="str">
        <f t="shared" si="23"/>
        <v/>
      </c>
      <c r="S54" s="576" t="str">
        <f t="shared" si="24"/>
        <v/>
      </c>
      <c r="U54" s="576" t="str">
        <f t="shared" si="25"/>
        <v/>
      </c>
      <c r="W54" s="576" t="str">
        <f t="shared" si="26"/>
        <v/>
      </c>
      <c r="Y54" s="576" t="str">
        <f t="shared" si="27"/>
        <v/>
      </c>
      <c r="AA54" s="576" t="str">
        <f t="shared" si="36"/>
        <v/>
      </c>
      <c r="AC54" s="576" t="str">
        <f t="shared" si="28"/>
        <v/>
      </c>
      <c r="AE54" s="576" t="str">
        <f t="shared" si="29"/>
        <v/>
      </c>
      <c r="AG54" s="576" t="str">
        <f t="shared" si="30"/>
        <v/>
      </c>
      <c r="AI54" s="576" t="str">
        <f t="shared" si="31"/>
        <v/>
      </c>
      <c r="AK54" s="576" t="str">
        <f t="shared" si="32"/>
        <v/>
      </c>
      <c r="AM54" s="576" t="str">
        <f t="shared" si="33"/>
        <v/>
      </c>
      <c r="AO54" s="576" t="str">
        <f t="shared" si="34"/>
        <v/>
      </c>
      <c r="AQ54" s="576" t="str">
        <f t="shared" si="35"/>
        <v/>
      </c>
    </row>
    <row r="55" spans="5:43" x14ac:dyDescent="0.2">
      <c r="E55" s="576" t="str">
        <f t="shared" si="41"/>
        <v/>
      </c>
      <c r="G55" s="576" t="str">
        <f t="shared" si="37"/>
        <v/>
      </c>
      <c r="I55" s="576" t="str">
        <f t="shared" si="38"/>
        <v/>
      </c>
      <c r="K55" s="576" t="str">
        <f t="shared" si="39"/>
        <v/>
      </c>
      <c r="M55" s="576" t="str">
        <f t="shared" si="40"/>
        <v/>
      </c>
      <c r="O55" s="576" t="str">
        <f t="shared" si="42"/>
        <v/>
      </c>
      <c r="Q55" s="576" t="str">
        <f t="shared" si="23"/>
        <v/>
      </c>
      <c r="S55" s="576" t="str">
        <f t="shared" si="24"/>
        <v/>
      </c>
      <c r="U55" s="576" t="str">
        <f t="shared" si="25"/>
        <v/>
      </c>
      <c r="W55" s="576" t="str">
        <f t="shared" si="26"/>
        <v/>
      </c>
      <c r="Y55" s="576" t="str">
        <f t="shared" si="27"/>
        <v/>
      </c>
      <c r="AA55" s="576" t="str">
        <f t="shared" si="36"/>
        <v/>
      </c>
      <c r="AC55" s="576" t="str">
        <f t="shared" si="28"/>
        <v/>
      </c>
      <c r="AE55" s="576" t="str">
        <f t="shared" si="29"/>
        <v/>
      </c>
      <c r="AG55" s="576" t="str">
        <f t="shared" si="30"/>
        <v/>
      </c>
      <c r="AI55" s="576" t="str">
        <f t="shared" si="31"/>
        <v/>
      </c>
      <c r="AK55" s="576" t="str">
        <f t="shared" si="32"/>
        <v/>
      </c>
      <c r="AM55" s="576" t="str">
        <f t="shared" si="33"/>
        <v/>
      </c>
      <c r="AO55" s="576" t="str">
        <f t="shared" si="34"/>
        <v/>
      </c>
      <c r="AQ55" s="576" t="str">
        <f t="shared" si="35"/>
        <v/>
      </c>
    </row>
    <row r="56" spans="5:43" x14ac:dyDescent="0.2">
      <c r="E56" s="576" t="str">
        <f t="shared" si="41"/>
        <v/>
      </c>
      <c r="G56" s="576" t="str">
        <f t="shared" si="37"/>
        <v/>
      </c>
      <c r="I56" s="576" t="str">
        <f t="shared" si="38"/>
        <v/>
      </c>
      <c r="K56" s="576" t="str">
        <f t="shared" si="39"/>
        <v/>
      </c>
      <c r="M56" s="576" t="str">
        <f t="shared" si="40"/>
        <v/>
      </c>
      <c r="O56" s="576" t="str">
        <f t="shared" si="42"/>
        <v/>
      </c>
      <c r="Q56" s="576" t="str">
        <f t="shared" si="23"/>
        <v/>
      </c>
      <c r="S56" s="576" t="str">
        <f t="shared" si="24"/>
        <v/>
      </c>
      <c r="U56" s="576" t="str">
        <f t="shared" si="25"/>
        <v/>
      </c>
      <c r="W56" s="576" t="str">
        <f t="shared" si="26"/>
        <v/>
      </c>
      <c r="Y56" s="576" t="str">
        <f t="shared" si="27"/>
        <v/>
      </c>
      <c r="AA56" s="576" t="str">
        <f t="shared" si="36"/>
        <v/>
      </c>
      <c r="AC56" s="576" t="str">
        <f t="shared" si="28"/>
        <v/>
      </c>
      <c r="AE56" s="576" t="str">
        <f t="shared" si="29"/>
        <v/>
      </c>
      <c r="AG56" s="576" t="str">
        <f t="shared" si="30"/>
        <v/>
      </c>
      <c r="AI56" s="576" t="str">
        <f t="shared" si="31"/>
        <v/>
      </c>
      <c r="AK56" s="576" t="str">
        <f t="shared" si="32"/>
        <v/>
      </c>
      <c r="AM56" s="576" t="str">
        <f t="shared" si="33"/>
        <v/>
      </c>
      <c r="AO56" s="576" t="str">
        <f t="shared" si="34"/>
        <v/>
      </c>
      <c r="AQ56" s="576" t="str">
        <f t="shared" si="35"/>
        <v/>
      </c>
    </row>
    <row r="57" spans="5:43" x14ac:dyDescent="0.2">
      <c r="E57" s="576" t="str">
        <f t="shared" si="41"/>
        <v/>
      </c>
      <c r="G57" s="576" t="str">
        <f t="shared" si="37"/>
        <v/>
      </c>
      <c r="I57" s="576" t="str">
        <f t="shared" si="38"/>
        <v/>
      </c>
      <c r="K57" s="576" t="str">
        <f t="shared" si="39"/>
        <v/>
      </c>
      <c r="M57" s="576" t="str">
        <f t="shared" si="40"/>
        <v/>
      </c>
      <c r="O57" s="576" t="str">
        <f t="shared" si="42"/>
        <v/>
      </c>
      <c r="Q57" s="576" t="str">
        <f t="shared" si="23"/>
        <v/>
      </c>
      <c r="S57" s="576" t="str">
        <f t="shared" si="24"/>
        <v/>
      </c>
      <c r="U57" s="576" t="str">
        <f t="shared" si="25"/>
        <v/>
      </c>
      <c r="W57" s="576" t="str">
        <f t="shared" si="26"/>
        <v/>
      </c>
      <c r="Y57" s="576" t="str">
        <f t="shared" si="27"/>
        <v/>
      </c>
      <c r="AA57" s="576" t="str">
        <f t="shared" si="36"/>
        <v/>
      </c>
      <c r="AC57" s="576" t="str">
        <f t="shared" si="28"/>
        <v/>
      </c>
      <c r="AE57" s="576" t="str">
        <f t="shared" si="29"/>
        <v/>
      </c>
      <c r="AG57" s="576" t="str">
        <f t="shared" si="30"/>
        <v/>
      </c>
      <c r="AI57" s="576" t="str">
        <f t="shared" si="31"/>
        <v/>
      </c>
      <c r="AK57" s="576" t="str">
        <f t="shared" si="32"/>
        <v/>
      </c>
      <c r="AM57" s="576" t="str">
        <f t="shared" si="33"/>
        <v/>
      </c>
      <c r="AO57" s="576" t="str">
        <f t="shared" si="34"/>
        <v/>
      </c>
      <c r="AQ57" s="576" t="str">
        <f t="shared" si="35"/>
        <v/>
      </c>
    </row>
    <row r="58" spans="5:43" x14ac:dyDescent="0.2">
      <c r="E58" s="576" t="str">
        <f t="shared" si="41"/>
        <v/>
      </c>
      <c r="G58" s="576" t="str">
        <f t="shared" si="37"/>
        <v/>
      </c>
      <c r="I58" s="576" t="str">
        <f t="shared" si="38"/>
        <v/>
      </c>
      <c r="K58" s="576" t="str">
        <f t="shared" si="39"/>
        <v/>
      </c>
      <c r="M58" s="576" t="str">
        <f t="shared" si="40"/>
        <v/>
      </c>
      <c r="O58" s="576" t="str">
        <f t="shared" si="42"/>
        <v/>
      </c>
      <c r="Q58" s="576" t="str">
        <f t="shared" si="23"/>
        <v/>
      </c>
      <c r="S58" s="576" t="str">
        <f t="shared" si="24"/>
        <v/>
      </c>
      <c r="U58" s="576" t="str">
        <f t="shared" si="25"/>
        <v/>
      </c>
      <c r="W58" s="576" t="str">
        <f t="shared" si="26"/>
        <v/>
      </c>
      <c r="Y58" s="576" t="str">
        <f t="shared" si="27"/>
        <v/>
      </c>
      <c r="AA58" s="576" t="str">
        <f t="shared" si="36"/>
        <v/>
      </c>
      <c r="AC58" s="576" t="str">
        <f t="shared" si="28"/>
        <v/>
      </c>
      <c r="AE58" s="576" t="str">
        <f t="shared" si="29"/>
        <v/>
      </c>
      <c r="AG58" s="576" t="str">
        <f t="shared" si="30"/>
        <v/>
      </c>
      <c r="AI58" s="576" t="str">
        <f t="shared" si="31"/>
        <v/>
      </c>
      <c r="AK58" s="576" t="str">
        <f t="shared" si="32"/>
        <v/>
      </c>
      <c r="AM58" s="576" t="str">
        <f t="shared" si="33"/>
        <v/>
      </c>
      <c r="AO58" s="576" t="str">
        <f t="shared" si="34"/>
        <v/>
      </c>
      <c r="AQ58" s="576" t="str">
        <f t="shared" si="35"/>
        <v/>
      </c>
    </row>
    <row r="59" spans="5:43" x14ac:dyDescent="0.2">
      <c r="E59" s="576" t="str">
        <f t="shared" si="41"/>
        <v/>
      </c>
      <c r="G59" s="576" t="str">
        <f t="shared" si="37"/>
        <v/>
      </c>
      <c r="I59" s="576" t="str">
        <f t="shared" si="38"/>
        <v/>
      </c>
      <c r="K59" s="576" t="str">
        <f t="shared" si="39"/>
        <v/>
      </c>
      <c r="M59" s="576" t="str">
        <f t="shared" si="40"/>
        <v/>
      </c>
      <c r="O59" s="576" t="str">
        <f t="shared" si="42"/>
        <v/>
      </c>
      <c r="Q59" s="576" t="str">
        <f t="shared" si="23"/>
        <v/>
      </c>
      <c r="S59" s="576" t="str">
        <f t="shared" si="24"/>
        <v/>
      </c>
      <c r="U59" s="576" t="str">
        <f t="shared" si="25"/>
        <v/>
      </c>
      <c r="W59" s="576" t="str">
        <f t="shared" si="26"/>
        <v/>
      </c>
      <c r="Y59" s="576" t="str">
        <f t="shared" si="27"/>
        <v/>
      </c>
      <c r="AA59" s="576" t="str">
        <f t="shared" si="36"/>
        <v/>
      </c>
      <c r="AC59" s="576" t="str">
        <f t="shared" si="28"/>
        <v/>
      </c>
      <c r="AE59" s="576" t="str">
        <f t="shared" si="29"/>
        <v/>
      </c>
      <c r="AG59" s="576" t="str">
        <f t="shared" si="30"/>
        <v/>
      </c>
      <c r="AI59" s="576" t="str">
        <f t="shared" si="31"/>
        <v/>
      </c>
      <c r="AK59" s="576" t="str">
        <f t="shared" si="32"/>
        <v/>
      </c>
      <c r="AM59" s="576" t="str">
        <f t="shared" si="33"/>
        <v/>
      </c>
      <c r="AO59" s="576" t="str">
        <f t="shared" si="34"/>
        <v/>
      </c>
      <c r="AQ59" s="576" t="str">
        <f t="shared" si="35"/>
        <v/>
      </c>
    </row>
    <row r="60" spans="5:43" x14ac:dyDescent="0.2">
      <c r="E60" s="576" t="str">
        <f t="shared" si="41"/>
        <v/>
      </c>
      <c r="G60" s="576" t="str">
        <f t="shared" si="37"/>
        <v/>
      </c>
      <c r="I60" s="576" t="str">
        <f t="shared" si="38"/>
        <v/>
      </c>
      <c r="K60" s="576" t="str">
        <f t="shared" si="39"/>
        <v/>
      </c>
      <c r="M60" s="576" t="str">
        <f t="shared" si="40"/>
        <v/>
      </c>
      <c r="O60" s="576" t="str">
        <f t="shared" si="42"/>
        <v/>
      </c>
      <c r="Q60" s="576" t="str">
        <f t="shared" si="23"/>
        <v/>
      </c>
      <c r="S60" s="576" t="str">
        <f t="shared" si="24"/>
        <v/>
      </c>
      <c r="U60" s="576" t="str">
        <f t="shared" si="25"/>
        <v/>
      </c>
      <c r="W60" s="576" t="str">
        <f t="shared" si="26"/>
        <v/>
      </c>
      <c r="Y60" s="576" t="str">
        <f t="shared" si="27"/>
        <v/>
      </c>
      <c r="AA60" s="576" t="str">
        <f t="shared" si="36"/>
        <v/>
      </c>
      <c r="AC60" s="576" t="str">
        <f t="shared" si="28"/>
        <v/>
      </c>
      <c r="AE60" s="576" t="str">
        <f t="shared" si="29"/>
        <v/>
      </c>
      <c r="AG60" s="576" t="str">
        <f t="shared" si="30"/>
        <v/>
      </c>
      <c r="AI60" s="576" t="str">
        <f t="shared" si="31"/>
        <v/>
      </c>
      <c r="AK60" s="576" t="str">
        <f t="shared" si="32"/>
        <v/>
      </c>
      <c r="AM60" s="576" t="str">
        <f t="shared" si="33"/>
        <v/>
      </c>
      <c r="AO60" s="576" t="str">
        <f t="shared" si="34"/>
        <v/>
      </c>
      <c r="AQ60" s="576" t="str">
        <f t="shared" si="35"/>
        <v/>
      </c>
    </row>
    <row r="61" spans="5:43" x14ac:dyDescent="0.2">
      <c r="E61" s="576" t="str">
        <f t="shared" si="41"/>
        <v/>
      </c>
      <c r="G61" s="576" t="str">
        <f t="shared" si="37"/>
        <v/>
      </c>
      <c r="I61" s="576" t="str">
        <f t="shared" si="38"/>
        <v/>
      </c>
      <c r="K61" s="576" t="str">
        <f t="shared" si="39"/>
        <v/>
      </c>
      <c r="M61" s="576" t="str">
        <f t="shared" si="40"/>
        <v/>
      </c>
      <c r="O61" s="576" t="str">
        <f t="shared" si="42"/>
        <v/>
      </c>
      <c r="Q61" s="576" t="str">
        <f t="shared" si="23"/>
        <v/>
      </c>
      <c r="S61" s="576" t="str">
        <f t="shared" si="24"/>
        <v/>
      </c>
      <c r="U61" s="576" t="str">
        <f t="shared" si="25"/>
        <v/>
      </c>
      <c r="W61" s="576" t="str">
        <f t="shared" si="26"/>
        <v/>
      </c>
      <c r="Y61" s="576" t="str">
        <f t="shared" si="27"/>
        <v/>
      </c>
      <c r="AA61" s="576" t="str">
        <f t="shared" si="36"/>
        <v/>
      </c>
      <c r="AC61" s="576" t="str">
        <f t="shared" si="28"/>
        <v/>
      </c>
      <c r="AE61" s="576" t="str">
        <f t="shared" si="29"/>
        <v/>
      </c>
      <c r="AG61" s="576" t="str">
        <f t="shared" si="30"/>
        <v/>
      </c>
      <c r="AI61" s="576" t="str">
        <f t="shared" si="31"/>
        <v/>
      </c>
      <c r="AK61" s="576" t="str">
        <f t="shared" si="32"/>
        <v/>
      </c>
      <c r="AM61" s="576" t="str">
        <f t="shared" si="33"/>
        <v/>
      </c>
      <c r="AO61" s="576" t="str">
        <f t="shared" si="34"/>
        <v/>
      </c>
      <c r="AQ61" s="576" t="str">
        <f t="shared" si="35"/>
        <v/>
      </c>
    </row>
    <row r="62" spans="5:43" x14ac:dyDescent="0.2">
      <c r="E62" s="576" t="str">
        <f t="shared" si="41"/>
        <v/>
      </c>
      <c r="G62" s="576" t="str">
        <f t="shared" si="37"/>
        <v/>
      </c>
      <c r="I62" s="576" t="str">
        <f t="shared" si="38"/>
        <v/>
      </c>
      <c r="K62" s="576" t="str">
        <f t="shared" si="39"/>
        <v/>
      </c>
      <c r="M62" s="576" t="str">
        <f t="shared" si="40"/>
        <v/>
      </c>
      <c r="O62" s="576" t="str">
        <f t="shared" si="42"/>
        <v/>
      </c>
      <c r="Q62" s="576" t="str">
        <f t="shared" si="23"/>
        <v/>
      </c>
      <c r="S62" s="576" t="str">
        <f t="shared" si="24"/>
        <v/>
      </c>
      <c r="U62" s="576" t="str">
        <f t="shared" si="25"/>
        <v/>
      </c>
      <c r="W62" s="576" t="str">
        <f t="shared" si="26"/>
        <v/>
      </c>
      <c r="Y62" s="576" t="str">
        <f t="shared" si="27"/>
        <v/>
      </c>
      <c r="AA62" s="576" t="str">
        <f t="shared" si="36"/>
        <v/>
      </c>
      <c r="AC62" s="576" t="str">
        <f t="shared" si="28"/>
        <v/>
      </c>
      <c r="AE62" s="576" t="str">
        <f t="shared" si="29"/>
        <v/>
      </c>
      <c r="AG62" s="576" t="str">
        <f t="shared" si="30"/>
        <v/>
      </c>
      <c r="AI62" s="576" t="str">
        <f t="shared" si="31"/>
        <v/>
      </c>
      <c r="AK62" s="576" t="str">
        <f t="shared" si="32"/>
        <v/>
      </c>
      <c r="AM62" s="576" t="str">
        <f t="shared" si="33"/>
        <v/>
      </c>
      <c r="AO62" s="576" t="str">
        <f t="shared" si="34"/>
        <v/>
      </c>
      <c r="AQ62" s="576" t="str">
        <f t="shared" si="35"/>
        <v/>
      </c>
    </row>
    <row r="63" spans="5:43" x14ac:dyDescent="0.2">
      <c r="E63" s="576" t="str">
        <f t="shared" si="41"/>
        <v/>
      </c>
      <c r="G63" s="576" t="str">
        <f t="shared" si="37"/>
        <v/>
      </c>
      <c r="I63" s="576" t="str">
        <f t="shared" si="38"/>
        <v/>
      </c>
      <c r="K63" s="576" t="str">
        <f t="shared" si="39"/>
        <v/>
      </c>
      <c r="M63" s="576" t="str">
        <f t="shared" si="40"/>
        <v/>
      </c>
      <c r="O63" s="576" t="str">
        <f t="shared" si="42"/>
        <v/>
      </c>
      <c r="Q63" s="576" t="str">
        <f t="shared" si="23"/>
        <v/>
      </c>
      <c r="S63" s="576" t="str">
        <f t="shared" si="24"/>
        <v/>
      </c>
      <c r="U63" s="576" t="str">
        <f t="shared" si="25"/>
        <v/>
      </c>
      <c r="W63" s="576" t="str">
        <f t="shared" si="26"/>
        <v/>
      </c>
      <c r="Y63" s="576" t="str">
        <f t="shared" si="27"/>
        <v/>
      </c>
      <c r="AA63" s="576" t="str">
        <f t="shared" si="36"/>
        <v/>
      </c>
      <c r="AC63" s="576" t="str">
        <f t="shared" si="28"/>
        <v/>
      </c>
      <c r="AE63" s="576" t="str">
        <f t="shared" si="29"/>
        <v/>
      </c>
      <c r="AG63" s="576" t="str">
        <f t="shared" si="30"/>
        <v/>
      </c>
      <c r="AI63" s="576" t="str">
        <f t="shared" si="31"/>
        <v/>
      </c>
      <c r="AK63" s="576" t="str">
        <f t="shared" si="32"/>
        <v/>
      </c>
      <c r="AM63" s="576" t="str">
        <f t="shared" si="33"/>
        <v/>
      </c>
      <c r="AO63" s="576" t="str">
        <f t="shared" si="34"/>
        <v/>
      </c>
      <c r="AQ63" s="576" t="str">
        <f t="shared" si="35"/>
        <v/>
      </c>
    </row>
    <row r="64" spans="5:43" x14ac:dyDescent="0.2">
      <c r="E64" s="576" t="str">
        <f t="shared" si="41"/>
        <v/>
      </c>
      <c r="G64" s="576" t="str">
        <f t="shared" si="37"/>
        <v/>
      </c>
      <c r="I64" s="576" t="str">
        <f t="shared" si="38"/>
        <v/>
      </c>
      <c r="K64" s="576" t="str">
        <f t="shared" si="39"/>
        <v/>
      </c>
      <c r="M64" s="576" t="str">
        <f t="shared" si="40"/>
        <v/>
      </c>
      <c r="O64" s="576" t="str">
        <f t="shared" si="42"/>
        <v/>
      </c>
      <c r="Q64" s="576" t="str">
        <f t="shared" si="23"/>
        <v/>
      </c>
      <c r="S64" s="576" t="str">
        <f t="shared" si="24"/>
        <v/>
      </c>
      <c r="U64" s="576" t="str">
        <f t="shared" si="25"/>
        <v/>
      </c>
      <c r="W64" s="576" t="str">
        <f t="shared" si="26"/>
        <v/>
      </c>
      <c r="Y64" s="576" t="str">
        <f t="shared" si="27"/>
        <v/>
      </c>
      <c r="AA64" s="576" t="str">
        <f t="shared" si="36"/>
        <v/>
      </c>
      <c r="AC64" s="576" t="str">
        <f t="shared" si="28"/>
        <v/>
      </c>
      <c r="AE64" s="576" t="str">
        <f t="shared" si="29"/>
        <v/>
      </c>
      <c r="AG64" s="576" t="str">
        <f t="shared" si="30"/>
        <v/>
      </c>
      <c r="AI64" s="576" t="str">
        <f t="shared" si="31"/>
        <v/>
      </c>
      <c r="AK64" s="576" t="str">
        <f t="shared" si="32"/>
        <v/>
      </c>
      <c r="AM64" s="576" t="str">
        <f t="shared" si="33"/>
        <v/>
      </c>
      <c r="AO64" s="576" t="str">
        <f t="shared" si="34"/>
        <v/>
      </c>
      <c r="AQ64" s="576" t="str">
        <f t="shared" si="35"/>
        <v/>
      </c>
    </row>
    <row r="65" spans="5:43" x14ac:dyDescent="0.2">
      <c r="E65" s="576" t="str">
        <f t="shared" si="41"/>
        <v/>
      </c>
      <c r="G65" s="576" t="str">
        <f t="shared" si="37"/>
        <v/>
      </c>
      <c r="I65" s="576" t="str">
        <f t="shared" si="38"/>
        <v/>
      </c>
      <c r="K65" s="576" t="str">
        <f t="shared" si="39"/>
        <v/>
      </c>
      <c r="M65" s="576" t="str">
        <f t="shared" si="40"/>
        <v/>
      </c>
      <c r="O65" s="576" t="str">
        <f t="shared" si="42"/>
        <v/>
      </c>
      <c r="Q65" s="576" t="str">
        <f t="shared" si="23"/>
        <v/>
      </c>
      <c r="S65" s="576" t="str">
        <f t="shared" si="24"/>
        <v/>
      </c>
      <c r="U65" s="576" t="str">
        <f t="shared" si="25"/>
        <v/>
      </c>
      <c r="W65" s="576" t="str">
        <f t="shared" si="26"/>
        <v/>
      </c>
      <c r="Y65" s="576" t="str">
        <f t="shared" si="27"/>
        <v/>
      </c>
      <c r="AA65" s="576" t="str">
        <f t="shared" si="36"/>
        <v/>
      </c>
      <c r="AC65" s="576" t="str">
        <f t="shared" si="28"/>
        <v/>
      </c>
      <c r="AE65" s="576" t="str">
        <f t="shared" si="29"/>
        <v/>
      </c>
      <c r="AG65" s="576" t="str">
        <f t="shared" si="30"/>
        <v/>
      </c>
      <c r="AI65" s="576" t="str">
        <f t="shared" si="31"/>
        <v/>
      </c>
      <c r="AK65" s="576" t="str">
        <f t="shared" si="32"/>
        <v/>
      </c>
      <c r="AM65" s="576" t="str">
        <f t="shared" si="33"/>
        <v/>
      </c>
      <c r="AO65" s="576" t="str">
        <f t="shared" si="34"/>
        <v/>
      </c>
      <c r="AQ65" s="576" t="str">
        <f t="shared" si="35"/>
        <v/>
      </c>
    </row>
    <row r="66" spans="5:43" x14ac:dyDescent="0.2">
      <c r="E66" s="576" t="str">
        <f t="shared" si="41"/>
        <v/>
      </c>
      <c r="G66" s="576" t="str">
        <f t="shared" si="37"/>
        <v/>
      </c>
      <c r="I66" s="576" t="str">
        <f t="shared" si="38"/>
        <v/>
      </c>
      <c r="K66" s="576" t="str">
        <f t="shared" si="39"/>
        <v/>
      </c>
      <c r="M66" s="576" t="str">
        <f t="shared" si="40"/>
        <v/>
      </c>
      <c r="O66" s="576" t="str">
        <f t="shared" si="42"/>
        <v/>
      </c>
      <c r="Q66" s="576" t="str">
        <f t="shared" si="23"/>
        <v/>
      </c>
      <c r="S66" s="576" t="str">
        <f t="shared" si="24"/>
        <v/>
      </c>
      <c r="U66" s="576" t="str">
        <f t="shared" si="25"/>
        <v/>
      </c>
      <c r="W66" s="576" t="str">
        <f t="shared" si="26"/>
        <v/>
      </c>
      <c r="Y66" s="576" t="str">
        <f t="shared" si="27"/>
        <v/>
      </c>
      <c r="AA66" s="576" t="str">
        <f t="shared" si="36"/>
        <v/>
      </c>
      <c r="AC66" s="576" t="str">
        <f t="shared" si="28"/>
        <v/>
      </c>
      <c r="AE66" s="576" t="str">
        <f t="shared" si="29"/>
        <v/>
      </c>
      <c r="AG66" s="576" t="str">
        <f t="shared" si="30"/>
        <v/>
      </c>
      <c r="AI66" s="576" t="str">
        <f t="shared" si="31"/>
        <v/>
      </c>
      <c r="AK66" s="576" t="str">
        <f t="shared" si="32"/>
        <v/>
      </c>
      <c r="AM66" s="576" t="str">
        <f t="shared" si="33"/>
        <v/>
      </c>
      <c r="AO66" s="576" t="str">
        <f t="shared" si="34"/>
        <v/>
      </c>
      <c r="AQ66" s="576" t="str">
        <f t="shared" si="35"/>
        <v/>
      </c>
    </row>
    <row r="67" spans="5:43" x14ac:dyDescent="0.2">
      <c r="E67" s="576" t="str">
        <f t="shared" si="41"/>
        <v/>
      </c>
      <c r="G67" s="576" t="str">
        <f t="shared" si="37"/>
        <v/>
      </c>
      <c r="I67" s="576" t="str">
        <f t="shared" si="38"/>
        <v/>
      </c>
      <c r="K67" s="576" t="str">
        <f t="shared" si="39"/>
        <v/>
      </c>
      <c r="M67" s="576" t="str">
        <f t="shared" si="40"/>
        <v/>
      </c>
      <c r="O67" s="576" t="str">
        <f t="shared" si="42"/>
        <v/>
      </c>
      <c r="Q67" s="576" t="str">
        <f t="shared" si="23"/>
        <v/>
      </c>
      <c r="S67" s="576" t="str">
        <f t="shared" si="24"/>
        <v/>
      </c>
      <c r="U67" s="576" t="str">
        <f t="shared" si="25"/>
        <v/>
      </c>
      <c r="W67" s="576" t="str">
        <f t="shared" si="26"/>
        <v/>
      </c>
      <c r="Y67" s="576" t="str">
        <f t="shared" si="27"/>
        <v/>
      </c>
      <c r="AA67" s="576" t="str">
        <f t="shared" si="36"/>
        <v/>
      </c>
      <c r="AC67" s="576" t="str">
        <f t="shared" si="28"/>
        <v/>
      </c>
      <c r="AE67" s="576" t="str">
        <f t="shared" si="29"/>
        <v/>
      </c>
      <c r="AG67" s="576" t="str">
        <f t="shared" si="30"/>
        <v/>
      </c>
      <c r="AI67" s="576" t="str">
        <f t="shared" si="31"/>
        <v/>
      </c>
      <c r="AK67" s="576" t="str">
        <f t="shared" si="32"/>
        <v/>
      </c>
      <c r="AM67" s="576" t="str">
        <f t="shared" si="33"/>
        <v/>
      </c>
      <c r="AO67" s="576" t="str">
        <f t="shared" si="34"/>
        <v/>
      </c>
      <c r="AQ67" s="576" t="str">
        <f t="shared" si="35"/>
        <v/>
      </c>
    </row>
    <row r="68" spans="5:43" x14ac:dyDescent="0.2">
      <c r="E68" s="576" t="str">
        <f t="shared" si="41"/>
        <v/>
      </c>
      <c r="G68" s="576" t="str">
        <f t="shared" si="37"/>
        <v/>
      </c>
      <c r="I68" s="576" t="str">
        <f t="shared" si="38"/>
        <v/>
      </c>
      <c r="K68" s="576" t="str">
        <f t="shared" si="39"/>
        <v/>
      </c>
      <c r="M68" s="576" t="str">
        <f t="shared" si="40"/>
        <v/>
      </c>
      <c r="O68" s="576" t="str">
        <f t="shared" si="42"/>
        <v/>
      </c>
      <c r="Q68" s="576" t="str">
        <f t="shared" si="23"/>
        <v/>
      </c>
      <c r="S68" s="576" t="str">
        <f t="shared" si="24"/>
        <v/>
      </c>
      <c r="U68" s="576" t="str">
        <f t="shared" si="25"/>
        <v/>
      </c>
      <c r="W68" s="576" t="str">
        <f t="shared" si="26"/>
        <v/>
      </c>
      <c r="Y68" s="576" t="str">
        <f t="shared" si="27"/>
        <v/>
      </c>
      <c r="AA68" s="576" t="str">
        <f t="shared" si="36"/>
        <v/>
      </c>
      <c r="AC68" s="576" t="str">
        <f t="shared" si="28"/>
        <v/>
      </c>
      <c r="AE68" s="576" t="str">
        <f t="shared" si="29"/>
        <v/>
      </c>
      <c r="AG68" s="576" t="str">
        <f t="shared" si="30"/>
        <v/>
      </c>
      <c r="AI68" s="576" t="str">
        <f t="shared" si="31"/>
        <v/>
      </c>
      <c r="AK68" s="576" t="str">
        <f t="shared" si="32"/>
        <v/>
      </c>
      <c r="AM68" s="576" t="str">
        <f t="shared" si="33"/>
        <v/>
      </c>
      <c r="AO68" s="576" t="str">
        <f t="shared" si="34"/>
        <v/>
      </c>
      <c r="AQ68" s="576" t="str">
        <f t="shared" si="35"/>
        <v/>
      </c>
    </row>
    <row r="69" spans="5:43" x14ac:dyDescent="0.2">
      <c r="E69" s="576" t="str">
        <f t="shared" si="41"/>
        <v/>
      </c>
      <c r="G69" s="576" t="str">
        <f t="shared" si="37"/>
        <v/>
      </c>
      <c r="I69" s="576" t="str">
        <f t="shared" si="38"/>
        <v/>
      </c>
      <c r="K69" s="576" t="str">
        <f t="shared" si="39"/>
        <v/>
      </c>
      <c r="M69" s="576" t="str">
        <f t="shared" si="40"/>
        <v/>
      </c>
      <c r="O69" s="576" t="str">
        <f t="shared" si="42"/>
        <v/>
      </c>
      <c r="Q69" s="576" t="str">
        <f t="shared" si="23"/>
        <v/>
      </c>
      <c r="S69" s="576" t="str">
        <f t="shared" si="24"/>
        <v/>
      </c>
      <c r="U69" s="576" t="str">
        <f t="shared" si="25"/>
        <v/>
      </c>
      <c r="W69" s="576" t="str">
        <f t="shared" si="26"/>
        <v/>
      </c>
      <c r="Y69" s="576" t="str">
        <f t="shared" si="27"/>
        <v/>
      </c>
      <c r="AA69" s="576" t="str">
        <f t="shared" si="36"/>
        <v/>
      </c>
      <c r="AC69" s="576" t="str">
        <f t="shared" si="28"/>
        <v/>
      </c>
      <c r="AE69" s="576" t="str">
        <f t="shared" si="29"/>
        <v/>
      </c>
      <c r="AG69" s="576" t="str">
        <f t="shared" si="30"/>
        <v/>
      </c>
      <c r="AI69" s="576" t="str">
        <f t="shared" si="31"/>
        <v/>
      </c>
      <c r="AK69" s="576" t="str">
        <f t="shared" si="32"/>
        <v/>
      </c>
      <c r="AM69" s="576" t="str">
        <f t="shared" si="33"/>
        <v/>
      </c>
      <c r="AO69" s="576" t="str">
        <f t="shared" si="34"/>
        <v/>
      </c>
      <c r="AQ69" s="576" t="str">
        <f t="shared" si="35"/>
        <v/>
      </c>
    </row>
    <row r="70" spans="5:43" x14ac:dyDescent="0.2">
      <c r="E70" s="576" t="str">
        <f t="shared" si="41"/>
        <v/>
      </c>
      <c r="G70" s="576" t="str">
        <f t="shared" si="37"/>
        <v/>
      </c>
      <c r="I70" s="576" t="str">
        <f t="shared" si="38"/>
        <v/>
      </c>
      <c r="K70" s="576" t="str">
        <f t="shared" si="39"/>
        <v/>
      </c>
      <c r="M70" s="576" t="str">
        <f t="shared" si="40"/>
        <v/>
      </c>
      <c r="O70" s="576" t="str">
        <f t="shared" si="42"/>
        <v/>
      </c>
      <c r="Q70" s="576" t="str">
        <f t="shared" si="23"/>
        <v/>
      </c>
      <c r="S70" s="576" t="str">
        <f t="shared" si="24"/>
        <v/>
      </c>
      <c r="U70" s="576" t="str">
        <f t="shared" si="25"/>
        <v/>
      </c>
      <c r="W70" s="576" t="str">
        <f t="shared" si="26"/>
        <v/>
      </c>
      <c r="Y70" s="576" t="str">
        <f t="shared" si="27"/>
        <v/>
      </c>
      <c r="AA70" s="576" t="str">
        <f t="shared" si="36"/>
        <v/>
      </c>
      <c r="AC70" s="576" t="str">
        <f t="shared" si="28"/>
        <v/>
      </c>
      <c r="AE70" s="576" t="str">
        <f t="shared" si="29"/>
        <v/>
      </c>
      <c r="AG70" s="576" t="str">
        <f t="shared" si="30"/>
        <v/>
      </c>
      <c r="AI70" s="576" t="str">
        <f t="shared" si="31"/>
        <v/>
      </c>
      <c r="AK70" s="576" t="str">
        <f t="shared" si="32"/>
        <v/>
      </c>
      <c r="AM70" s="576" t="str">
        <f t="shared" si="33"/>
        <v/>
      </c>
      <c r="AO70" s="576" t="str">
        <f t="shared" si="34"/>
        <v/>
      </c>
      <c r="AQ70" s="576" t="str">
        <f t="shared" si="35"/>
        <v/>
      </c>
    </row>
    <row r="71" spans="5:43" x14ac:dyDescent="0.2">
      <c r="E71" s="576" t="str">
        <f t="shared" si="41"/>
        <v/>
      </c>
      <c r="G71" s="576" t="str">
        <f t="shared" si="37"/>
        <v/>
      </c>
      <c r="I71" s="576" t="str">
        <f t="shared" si="38"/>
        <v/>
      </c>
      <c r="K71" s="576" t="str">
        <f t="shared" si="39"/>
        <v/>
      </c>
      <c r="M71" s="576" t="str">
        <f t="shared" si="40"/>
        <v/>
      </c>
      <c r="O71" s="576" t="str">
        <f t="shared" si="42"/>
        <v/>
      </c>
      <c r="Q71" s="576" t="str">
        <f t="shared" si="23"/>
        <v/>
      </c>
      <c r="S71" s="576" t="str">
        <f t="shared" si="24"/>
        <v/>
      </c>
      <c r="U71" s="576" t="str">
        <f t="shared" si="25"/>
        <v/>
      </c>
      <c r="W71" s="576" t="str">
        <f t="shared" si="26"/>
        <v/>
      </c>
      <c r="Y71" s="576" t="str">
        <f t="shared" si="27"/>
        <v/>
      </c>
      <c r="AA71" s="576" t="str">
        <f t="shared" si="36"/>
        <v/>
      </c>
      <c r="AC71" s="576" t="str">
        <f t="shared" si="28"/>
        <v/>
      </c>
      <c r="AE71" s="576" t="str">
        <f t="shared" si="29"/>
        <v/>
      </c>
      <c r="AG71" s="576" t="str">
        <f t="shared" si="30"/>
        <v/>
      </c>
      <c r="AI71" s="576" t="str">
        <f t="shared" si="31"/>
        <v/>
      </c>
      <c r="AK71" s="576" t="str">
        <f t="shared" si="32"/>
        <v/>
      </c>
      <c r="AM71" s="576" t="str">
        <f t="shared" si="33"/>
        <v/>
      </c>
      <c r="AO71" s="576" t="str">
        <f t="shared" si="34"/>
        <v/>
      </c>
      <c r="AQ71" s="576" t="str">
        <f t="shared" si="35"/>
        <v/>
      </c>
    </row>
    <row r="72" spans="5:43" x14ac:dyDescent="0.2">
      <c r="E72" s="576" t="str">
        <f t="shared" si="41"/>
        <v/>
      </c>
      <c r="G72" s="576" t="str">
        <f t="shared" si="37"/>
        <v/>
      </c>
      <c r="I72" s="576" t="str">
        <f t="shared" si="38"/>
        <v/>
      </c>
      <c r="K72" s="576" t="str">
        <f t="shared" si="39"/>
        <v/>
      </c>
      <c r="M72" s="576" t="str">
        <f t="shared" si="40"/>
        <v/>
      </c>
      <c r="O72" s="576" t="str">
        <f t="shared" si="42"/>
        <v/>
      </c>
      <c r="Q72" s="576" t="str">
        <f t="shared" si="23"/>
        <v/>
      </c>
      <c r="S72" s="576" t="str">
        <f t="shared" si="24"/>
        <v/>
      </c>
      <c r="U72" s="576" t="str">
        <f t="shared" si="25"/>
        <v/>
      </c>
      <c r="W72" s="576" t="str">
        <f t="shared" si="26"/>
        <v/>
      </c>
      <c r="Y72" s="576" t="str">
        <f t="shared" si="27"/>
        <v/>
      </c>
      <c r="AA72" s="576" t="str">
        <f t="shared" si="36"/>
        <v/>
      </c>
      <c r="AC72" s="576" t="str">
        <f t="shared" si="28"/>
        <v/>
      </c>
      <c r="AE72" s="576" t="str">
        <f t="shared" si="29"/>
        <v/>
      </c>
      <c r="AG72" s="576" t="str">
        <f t="shared" si="30"/>
        <v/>
      </c>
      <c r="AI72" s="576" t="str">
        <f t="shared" si="31"/>
        <v/>
      </c>
      <c r="AK72" s="576" t="str">
        <f t="shared" si="32"/>
        <v/>
      </c>
      <c r="AM72" s="576" t="str">
        <f t="shared" si="33"/>
        <v/>
      </c>
      <c r="AO72" s="576" t="str">
        <f t="shared" si="34"/>
        <v/>
      </c>
      <c r="AQ72" s="576" t="str">
        <f t="shared" si="35"/>
        <v/>
      </c>
    </row>
    <row r="73" spans="5:43" x14ac:dyDescent="0.2">
      <c r="E73" s="576" t="str">
        <f t="shared" si="41"/>
        <v/>
      </c>
      <c r="G73" s="576" t="str">
        <f t="shared" si="37"/>
        <v/>
      </c>
      <c r="I73" s="576" t="str">
        <f t="shared" si="38"/>
        <v/>
      </c>
      <c r="K73" s="576" t="str">
        <f t="shared" si="39"/>
        <v/>
      </c>
      <c r="M73" s="576" t="str">
        <f t="shared" si="40"/>
        <v/>
      </c>
      <c r="O73" s="576" t="str">
        <f t="shared" si="42"/>
        <v/>
      </c>
      <c r="Q73" s="576" t="str">
        <f t="shared" si="23"/>
        <v/>
      </c>
      <c r="S73" s="576" t="str">
        <f t="shared" si="24"/>
        <v/>
      </c>
      <c r="U73" s="576" t="str">
        <f t="shared" si="25"/>
        <v/>
      </c>
      <c r="W73" s="576" t="str">
        <f t="shared" si="26"/>
        <v/>
      </c>
      <c r="Y73" s="576" t="str">
        <f t="shared" si="27"/>
        <v/>
      </c>
      <c r="AA73" s="576" t="str">
        <f t="shared" si="36"/>
        <v/>
      </c>
      <c r="AC73" s="576" t="str">
        <f t="shared" si="28"/>
        <v/>
      </c>
      <c r="AE73" s="576" t="str">
        <f t="shared" si="29"/>
        <v/>
      </c>
      <c r="AG73" s="576" t="str">
        <f t="shared" si="30"/>
        <v/>
      </c>
      <c r="AI73" s="576" t="str">
        <f t="shared" si="31"/>
        <v/>
      </c>
      <c r="AK73" s="576" t="str">
        <f t="shared" si="32"/>
        <v/>
      </c>
      <c r="AM73" s="576" t="str">
        <f t="shared" si="33"/>
        <v/>
      </c>
      <c r="AO73" s="576" t="str">
        <f t="shared" si="34"/>
        <v/>
      </c>
      <c r="AQ73" s="576" t="str">
        <f t="shared" si="35"/>
        <v/>
      </c>
    </row>
    <row r="74" spans="5:43" x14ac:dyDescent="0.2">
      <c r="E74" s="576" t="str">
        <f t="shared" si="41"/>
        <v/>
      </c>
      <c r="G74" s="576" t="str">
        <f t="shared" si="37"/>
        <v/>
      </c>
      <c r="I74" s="576" t="str">
        <f t="shared" si="38"/>
        <v/>
      </c>
      <c r="K74" s="576" t="str">
        <f t="shared" si="39"/>
        <v/>
      </c>
      <c r="M74" s="576" t="str">
        <f t="shared" si="40"/>
        <v/>
      </c>
      <c r="O74" s="576" t="str">
        <f t="shared" si="42"/>
        <v/>
      </c>
      <c r="Q74" s="576" t="str">
        <f t="shared" si="23"/>
        <v/>
      </c>
      <c r="S74" s="576" t="str">
        <f t="shared" si="24"/>
        <v/>
      </c>
      <c r="U74" s="576" t="str">
        <f t="shared" si="25"/>
        <v/>
      </c>
      <c r="W74" s="576" t="str">
        <f t="shared" si="26"/>
        <v/>
      </c>
      <c r="Y74" s="576" t="str">
        <f t="shared" si="27"/>
        <v/>
      </c>
      <c r="AA74" s="576" t="str">
        <f t="shared" si="36"/>
        <v/>
      </c>
      <c r="AC74" s="576" t="str">
        <f t="shared" si="28"/>
        <v/>
      </c>
      <c r="AE74" s="576" t="str">
        <f t="shared" si="29"/>
        <v/>
      </c>
      <c r="AG74" s="576" t="str">
        <f t="shared" si="30"/>
        <v/>
      </c>
      <c r="AI74" s="576" t="str">
        <f t="shared" si="31"/>
        <v/>
      </c>
      <c r="AK74" s="576" t="str">
        <f t="shared" si="32"/>
        <v/>
      </c>
      <c r="AM74" s="576" t="str">
        <f t="shared" si="33"/>
        <v/>
      </c>
      <c r="AO74" s="576" t="str">
        <f t="shared" si="34"/>
        <v/>
      </c>
      <c r="AQ74" s="576" t="str">
        <f t="shared" si="35"/>
        <v/>
      </c>
    </row>
    <row r="75" spans="5:43" x14ac:dyDescent="0.2">
      <c r="E75" s="576" t="str">
        <f t="shared" si="41"/>
        <v/>
      </c>
      <c r="G75" s="576" t="str">
        <f t="shared" si="37"/>
        <v/>
      </c>
      <c r="I75" s="576" t="str">
        <f t="shared" si="38"/>
        <v/>
      </c>
      <c r="K75" s="576" t="str">
        <f t="shared" si="39"/>
        <v/>
      </c>
      <c r="M75" s="576" t="str">
        <f t="shared" si="40"/>
        <v/>
      </c>
      <c r="O75" s="576" t="str">
        <f t="shared" si="42"/>
        <v/>
      </c>
      <c r="Q75" s="576" t="str">
        <f t="shared" si="23"/>
        <v/>
      </c>
      <c r="S75" s="576" t="str">
        <f t="shared" si="24"/>
        <v/>
      </c>
      <c r="U75" s="576" t="str">
        <f t="shared" si="25"/>
        <v/>
      </c>
      <c r="W75" s="576" t="str">
        <f t="shared" si="26"/>
        <v/>
      </c>
      <c r="Y75" s="576" t="str">
        <f t="shared" si="27"/>
        <v/>
      </c>
      <c r="AA75" s="576" t="str">
        <f t="shared" si="36"/>
        <v/>
      </c>
      <c r="AC75" s="576" t="str">
        <f t="shared" si="28"/>
        <v/>
      </c>
      <c r="AE75" s="576" t="str">
        <f t="shared" si="29"/>
        <v/>
      </c>
      <c r="AG75" s="576" t="str">
        <f t="shared" si="30"/>
        <v/>
      </c>
      <c r="AI75" s="576" t="str">
        <f t="shared" si="31"/>
        <v/>
      </c>
      <c r="AK75" s="576" t="str">
        <f t="shared" si="32"/>
        <v/>
      </c>
      <c r="AM75" s="576" t="str">
        <f t="shared" si="33"/>
        <v/>
      </c>
      <c r="AO75" s="576" t="str">
        <f t="shared" si="34"/>
        <v/>
      </c>
      <c r="AQ75" s="576" t="str">
        <f t="shared" si="35"/>
        <v/>
      </c>
    </row>
    <row r="76" spans="5:43" x14ac:dyDescent="0.2">
      <c r="E76" s="576" t="str">
        <f t="shared" si="41"/>
        <v/>
      </c>
      <c r="G76" s="576" t="str">
        <f t="shared" si="37"/>
        <v/>
      </c>
      <c r="I76" s="576" t="str">
        <f t="shared" si="38"/>
        <v/>
      </c>
      <c r="K76" s="576" t="str">
        <f t="shared" si="39"/>
        <v/>
      </c>
      <c r="M76" s="576" t="str">
        <f t="shared" si="40"/>
        <v/>
      </c>
      <c r="O76" s="576" t="str">
        <f t="shared" si="42"/>
        <v/>
      </c>
      <c r="Q76" s="576" t="str">
        <f t="shared" si="23"/>
        <v/>
      </c>
      <c r="S76" s="576" t="str">
        <f t="shared" si="24"/>
        <v/>
      </c>
      <c r="U76" s="576" t="str">
        <f t="shared" si="25"/>
        <v/>
      </c>
      <c r="W76" s="576" t="str">
        <f t="shared" si="26"/>
        <v/>
      </c>
      <c r="Y76" s="576" t="str">
        <f t="shared" si="27"/>
        <v/>
      </c>
      <c r="AA76" s="576" t="str">
        <f t="shared" si="36"/>
        <v/>
      </c>
      <c r="AC76" s="576" t="str">
        <f t="shared" si="28"/>
        <v/>
      </c>
      <c r="AE76" s="576" t="str">
        <f t="shared" si="29"/>
        <v/>
      </c>
      <c r="AG76" s="576" t="str">
        <f t="shared" si="30"/>
        <v/>
      </c>
      <c r="AI76" s="576" t="str">
        <f t="shared" si="31"/>
        <v/>
      </c>
      <c r="AK76" s="576" t="str">
        <f t="shared" si="32"/>
        <v/>
      </c>
      <c r="AM76" s="576" t="str">
        <f t="shared" si="33"/>
        <v/>
      </c>
      <c r="AO76" s="576" t="str">
        <f t="shared" si="34"/>
        <v/>
      </c>
      <c r="AQ76" s="576" t="str">
        <f t="shared" si="35"/>
        <v/>
      </c>
    </row>
    <row r="77" spans="5:43" x14ac:dyDescent="0.2">
      <c r="E77" s="576" t="str">
        <f t="shared" si="41"/>
        <v/>
      </c>
      <c r="G77" s="576" t="str">
        <f t="shared" si="37"/>
        <v/>
      </c>
      <c r="I77" s="576" t="str">
        <f t="shared" si="38"/>
        <v/>
      </c>
      <c r="K77" s="576" t="str">
        <f t="shared" si="39"/>
        <v/>
      </c>
      <c r="M77" s="576" t="str">
        <f t="shared" si="40"/>
        <v/>
      </c>
      <c r="O77" s="576" t="str">
        <f t="shared" si="42"/>
        <v/>
      </c>
      <c r="Q77" s="576" t="str">
        <f t="shared" si="23"/>
        <v/>
      </c>
      <c r="S77" s="576" t="str">
        <f t="shared" si="24"/>
        <v/>
      </c>
      <c r="U77" s="576" t="str">
        <f t="shared" si="25"/>
        <v/>
      </c>
      <c r="W77" s="576" t="str">
        <f t="shared" si="26"/>
        <v/>
      </c>
      <c r="Y77" s="576" t="str">
        <f t="shared" si="27"/>
        <v/>
      </c>
      <c r="AA77" s="576" t="str">
        <f t="shared" si="36"/>
        <v/>
      </c>
      <c r="AC77" s="576" t="str">
        <f t="shared" si="28"/>
        <v/>
      </c>
      <c r="AE77" s="576" t="str">
        <f t="shared" si="29"/>
        <v/>
      </c>
      <c r="AG77" s="576" t="str">
        <f t="shared" si="30"/>
        <v/>
      </c>
      <c r="AI77" s="576" t="str">
        <f t="shared" si="31"/>
        <v/>
      </c>
      <c r="AK77" s="576" t="str">
        <f t="shared" si="32"/>
        <v/>
      </c>
      <c r="AM77" s="576" t="str">
        <f t="shared" si="33"/>
        <v/>
      </c>
      <c r="AO77" s="576" t="str">
        <f t="shared" si="34"/>
        <v/>
      </c>
      <c r="AQ77" s="576" t="str">
        <f t="shared" si="35"/>
        <v/>
      </c>
    </row>
    <row r="78" spans="5:43" x14ac:dyDescent="0.2">
      <c r="E78" s="576" t="str">
        <f t="shared" si="41"/>
        <v/>
      </c>
      <c r="G78" s="576" t="str">
        <f t="shared" si="37"/>
        <v/>
      </c>
      <c r="I78" s="576" t="str">
        <f t="shared" si="38"/>
        <v/>
      </c>
      <c r="K78" s="576" t="str">
        <f t="shared" si="39"/>
        <v/>
      </c>
      <c r="M78" s="576" t="str">
        <f t="shared" si="40"/>
        <v/>
      </c>
      <c r="O78" s="576" t="str">
        <f t="shared" si="42"/>
        <v/>
      </c>
      <c r="Q78" s="576" t="str">
        <f t="shared" si="23"/>
        <v/>
      </c>
      <c r="S78" s="576" t="str">
        <f t="shared" si="24"/>
        <v/>
      </c>
      <c r="U78" s="576" t="str">
        <f t="shared" si="25"/>
        <v/>
      </c>
      <c r="W78" s="576" t="str">
        <f t="shared" si="26"/>
        <v/>
      </c>
      <c r="Y78" s="576" t="str">
        <f t="shared" si="27"/>
        <v/>
      </c>
      <c r="AA78" s="576" t="str">
        <f t="shared" si="36"/>
        <v/>
      </c>
      <c r="AC78" s="576" t="str">
        <f t="shared" si="28"/>
        <v/>
      </c>
      <c r="AE78" s="576" t="str">
        <f t="shared" si="29"/>
        <v/>
      </c>
      <c r="AG78" s="576" t="str">
        <f t="shared" si="30"/>
        <v/>
      </c>
      <c r="AI78" s="576" t="str">
        <f t="shared" si="31"/>
        <v/>
      </c>
      <c r="AK78" s="576" t="str">
        <f t="shared" si="32"/>
        <v/>
      </c>
      <c r="AM78" s="576" t="str">
        <f t="shared" si="33"/>
        <v/>
      </c>
      <c r="AO78" s="576" t="str">
        <f t="shared" si="34"/>
        <v/>
      </c>
      <c r="AQ78" s="576" t="str">
        <f t="shared" si="35"/>
        <v/>
      </c>
    </row>
    <row r="79" spans="5:43" x14ac:dyDescent="0.2">
      <c r="E79" s="576" t="str">
        <f t="shared" si="41"/>
        <v/>
      </c>
      <c r="G79" s="576" t="str">
        <f t="shared" si="37"/>
        <v/>
      </c>
      <c r="I79" s="576" t="str">
        <f t="shared" si="38"/>
        <v/>
      </c>
      <c r="K79" s="576" t="str">
        <f t="shared" si="39"/>
        <v/>
      </c>
      <c r="M79" s="576" t="str">
        <f t="shared" si="40"/>
        <v/>
      </c>
      <c r="O79" s="576" t="str">
        <f t="shared" si="42"/>
        <v/>
      </c>
      <c r="Q79" s="576" t="str">
        <f t="shared" si="23"/>
        <v/>
      </c>
      <c r="S79" s="576" t="str">
        <f t="shared" si="24"/>
        <v/>
      </c>
      <c r="U79" s="576" t="str">
        <f t="shared" si="25"/>
        <v/>
      </c>
      <c r="W79" s="576" t="str">
        <f t="shared" si="26"/>
        <v/>
      </c>
      <c r="Y79" s="576" t="str">
        <f t="shared" si="27"/>
        <v/>
      </c>
      <c r="AA79" s="576" t="str">
        <f t="shared" si="36"/>
        <v/>
      </c>
      <c r="AC79" s="576" t="str">
        <f t="shared" si="28"/>
        <v/>
      </c>
      <c r="AE79" s="576" t="str">
        <f t="shared" si="29"/>
        <v/>
      </c>
      <c r="AG79" s="576" t="str">
        <f t="shared" si="30"/>
        <v/>
      </c>
      <c r="AI79" s="576" t="str">
        <f t="shared" si="31"/>
        <v/>
      </c>
      <c r="AK79" s="576" t="str">
        <f t="shared" si="32"/>
        <v/>
      </c>
      <c r="AM79" s="576" t="str">
        <f t="shared" si="33"/>
        <v/>
      </c>
      <c r="AO79" s="576" t="str">
        <f t="shared" si="34"/>
        <v/>
      </c>
      <c r="AQ79" s="576" t="str">
        <f t="shared" si="35"/>
        <v/>
      </c>
    </row>
    <row r="80" spans="5:43" x14ac:dyDescent="0.2">
      <c r="E80" s="576" t="str">
        <f t="shared" si="41"/>
        <v/>
      </c>
      <c r="G80" s="576" t="str">
        <f t="shared" si="37"/>
        <v/>
      </c>
      <c r="I80" s="576" t="str">
        <f t="shared" si="38"/>
        <v/>
      </c>
      <c r="K80" s="576" t="str">
        <f t="shared" si="39"/>
        <v/>
      </c>
      <c r="M80" s="576" t="str">
        <f t="shared" si="40"/>
        <v/>
      </c>
      <c r="O80" s="576" t="str">
        <f t="shared" si="42"/>
        <v/>
      </c>
      <c r="Q80" s="576" t="str">
        <f t="shared" si="23"/>
        <v/>
      </c>
      <c r="S80" s="576" t="str">
        <f t="shared" si="24"/>
        <v/>
      </c>
      <c r="U80" s="576" t="str">
        <f t="shared" si="25"/>
        <v/>
      </c>
      <c r="W80" s="576" t="str">
        <f t="shared" si="26"/>
        <v/>
      </c>
      <c r="Y80" s="576" t="str">
        <f t="shared" si="27"/>
        <v/>
      </c>
      <c r="AA80" s="576" t="str">
        <f t="shared" si="36"/>
        <v/>
      </c>
      <c r="AC80" s="576" t="str">
        <f t="shared" si="28"/>
        <v/>
      </c>
      <c r="AE80" s="576" t="str">
        <f t="shared" si="29"/>
        <v/>
      </c>
      <c r="AG80" s="576" t="str">
        <f t="shared" si="30"/>
        <v/>
      </c>
      <c r="AI80" s="576" t="str">
        <f t="shared" si="31"/>
        <v/>
      </c>
      <c r="AK80" s="576" t="str">
        <f t="shared" si="32"/>
        <v/>
      </c>
      <c r="AM80" s="576" t="str">
        <f t="shared" si="33"/>
        <v/>
      </c>
      <c r="AO80" s="576" t="str">
        <f t="shared" si="34"/>
        <v/>
      </c>
      <c r="AQ80" s="576" t="str">
        <f t="shared" si="35"/>
        <v/>
      </c>
    </row>
    <row r="81" spans="5:43" x14ac:dyDescent="0.2">
      <c r="E81" s="576" t="str">
        <f t="shared" si="41"/>
        <v/>
      </c>
      <c r="G81" s="576" t="str">
        <f t="shared" si="37"/>
        <v/>
      </c>
      <c r="I81" s="576" t="str">
        <f t="shared" si="38"/>
        <v/>
      </c>
      <c r="K81" s="576" t="str">
        <f t="shared" si="39"/>
        <v/>
      </c>
      <c r="M81" s="576" t="str">
        <f t="shared" si="40"/>
        <v/>
      </c>
      <c r="O81" s="576" t="str">
        <f t="shared" si="42"/>
        <v/>
      </c>
      <c r="Q81" s="576" t="str">
        <f t="shared" si="23"/>
        <v/>
      </c>
      <c r="S81" s="576" t="str">
        <f t="shared" si="24"/>
        <v/>
      </c>
      <c r="U81" s="576" t="str">
        <f t="shared" si="25"/>
        <v/>
      </c>
      <c r="W81" s="576" t="str">
        <f t="shared" si="26"/>
        <v/>
      </c>
      <c r="Y81" s="576" t="str">
        <f t="shared" si="27"/>
        <v/>
      </c>
      <c r="AA81" s="576" t="str">
        <f t="shared" si="36"/>
        <v/>
      </c>
      <c r="AC81" s="576" t="str">
        <f t="shared" si="28"/>
        <v/>
      </c>
      <c r="AE81" s="576" t="str">
        <f t="shared" si="29"/>
        <v/>
      </c>
      <c r="AG81" s="576" t="str">
        <f t="shared" si="30"/>
        <v/>
      </c>
      <c r="AI81" s="576" t="str">
        <f t="shared" si="31"/>
        <v/>
      </c>
      <c r="AK81" s="576" t="str">
        <f t="shared" si="32"/>
        <v/>
      </c>
      <c r="AM81" s="576" t="str">
        <f t="shared" si="33"/>
        <v/>
      </c>
      <c r="AO81" s="576" t="str">
        <f t="shared" si="34"/>
        <v/>
      </c>
      <c r="AQ81" s="576" t="str">
        <f t="shared" si="35"/>
        <v/>
      </c>
    </row>
    <row r="82" spans="5:43" x14ac:dyDescent="0.2">
      <c r="E82" s="576" t="str">
        <f t="shared" si="41"/>
        <v/>
      </c>
      <c r="G82" s="576" t="str">
        <f t="shared" si="37"/>
        <v/>
      </c>
      <c r="I82" s="576" t="str">
        <f t="shared" si="38"/>
        <v/>
      </c>
      <c r="K82" s="576" t="str">
        <f t="shared" si="39"/>
        <v/>
      </c>
      <c r="M82" s="576" t="str">
        <f t="shared" si="40"/>
        <v/>
      </c>
      <c r="O82" s="576" t="str">
        <f t="shared" si="42"/>
        <v/>
      </c>
      <c r="Q82" s="576" t="str">
        <f t="shared" si="23"/>
        <v/>
      </c>
      <c r="S82" s="576" t="str">
        <f t="shared" si="24"/>
        <v/>
      </c>
      <c r="U82" s="576" t="str">
        <f t="shared" si="25"/>
        <v/>
      </c>
      <c r="W82" s="576" t="str">
        <f t="shared" si="26"/>
        <v/>
      </c>
      <c r="Y82" s="576" t="str">
        <f t="shared" si="27"/>
        <v/>
      </c>
      <c r="AA82" s="576" t="str">
        <f t="shared" si="36"/>
        <v/>
      </c>
      <c r="AC82" s="576" t="str">
        <f t="shared" si="28"/>
        <v/>
      </c>
      <c r="AE82" s="576" t="str">
        <f t="shared" si="29"/>
        <v/>
      </c>
      <c r="AG82" s="576" t="str">
        <f t="shared" si="30"/>
        <v/>
      </c>
      <c r="AI82" s="576" t="str">
        <f t="shared" si="31"/>
        <v/>
      </c>
      <c r="AK82" s="576" t="str">
        <f t="shared" si="32"/>
        <v/>
      </c>
      <c r="AM82" s="576" t="str">
        <f t="shared" si="33"/>
        <v/>
      </c>
      <c r="AO82" s="576" t="str">
        <f t="shared" si="34"/>
        <v/>
      </c>
      <c r="AQ82" s="576" t="str">
        <f t="shared" si="35"/>
        <v/>
      </c>
    </row>
    <row r="83" spans="5:43" x14ac:dyDescent="0.2">
      <c r="E83" s="576" t="str">
        <f t="shared" si="41"/>
        <v/>
      </c>
      <c r="G83" s="576" t="str">
        <f t="shared" si="37"/>
        <v/>
      </c>
      <c r="I83" s="576" t="str">
        <f t="shared" si="38"/>
        <v/>
      </c>
      <c r="K83" s="576" t="str">
        <f t="shared" si="39"/>
        <v/>
      </c>
      <c r="M83" s="576" t="str">
        <f t="shared" si="40"/>
        <v/>
      </c>
      <c r="O83" s="576" t="str">
        <f t="shared" si="42"/>
        <v/>
      </c>
      <c r="Q83" s="576" t="str">
        <f t="shared" si="23"/>
        <v/>
      </c>
      <c r="S83" s="576" t="str">
        <f t="shared" si="24"/>
        <v/>
      </c>
      <c r="U83" s="576" t="str">
        <f t="shared" si="25"/>
        <v/>
      </c>
      <c r="W83" s="576" t="str">
        <f t="shared" si="26"/>
        <v/>
      </c>
      <c r="Y83" s="576" t="str">
        <f t="shared" si="27"/>
        <v/>
      </c>
      <c r="AA83" s="576" t="str">
        <f t="shared" si="36"/>
        <v/>
      </c>
      <c r="AC83" s="576" t="str">
        <f t="shared" si="28"/>
        <v/>
      </c>
      <c r="AE83" s="576" t="str">
        <f t="shared" si="29"/>
        <v/>
      </c>
      <c r="AG83" s="576" t="str">
        <f t="shared" si="30"/>
        <v/>
      </c>
      <c r="AI83" s="576" t="str">
        <f t="shared" si="31"/>
        <v/>
      </c>
      <c r="AK83" s="576" t="str">
        <f t="shared" si="32"/>
        <v/>
      </c>
      <c r="AM83" s="576" t="str">
        <f t="shared" si="33"/>
        <v/>
      </c>
      <c r="AO83" s="576" t="str">
        <f t="shared" si="34"/>
        <v/>
      </c>
      <c r="AQ83" s="576" t="str">
        <f t="shared" si="35"/>
        <v/>
      </c>
    </row>
    <row r="84" spans="5:43" x14ac:dyDescent="0.2">
      <c r="E84" s="576" t="str">
        <f t="shared" si="41"/>
        <v/>
      </c>
      <c r="G84" s="576" t="str">
        <f t="shared" si="37"/>
        <v/>
      </c>
      <c r="I84" s="576" t="str">
        <f t="shared" si="38"/>
        <v/>
      </c>
      <c r="K84" s="576" t="str">
        <f t="shared" si="39"/>
        <v/>
      </c>
      <c r="M84" s="576" t="str">
        <f t="shared" si="40"/>
        <v/>
      </c>
      <c r="O84" s="576" t="str">
        <f t="shared" si="42"/>
        <v/>
      </c>
      <c r="Q84" s="576" t="str">
        <f t="shared" si="23"/>
        <v/>
      </c>
      <c r="S84" s="576" t="str">
        <f t="shared" si="24"/>
        <v/>
      </c>
      <c r="U84" s="576" t="str">
        <f t="shared" si="25"/>
        <v/>
      </c>
      <c r="W84" s="576" t="str">
        <f t="shared" si="26"/>
        <v/>
      </c>
      <c r="Y84" s="576" t="str">
        <f t="shared" si="27"/>
        <v/>
      </c>
      <c r="AA84" s="576" t="str">
        <f t="shared" si="36"/>
        <v/>
      </c>
      <c r="AC84" s="576" t="str">
        <f t="shared" si="28"/>
        <v/>
      </c>
      <c r="AE84" s="576" t="str">
        <f t="shared" si="29"/>
        <v/>
      </c>
      <c r="AG84" s="576" t="str">
        <f t="shared" si="30"/>
        <v/>
      </c>
      <c r="AI84" s="576" t="str">
        <f t="shared" si="31"/>
        <v/>
      </c>
      <c r="AK84" s="576" t="str">
        <f t="shared" si="32"/>
        <v/>
      </c>
      <c r="AM84" s="576" t="str">
        <f t="shared" si="33"/>
        <v/>
      </c>
      <c r="AO84" s="576" t="str">
        <f t="shared" si="34"/>
        <v/>
      </c>
      <c r="AQ84" s="576" t="str">
        <f t="shared" si="35"/>
        <v/>
      </c>
    </row>
    <row r="85" spans="5:43" x14ac:dyDescent="0.2">
      <c r="E85" s="576" t="str">
        <f t="shared" si="41"/>
        <v/>
      </c>
      <c r="G85" s="576" t="str">
        <f t="shared" si="37"/>
        <v/>
      </c>
      <c r="I85" s="576" t="str">
        <f t="shared" si="38"/>
        <v/>
      </c>
      <c r="K85" s="576" t="str">
        <f t="shared" si="39"/>
        <v/>
      </c>
      <c r="M85" s="576" t="str">
        <f t="shared" si="40"/>
        <v/>
      </c>
      <c r="O85" s="576" t="str">
        <f t="shared" si="42"/>
        <v/>
      </c>
      <c r="Q85" s="576" t="str">
        <f t="shared" si="23"/>
        <v/>
      </c>
      <c r="S85" s="576" t="str">
        <f t="shared" si="24"/>
        <v/>
      </c>
      <c r="U85" s="576" t="str">
        <f t="shared" si="25"/>
        <v/>
      </c>
      <c r="W85" s="576" t="str">
        <f t="shared" si="26"/>
        <v/>
      </c>
      <c r="Y85" s="576" t="str">
        <f t="shared" si="27"/>
        <v/>
      </c>
      <c r="AA85" s="576" t="str">
        <f t="shared" si="36"/>
        <v/>
      </c>
      <c r="AC85" s="576" t="str">
        <f t="shared" si="28"/>
        <v/>
      </c>
      <c r="AE85" s="576" t="str">
        <f t="shared" si="29"/>
        <v/>
      </c>
      <c r="AG85" s="576" t="str">
        <f t="shared" si="30"/>
        <v/>
      </c>
      <c r="AI85" s="576" t="str">
        <f t="shared" si="31"/>
        <v/>
      </c>
      <c r="AK85" s="576" t="str">
        <f t="shared" si="32"/>
        <v/>
      </c>
      <c r="AM85" s="576" t="str">
        <f t="shared" si="33"/>
        <v/>
      </c>
      <c r="AO85" s="576" t="str">
        <f t="shared" si="34"/>
        <v/>
      </c>
      <c r="AQ85" s="576" t="str">
        <f t="shared" si="35"/>
        <v/>
      </c>
    </row>
    <row r="86" spans="5:43" x14ac:dyDescent="0.2">
      <c r="E86" s="576" t="str">
        <f t="shared" si="41"/>
        <v/>
      </c>
      <c r="G86" s="576" t="str">
        <f t="shared" si="37"/>
        <v/>
      </c>
      <c r="I86" s="576" t="str">
        <f t="shared" si="38"/>
        <v/>
      </c>
      <c r="K86" s="576" t="str">
        <f t="shared" si="39"/>
        <v/>
      </c>
      <c r="M86" s="576" t="str">
        <f t="shared" si="40"/>
        <v/>
      </c>
      <c r="O86" s="576" t="str">
        <f t="shared" si="42"/>
        <v/>
      </c>
      <c r="Q86" s="576" t="str">
        <f t="shared" si="23"/>
        <v/>
      </c>
      <c r="S86" s="576" t="str">
        <f t="shared" si="24"/>
        <v/>
      </c>
      <c r="U86" s="576" t="str">
        <f t="shared" si="25"/>
        <v/>
      </c>
      <c r="W86" s="576" t="str">
        <f t="shared" si="26"/>
        <v/>
      </c>
      <c r="Y86" s="576" t="str">
        <f t="shared" si="27"/>
        <v/>
      </c>
      <c r="AA86" s="576" t="str">
        <f t="shared" si="36"/>
        <v/>
      </c>
      <c r="AC86" s="576" t="str">
        <f t="shared" si="28"/>
        <v/>
      </c>
      <c r="AE86" s="576" t="str">
        <f t="shared" si="29"/>
        <v/>
      </c>
      <c r="AG86" s="576" t="str">
        <f t="shared" si="30"/>
        <v/>
      </c>
      <c r="AI86" s="576" t="str">
        <f t="shared" si="31"/>
        <v/>
      </c>
      <c r="AK86" s="576" t="str">
        <f t="shared" si="32"/>
        <v/>
      </c>
      <c r="AM86" s="576" t="str">
        <f t="shared" si="33"/>
        <v/>
      </c>
      <c r="AO86" s="576" t="str">
        <f t="shared" si="34"/>
        <v/>
      </c>
      <c r="AQ86" s="576" t="str">
        <f t="shared" si="35"/>
        <v/>
      </c>
    </row>
    <row r="87" spans="5:43" x14ac:dyDescent="0.2">
      <c r="E87" s="576" t="str">
        <f t="shared" si="41"/>
        <v/>
      </c>
      <c r="G87" s="576" t="str">
        <f t="shared" si="37"/>
        <v/>
      </c>
      <c r="I87" s="576" t="str">
        <f t="shared" si="38"/>
        <v/>
      </c>
      <c r="K87" s="576" t="str">
        <f t="shared" si="39"/>
        <v/>
      </c>
      <c r="M87" s="576" t="str">
        <f t="shared" si="40"/>
        <v/>
      </c>
      <c r="O87" s="576" t="str">
        <f t="shared" si="42"/>
        <v/>
      </c>
      <c r="Q87" s="576" t="str">
        <f t="shared" si="23"/>
        <v/>
      </c>
      <c r="S87" s="576" t="str">
        <f t="shared" si="24"/>
        <v/>
      </c>
      <c r="U87" s="576" t="str">
        <f t="shared" si="25"/>
        <v/>
      </c>
      <c r="W87" s="576" t="str">
        <f t="shared" si="26"/>
        <v/>
      </c>
      <c r="Y87" s="576" t="str">
        <f t="shared" si="27"/>
        <v/>
      </c>
      <c r="AA87" s="576" t="str">
        <f t="shared" si="36"/>
        <v/>
      </c>
      <c r="AC87" s="576" t="str">
        <f t="shared" si="28"/>
        <v/>
      </c>
      <c r="AE87" s="576" t="str">
        <f t="shared" si="29"/>
        <v/>
      </c>
      <c r="AG87" s="576" t="str">
        <f t="shared" si="30"/>
        <v/>
      </c>
      <c r="AI87" s="576" t="str">
        <f t="shared" si="31"/>
        <v/>
      </c>
      <c r="AK87" s="576" t="str">
        <f t="shared" si="32"/>
        <v/>
      </c>
      <c r="AM87" s="576" t="str">
        <f t="shared" si="33"/>
        <v/>
      </c>
      <c r="AO87" s="576" t="str">
        <f t="shared" si="34"/>
        <v/>
      </c>
      <c r="AQ87" s="576" t="str">
        <f t="shared" si="35"/>
        <v/>
      </c>
    </row>
    <row r="88" spans="5:43" x14ac:dyDescent="0.2">
      <c r="E88" s="576" t="str">
        <f t="shared" si="41"/>
        <v/>
      </c>
      <c r="G88" s="576" t="str">
        <f t="shared" si="37"/>
        <v/>
      </c>
      <c r="I88" s="576" t="str">
        <f t="shared" si="38"/>
        <v/>
      </c>
      <c r="K88" s="576" t="str">
        <f t="shared" si="39"/>
        <v/>
      </c>
      <c r="M88" s="576" t="str">
        <f t="shared" si="40"/>
        <v/>
      </c>
      <c r="O88" s="576" t="str">
        <f t="shared" si="42"/>
        <v/>
      </c>
      <c r="Q88" s="576" t="str">
        <f t="shared" si="23"/>
        <v/>
      </c>
      <c r="S88" s="576" t="str">
        <f t="shared" si="24"/>
        <v/>
      </c>
      <c r="U88" s="576" t="str">
        <f t="shared" si="25"/>
        <v/>
      </c>
      <c r="W88" s="576" t="str">
        <f t="shared" si="26"/>
        <v/>
      </c>
      <c r="Y88" s="576" t="str">
        <f t="shared" si="27"/>
        <v/>
      </c>
      <c r="AA88" s="576" t="str">
        <f t="shared" si="36"/>
        <v/>
      </c>
      <c r="AC88" s="576" t="str">
        <f t="shared" si="28"/>
        <v/>
      </c>
      <c r="AE88" s="576" t="str">
        <f t="shared" si="29"/>
        <v/>
      </c>
      <c r="AG88" s="576" t="str">
        <f t="shared" si="30"/>
        <v/>
      </c>
      <c r="AI88" s="576" t="str">
        <f t="shared" si="31"/>
        <v/>
      </c>
      <c r="AK88" s="576" t="str">
        <f t="shared" si="32"/>
        <v/>
      </c>
      <c r="AM88" s="576" t="str">
        <f t="shared" si="33"/>
        <v/>
      </c>
      <c r="AO88" s="576" t="str">
        <f t="shared" si="34"/>
        <v/>
      </c>
      <c r="AQ88" s="576" t="str">
        <f t="shared" si="35"/>
        <v/>
      </c>
    </row>
    <row r="89" spans="5:43" x14ac:dyDescent="0.2">
      <c r="E89" s="576" t="str">
        <f t="shared" si="41"/>
        <v/>
      </c>
      <c r="G89" s="576" t="str">
        <f t="shared" si="37"/>
        <v/>
      </c>
      <c r="I89" s="576" t="str">
        <f t="shared" si="38"/>
        <v/>
      </c>
      <c r="K89" s="576" t="str">
        <f t="shared" si="39"/>
        <v/>
      </c>
      <c r="M89" s="576" t="str">
        <f t="shared" si="40"/>
        <v/>
      </c>
      <c r="O89" s="576" t="str">
        <f t="shared" si="42"/>
        <v/>
      </c>
      <c r="Q89" s="576" t="str">
        <f t="shared" si="23"/>
        <v/>
      </c>
      <c r="S89" s="576" t="str">
        <f t="shared" si="24"/>
        <v/>
      </c>
      <c r="U89" s="576" t="str">
        <f t="shared" si="25"/>
        <v/>
      </c>
      <c r="W89" s="576" t="str">
        <f t="shared" si="26"/>
        <v/>
      </c>
      <c r="Y89" s="576" t="str">
        <f t="shared" si="27"/>
        <v/>
      </c>
      <c r="AA89" s="576" t="str">
        <f t="shared" si="36"/>
        <v/>
      </c>
      <c r="AC89" s="576" t="str">
        <f t="shared" si="28"/>
        <v/>
      </c>
      <c r="AE89" s="576" t="str">
        <f t="shared" si="29"/>
        <v/>
      </c>
      <c r="AG89" s="576" t="str">
        <f t="shared" si="30"/>
        <v/>
      </c>
      <c r="AI89" s="576" t="str">
        <f t="shared" si="31"/>
        <v/>
      </c>
      <c r="AK89" s="576" t="str">
        <f t="shared" si="32"/>
        <v/>
      </c>
      <c r="AM89" s="576" t="str">
        <f t="shared" si="33"/>
        <v/>
      </c>
      <c r="AO89" s="576" t="str">
        <f t="shared" si="34"/>
        <v/>
      </c>
      <c r="AQ89" s="576" t="str">
        <f t="shared" si="35"/>
        <v/>
      </c>
    </row>
    <row r="90" spans="5:43" x14ac:dyDescent="0.2">
      <c r="E90" s="576" t="str">
        <f t="shared" si="41"/>
        <v/>
      </c>
      <c r="G90" s="576" t="str">
        <f t="shared" si="37"/>
        <v/>
      </c>
      <c r="I90" s="576" t="str">
        <f t="shared" si="38"/>
        <v/>
      </c>
      <c r="K90" s="576" t="str">
        <f t="shared" si="39"/>
        <v/>
      </c>
      <c r="M90" s="576" t="str">
        <f t="shared" si="40"/>
        <v/>
      </c>
      <c r="O90" s="576" t="str">
        <f t="shared" si="42"/>
        <v/>
      </c>
      <c r="Q90" s="576" t="str">
        <f t="shared" si="23"/>
        <v/>
      </c>
      <c r="S90" s="576" t="str">
        <f t="shared" si="24"/>
        <v/>
      </c>
      <c r="U90" s="576" t="str">
        <f t="shared" si="25"/>
        <v/>
      </c>
      <c r="W90" s="576" t="str">
        <f t="shared" si="26"/>
        <v/>
      </c>
      <c r="Y90" s="576" t="str">
        <f t="shared" si="27"/>
        <v/>
      </c>
      <c r="AA90" s="576" t="str">
        <f t="shared" si="36"/>
        <v/>
      </c>
      <c r="AC90" s="576" t="str">
        <f t="shared" si="28"/>
        <v/>
      </c>
      <c r="AE90" s="576" t="str">
        <f t="shared" si="29"/>
        <v/>
      </c>
      <c r="AG90" s="576" t="str">
        <f t="shared" si="30"/>
        <v/>
      </c>
      <c r="AI90" s="576" t="str">
        <f t="shared" si="31"/>
        <v/>
      </c>
      <c r="AK90" s="576" t="str">
        <f t="shared" si="32"/>
        <v/>
      </c>
      <c r="AM90" s="576" t="str">
        <f t="shared" si="33"/>
        <v/>
      </c>
      <c r="AO90" s="576" t="str">
        <f t="shared" si="34"/>
        <v/>
      </c>
      <c r="AQ90" s="576" t="str">
        <f t="shared" si="35"/>
        <v/>
      </c>
    </row>
    <row r="91" spans="5:43" x14ac:dyDescent="0.2">
      <c r="E91" s="576" t="str">
        <f t="shared" si="41"/>
        <v/>
      </c>
      <c r="G91" s="576" t="str">
        <f t="shared" si="37"/>
        <v/>
      </c>
      <c r="I91" s="576" t="str">
        <f t="shared" si="38"/>
        <v/>
      </c>
      <c r="K91" s="576" t="str">
        <f t="shared" si="39"/>
        <v/>
      </c>
      <c r="M91" s="576" t="str">
        <f t="shared" si="40"/>
        <v/>
      </c>
      <c r="O91" s="576" t="str">
        <f t="shared" si="42"/>
        <v/>
      </c>
      <c r="Q91" s="576" t="str">
        <f t="shared" si="23"/>
        <v/>
      </c>
      <c r="S91" s="576" t="str">
        <f t="shared" si="24"/>
        <v/>
      </c>
      <c r="U91" s="576" t="str">
        <f t="shared" si="25"/>
        <v/>
      </c>
      <c r="W91" s="576" t="str">
        <f t="shared" si="26"/>
        <v/>
      </c>
      <c r="Y91" s="576" t="str">
        <f t="shared" si="27"/>
        <v/>
      </c>
      <c r="AA91" s="576" t="str">
        <f t="shared" si="36"/>
        <v/>
      </c>
      <c r="AC91" s="576" t="str">
        <f t="shared" si="28"/>
        <v/>
      </c>
      <c r="AE91" s="576" t="str">
        <f t="shared" si="29"/>
        <v/>
      </c>
      <c r="AG91" s="576" t="str">
        <f t="shared" si="30"/>
        <v/>
      </c>
      <c r="AI91" s="576" t="str">
        <f t="shared" si="31"/>
        <v/>
      </c>
      <c r="AK91" s="576" t="str">
        <f t="shared" si="32"/>
        <v/>
      </c>
      <c r="AM91" s="576" t="str">
        <f t="shared" si="33"/>
        <v/>
      </c>
      <c r="AO91" s="576" t="str">
        <f t="shared" si="34"/>
        <v/>
      </c>
      <c r="AQ91" s="576" t="str">
        <f t="shared" si="35"/>
        <v/>
      </c>
    </row>
    <row r="92" spans="5:43" x14ac:dyDescent="0.2">
      <c r="E92" s="576" t="str">
        <f t="shared" si="41"/>
        <v/>
      </c>
      <c r="G92" s="576" t="str">
        <f t="shared" si="37"/>
        <v/>
      </c>
      <c r="I92" s="576" t="str">
        <f t="shared" si="38"/>
        <v/>
      </c>
      <c r="K92" s="576" t="str">
        <f t="shared" si="39"/>
        <v/>
      </c>
      <c r="M92" s="576" t="str">
        <f t="shared" si="40"/>
        <v/>
      </c>
      <c r="O92" s="576" t="str">
        <f t="shared" si="42"/>
        <v/>
      </c>
      <c r="Q92" s="576" t="str">
        <f t="shared" si="23"/>
        <v/>
      </c>
      <c r="S92" s="576" t="str">
        <f t="shared" si="24"/>
        <v/>
      </c>
      <c r="U92" s="576" t="str">
        <f t="shared" si="25"/>
        <v/>
      </c>
      <c r="W92" s="576" t="str">
        <f t="shared" si="26"/>
        <v/>
      </c>
      <c r="Y92" s="576" t="str">
        <f t="shared" si="27"/>
        <v/>
      </c>
      <c r="AA92" s="576" t="str">
        <f t="shared" si="36"/>
        <v/>
      </c>
      <c r="AC92" s="576" t="str">
        <f t="shared" si="28"/>
        <v/>
      </c>
      <c r="AE92" s="576" t="str">
        <f t="shared" si="29"/>
        <v/>
      </c>
      <c r="AG92" s="576" t="str">
        <f t="shared" si="30"/>
        <v/>
      </c>
      <c r="AI92" s="576" t="str">
        <f t="shared" si="31"/>
        <v/>
      </c>
      <c r="AK92" s="576" t="str">
        <f t="shared" si="32"/>
        <v/>
      </c>
      <c r="AM92" s="576" t="str">
        <f t="shared" si="33"/>
        <v/>
      </c>
      <c r="AO92" s="576" t="str">
        <f t="shared" si="34"/>
        <v/>
      </c>
      <c r="AQ92" s="576" t="str">
        <f t="shared" si="35"/>
        <v/>
      </c>
    </row>
    <row r="93" spans="5:43" x14ac:dyDescent="0.2">
      <c r="E93" s="576" t="str">
        <f t="shared" si="41"/>
        <v/>
      </c>
      <c r="G93" s="576" t="str">
        <f t="shared" si="37"/>
        <v/>
      </c>
      <c r="I93" s="576" t="str">
        <f t="shared" si="38"/>
        <v/>
      </c>
      <c r="K93" s="576" t="str">
        <f t="shared" si="39"/>
        <v/>
      </c>
      <c r="M93" s="576" t="str">
        <f t="shared" si="40"/>
        <v/>
      </c>
      <c r="O93" s="576" t="str">
        <f t="shared" si="42"/>
        <v/>
      </c>
      <c r="Q93" s="576" t="str">
        <f t="shared" si="23"/>
        <v/>
      </c>
      <c r="S93" s="576" t="str">
        <f t="shared" si="24"/>
        <v/>
      </c>
      <c r="U93" s="576" t="str">
        <f t="shared" si="25"/>
        <v/>
      </c>
      <c r="W93" s="576" t="str">
        <f t="shared" si="26"/>
        <v/>
      </c>
      <c r="Y93" s="576" t="str">
        <f t="shared" si="27"/>
        <v/>
      </c>
      <c r="AA93" s="576" t="str">
        <f t="shared" si="36"/>
        <v/>
      </c>
      <c r="AC93" s="576" t="str">
        <f t="shared" si="28"/>
        <v/>
      </c>
      <c r="AE93" s="576" t="str">
        <f t="shared" si="29"/>
        <v/>
      </c>
      <c r="AG93" s="576" t="str">
        <f t="shared" si="30"/>
        <v/>
      </c>
      <c r="AI93" s="576" t="str">
        <f t="shared" si="31"/>
        <v/>
      </c>
      <c r="AK93" s="576" t="str">
        <f t="shared" si="32"/>
        <v/>
      </c>
      <c r="AM93" s="576" t="str">
        <f t="shared" si="33"/>
        <v/>
      </c>
      <c r="AO93" s="576" t="str">
        <f t="shared" si="34"/>
        <v/>
      </c>
      <c r="AQ93" s="576" t="str">
        <f t="shared" si="35"/>
        <v/>
      </c>
    </row>
    <row r="94" spans="5:43" x14ac:dyDescent="0.2">
      <c r="E94" s="576" t="str">
        <f t="shared" si="41"/>
        <v/>
      </c>
      <c r="G94" s="576" t="str">
        <f t="shared" si="37"/>
        <v/>
      </c>
      <c r="I94" s="576" t="str">
        <f t="shared" si="38"/>
        <v/>
      </c>
      <c r="K94" s="576" t="str">
        <f t="shared" si="39"/>
        <v/>
      </c>
      <c r="M94" s="576" t="str">
        <f t="shared" si="40"/>
        <v/>
      </c>
      <c r="O94" s="576" t="str">
        <f t="shared" si="42"/>
        <v/>
      </c>
      <c r="Q94" s="576" t="str">
        <f t="shared" si="23"/>
        <v/>
      </c>
      <c r="S94" s="576" t="str">
        <f t="shared" si="24"/>
        <v/>
      </c>
      <c r="U94" s="576" t="str">
        <f t="shared" si="25"/>
        <v/>
      </c>
      <c r="W94" s="576" t="str">
        <f t="shared" si="26"/>
        <v/>
      </c>
      <c r="Y94" s="576" t="str">
        <f t="shared" si="27"/>
        <v/>
      </c>
      <c r="AA94" s="576" t="str">
        <f t="shared" si="36"/>
        <v/>
      </c>
      <c r="AC94" s="576" t="str">
        <f t="shared" si="28"/>
        <v/>
      </c>
      <c r="AE94" s="576" t="str">
        <f t="shared" si="29"/>
        <v/>
      </c>
      <c r="AG94" s="576" t="str">
        <f t="shared" si="30"/>
        <v/>
      </c>
      <c r="AI94" s="576" t="str">
        <f t="shared" si="31"/>
        <v/>
      </c>
      <c r="AK94" s="576" t="str">
        <f t="shared" si="32"/>
        <v/>
      </c>
      <c r="AM94" s="576" t="str">
        <f t="shared" si="33"/>
        <v/>
      </c>
      <c r="AO94" s="576" t="str">
        <f t="shared" si="34"/>
        <v/>
      </c>
      <c r="AQ94" s="576" t="str">
        <f t="shared" si="35"/>
        <v/>
      </c>
    </row>
    <row r="95" spans="5:43" x14ac:dyDescent="0.2">
      <c r="E95" s="576" t="str">
        <f t="shared" si="41"/>
        <v/>
      </c>
      <c r="G95" s="576" t="str">
        <f t="shared" si="37"/>
        <v/>
      </c>
      <c r="I95" s="576" t="str">
        <f t="shared" si="38"/>
        <v/>
      </c>
      <c r="K95" s="576" t="str">
        <f t="shared" si="39"/>
        <v/>
      </c>
      <c r="M95" s="576" t="str">
        <f t="shared" si="40"/>
        <v/>
      </c>
      <c r="O95" s="576" t="str">
        <f t="shared" si="42"/>
        <v/>
      </c>
      <c r="Q95" s="576" t="str">
        <f t="shared" ref="Q95:Q158" si="43">IF(OR($B94=0,P95=0),"",P95/$B94)</f>
        <v/>
      </c>
      <c r="S95" s="576" t="str">
        <f t="shared" ref="S95:S158" si="44">IF(OR($B94=0,R95=0),"",R95/$B94)</f>
        <v/>
      </c>
      <c r="U95" s="576" t="str">
        <f t="shared" ref="U95:U158" si="45">IF(OR($B94=0,T95=0),"",T95/$B94)</f>
        <v/>
      </c>
      <c r="W95" s="576" t="str">
        <f t="shared" ref="W95:W158" si="46">IF(OR($B94=0,V95=0),"",V95/$B94)</f>
        <v/>
      </c>
      <c r="Y95" s="576" t="str">
        <f t="shared" ref="Y95:Y158" si="47">IF(OR($B94=0,X95=0),"",X95/$B94)</f>
        <v/>
      </c>
      <c r="AA95" s="576" t="str">
        <f t="shared" si="36"/>
        <v/>
      </c>
      <c r="AC95" s="576" t="str">
        <f t="shared" ref="AC95:AC158" si="48">IF(OR($B94=0,AB95=0),"",AB95/$B94)</f>
        <v/>
      </c>
      <c r="AE95" s="576" t="str">
        <f t="shared" ref="AE95:AE158" si="49">IF(OR($B94=0,AD95=0),"",AD95/$B94)</f>
        <v/>
      </c>
      <c r="AG95" s="576" t="str">
        <f t="shared" ref="AG95:AG158" si="50">IF(OR($B94=0,AF95=0),"",AF95/$B94)</f>
        <v/>
      </c>
      <c r="AI95" s="576" t="str">
        <f t="shared" ref="AI95:AI158" si="51">IF(OR($B94=0,AH95=0),"",AH95/$B94)</f>
        <v/>
      </c>
      <c r="AK95" s="576" t="str">
        <f t="shared" ref="AK95:AK158" si="52">IF(OR($B94=0,AJ95=0),"",AJ95/$B94)</f>
        <v/>
      </c>
      <c r="AM95" s="576" t="str">
        <f t="shared" ref="AM95:AM158" si="53">IF(OR($B94=0,AL95=0),"",AL95/$B94)</f>
        <v/>
      </c>
      <c r="AO95" s="576" t="str">
        <f t="shared" ref="AO95:AO158" si="54">IF(OR($B94=0,AN95=0),"",AN95/$B94)</f>
        <v/>
      </c>
      <c r="AQ95" s="576" t="str">
        <f t="shared" ref="AQ95:AQ158" si="55">IF(OR($B94=0,AP95=0),"",AP95/$B94)</f>
        <v/>
      </c>
    </row>
    <row r="96" spans="5:43" x14ac:dyDescent="0.2">
      <c r="E96" s="576" t="str">
        <f t="shared" si="41"/>
        <v/>
      </c>
      <c r="G96" s="576" t="str">
        <f t="shared" si="37"/>
        <v/>
      </c>
      <c r="I96" s="576" t="str">
        <f t="shared" si="38"/>
        <v/>
      </c>
      <c r="K96" s="576" t="str">
        <f t="shared" si="39"/>
        <v/>
      </c>
      <c r="M96" s="576" t="str">
        <f t="shared" si="40"/>
        <v/>
      </c>
      <c r="O96" s="576" t="str">
        <f t="shared" si="42"/>
        <v/>
      </c>
      <c r="Q96" s="576" t="str">
        <f t="shared" si="43"/>
        <v/>
      </c>
      <c r="S96" s="576" t="str">
        <f t="shared" si="44"/>
        <v/>
      </c>
      <c r="U96" s="576" t="str">
        <f t="shared" si="45"/>
        <v/>
      </c>
      <c r="W96" s="576" t="str">
        <f t="shared" si="46"/>
        <v/>
      </c>
      <c r="Y96" s="576" t="str">
        <f t="shared" si="47"/>
        <v/>
      </c>
      <c r="AA96" s="576" t="str">
        <f t="shared" ref="AA96:AA159" si="56">IF(OR($B95=0,Z96=0),"",Z96/$B95)</f>
        <v/>
      </c>
      <c r="AC96" s="576" t="str">
        <f t="shared" si="48"/>
        <v/>
      </c>
      <c r="AE96" s="576" t="str">
        <f t="shared" si="49"/>
        <v/>
      </c>
      <c r="AG96" s="576" t="str">
        <f t="shared" si="50"/>
        <v/>
      </c>
      <c r="AI96" s="576" t="str">
        <f t="shared" si="51"/>
        <v/>
      </c>
      <c r="AK96" s="576" t="str">
        <f t="shared" si="52"/>
        <v/>
      </c>
      <c r="AM96" s="576" t="str">
        <f t="shared" si="53"/>
        <v/>
      </c>
      <c r="AO96" s="576" t="str">
        <f t="shared" si="54"/>
        <v/>
      </c>
      <c r="AQ96" s="576" t="str">
        <f t="shared" si="55"/>
        <v/>
      </c>
    </row>
    <row r="97" spans="5:43" x14ac:dyDescent="0.2">
      <c r="E97" s="576" t="str">
        <f t="shared" si="41"/>
        <v/>
      </c>
      <c r="G97" s="576" t="str">
        <f t="shared" si="37"/>
        <v/>
      </c>
      <c r="I97" s="576" t="str">
        <f t="shared" si="38"/>
        <v/>
      </c>
      <c r="K97" s="576" t="str">
        <f t="shared" si="39"/>
        <v/>
      </c>
      <c r="M97" s="576" t="str">
        <f t="shared" si="40"/>
        <v/>
      </c>
      <c r="O97" s="576" t="str">
        <f t="shared" si="42"/>
        <v/>
      </c>
      <c r="Q97" s="576" t="str">
        <f t="shared" si="43"/>
        <v/>
      </c>
      <c r="S97" s="576" t="str">
        <f t="shared" si="44"/>
        <v/>
      </c>
      <c r="U97" s="576" t="str">
        <f t="shared" si="45"/>
        <v/>
      </c>
      <c r="W97" s="576" t="str">
        <f t="shared" si="46"/>
        <v/>
      </c>
      <c r="Y97" s="576" t="str">
        <f t="shared" si="47"/>
        <v/>
      </c>
      <c r="AA97" s="576" t="str">
        <f t="shared" si="56"/>
        <v/>
      </c>
      <c r="AC97" s="576" t="str">
        <f t="shared" si="48"/>
        <v/>
      </c>
      <c r="AE97" s="576" t="str">
        <f t="shared" si="49"/>
        <v/>
      </c>
      <c r="AG97" s="576" t="str">
        <f t="shared" si="50"/>
        <v/>
      </c>
      <c r="AI97" s="576" t="str">
        <f t="shared" si="51"/>
        <v/>
      </c>
      <c r="AK97" s="576" t="str">
        <f t="shared" si="52"/>
        <v/>
      </c>
      <c r="AM97" s="576" t="str">
        <f t="shared" si="53"/>
        <v/>
      </c>
      <c r="AO97" s="576" t="str">
        <f t="shared" si="54"/>
        <v/>
      </c>
      <c r="AQ97" s="576" t="str">
        <f t="shared" si="55"/>
        <v/>
      </c>
    </row>
    <row r="98" spans="5:43" x14ac:dyDescent="0.2">
      <c r="E98" s="576" t="str">
        <f t="shared" si="41"/>
        <v/>
      </c>
      <c r="G98" s="576" t="str">
        <f t="shared" ref="G98:G161" si="57">IF(OR($B97=0,F98=0),"",F98/$B97)</f>
        <v/>
      </c>
      <c r="I98" s="576" t="str">
        <f t="shared" ref="I98:I161" si="58">IF(OR($B97=0,H98=0),"",H98/$B97)</f>
        <v/>
      </c>
      <c r="K98" s="576" t="str">
        <f t="shared" ref="K98:K161" si="59">IF(OR($B97=0,J98=0),"",J98/$B97)</f>
        <v/>
      </c>
      <c r="M98" s="576" t="str">
        <f t="shared" ref="M98:M161" si="60">IF(OR($B97=0,L98=0),"",L98/$B97)</f>
        <v/>
      </c>
      <c r="O98" s="576" t="str">
        <f t="shared" si="42"/>
        <v/>
      </c>
      <c r="Q98" s="576" t="str">
        <f t="shared" si="43"/>
        <v/>
      </c>
      <c r="S98" s="576" t="str">
        <f t="shared" si="44"/>
        <v/>
      </c>
      <c r="U98" s="576" t="str">
        <f t="shared" si="45"/>
        <v/>
      </c>
      <c r="W98" s="576" t="str">
        <f t="shared" si="46"/>
        <v/>
      </c>
      <c r="Y98" s="576" t="str">
        <f t="shared" si="47"/>
        <v/>
      </c>
      <c r="AA98" s="576" t="str">
        <f t="shared" si="56"/>
        <v/>
      </c>
      <c r="AC98" s="576" t="str">
        <f t="shared" si="48"/>
        <v/>
      </c>
      <c r="AE98" s="576" t="str">
        <f t="shared" si="49"/>
        <v/>
      </c>
      <c r="AG98" s="576" t="str">
        <f t="shared" si="50"/>
        <v/>
      </c>
      <c r="AI98" s="576" t="str">
        <f t="shared" si="51"/>
        <v/>
      </c>
      <c r="AK98" s="576" t="str">
        <f t="shared" si="52"/>
        <v/>
      </c>
      <c r="AM98" s="576" t="str">
        <f t="shared" si="53"/>
        <v/>
      </c>
      <c r="AO98" s="576" t="str">
        <f t="shared" si="54"/>
        <v/>
      </c>
      <c r="AQ98" s="576" t="str">
        <f t="shared" si="55"/>
        <v/>
      </c>
    </row>
    <row r="99" spans="5:43" x14ac:dyDescent="0.2">
      <c r="E99" s="576" t="str">
        <f t="shared" ref="E99:E162" si="61">IF(OR($B98=0,D99=0),"",D99/$B98)</f>
        <v/>
      </c>
      <c r="G99" s="576" t="str">
        <f t="shared" si="57"/>
        <v/>
      </c>
      <c r="I99" s="576" t="str">
        <f t="shared" si="58"/>
        <v/>
      </c>
      <c r="K99" s="576" t="str">
        <f t="shared" si="59"/>
        <v/>
      </c>
      <c r="M99" s="576" t="str">
        <f t="shared" si="60"/>
        <v/>
      </c>
      <c r="O99" s="576" t="str">
        <f t="shared" ref="O99:O162" si="62">IF(OR($B98=0,N99=0),"",N99/$B98)</f>
        <v/>
      </c>
      <c r="Q99" s="576" t="str">
        <f t="shared" si="43"/>
        <v/>
      </c>
      <c r="S99" s="576" t="str">
        <f t="shared" si="44"/>
        <v/>
      </c>
      <c r="U99" s="576" t="str">
        <f t="shared" si="45"/>
        <v/>
      </c>
      <c r="W99" s="576" t="str">
        <f t="shared" si="46"/>
        <v/>
      </c>
      <c r="Y99" s="576" t="str">
        <f t="shared" si="47"/>
        <v/>
      </c>
      <c r="AA99" s="576" t="str">
        <f t="shared" si="56"/>
        <v/>
      </c>
      <c r="AC99" s="576" t="str">
        <f t="shared" si="48"/>
        <v/>
      </c>
      <c r="AE99" s="576" t="str">
        <f t="shared" si="49"/>
        <v/>
      </c>
      <c r="AG99" s="576" t="str">
        <f t="shared" si="50"/>
        <v/>
      </c>
      <c r="AI99" s="576" t="str">
        <f t="shared" si="51"/>
        <v/>
      </c>
      <c r="AK99" s="576" t="str">
        <f t="shared" si="52"/>
        <v/>
      </c>
      <c r="AM99" s="576" t="str">
        <f t="shared" si="53"/>
        <v/>
      </c>
      <c r="AO99" s="576" t="str">
        <f t="shared" si="54"/>
        <v/>
      </c>
      <c r="AQ99" s="576" t="str">
        <f t="shared" si="55"/>
        <v/>
      </c>
    </row>
    <row r="100" spans="5:43" x14ac:dyDescent="0.2">
      <c r="E100" s="576" t="str">
        <f t="shared" si="61"/>
        <v/>
      </c>
      <c r="G100" s="576" t="str">
        <f t="shared" si="57"/>
        <v/>
      </c>
      <c r="I100" s="576" t="str">
        <f t="shared" si="58"/>
        <v/>
      </c>
      <c r="K100" s="576" t="str">
        <f t="shared" si="59"/>
        <v/>
      </c>
      <c r="M100" s="576" t="str">
        <f t="shared" si="60"/>
        <v/>
      </c>
      <c r="O100" s="576" t="str">
        <f t="shared" si="62"/>
        <v/>
      </c>
      <c r="Q100" s="576" t="str">
        <f t="shared" si="43"/>
        <v/>
      </c>
      <c r="S100" s="576" t="str">
        <f t="shared" si="44"/>
        <v/>
      </c>
      <c r="U100" s="576" t="str">
        <f t="shared" si="45"/>
        <v/>
      </c>
      <c r="W100" s="576" t="str">
        <f t="shared" si="46"/>
        <v/>
      </c>
      <c r="Y100" s="576" t="str">
        <f t="shared" si="47"/>
        <v/>
      </c>
      <c r="AA100" s="576" t="str">
        <f t="shared" si="56"/>
        <v/>
      </c>
      <c r="AC100" s="576" t="str">
        <f t="shared" si="48"/>
        <v/>
      </c>
      <c r="AE100" s="576" t="str">
        <f t="shared" si="49"/>
        <v/>
      </c>
      <c r="AG100" s="576" t="str">
        <f t="shared" si="50"/>
        <v/>
      </c>
      <c r="AI100" s="576" t="str">
        <f t="shared" si="51"/>
        <v/>
      </c>
      <c r="AK100" s="576" t="str">
        <f t="shared" si="52"/>
        <v/>
      </c>
      <c r="AM100" s="576" t="str">
        <f t="shared" si="53"/>
        <v/>
      </c>
      <c r="AO100" s="576" t="str">
        <f t="shared" si="54"/>
        <v/>
      </c>
      <c r="AQ100" s="576" t="str">
        <f t="shared" si="55"/>
        <v/>
      </c>
    </row>
    <row r="101" spans="5:43" x14ac:dyDescent="0.2">
      <c r="E101" s="576" t="str">
        <f t="shared" si="61"/>
        <v/>
      </c>
      <c r="G101" s="576" t="str">
        <f t="shared" si="57"/>
        <v/>
      </c>
      <c r="I101" s="576" t="str">
        <f t="shared" si="58"/>
        <v/>
      </c>
      <c r="K101" s="576" t="str">
        <f t="shared" si="59"/>
        <v/>
      </c>
      <c r="M101" s="576" t="str">
        <f t="shared" si="60"/>
        <v/>
      </c>
      <c r="O101" s="576" t="str">
        <f t="shared" si="62"/>
        <v/>
      </c>
      <c r="Q101" s="576" t="str">
        <f t="shared" si="43"/>
        <v/>
      </c>
      <c r="S101" s="576" t="str">
        <f t="shared" si="44"/>
        <v/>
      </c>
      <c r="U101" s="576" t="str">
        <f t="shared" si="45"/>
        <v/>
      </c>
      <c r="W101" s="576" t="str">
        <f t="shared" si="46"/>
        <v/>
      </c>
      <c r="Y101" s="576" t="str">
        <f t="shared" si="47"/>
        <v/>
      </c>
      <c r="AA101" s="576" t="str">
        <f t="shared" si="56"/>
        <v/>
      </c>
      <c r="AC101" s="576" t="str">
        <f t="shared" si="48"/>
        <v/>
      </c>
      <c r="AE101" s="576" t="str">
        <f t="shared" si="49"/>
        <v/>
      </c>
      <c r="AG101" s="576" t="str">
        <f t="shared" si="50"/>
        <v/>
      </c>
      <c r="AI101" s="576" t="str">
        <f t="shared" si="51"/>
        <v/>
      </c>
      <c r="AK101" s="576" t="str">
        <f t="shared" si="52"/>
        <v/>
      </c>
      <c r="AM101" s="576" t="str">
        <f t="shared" si="53"/>
        <v/>
      </c>
      <c r="AO101" s="576" t="str">
        <f t="shared" si="54"/>
        <v/>
      </c>
      <c r="AQ101" s="576" t="str">
        <f t="shared" si="55"/>
        <v/>
      </c>
    </row>
    <row r="102" spans="5:43" x14ac:dyDescent="0.2">
      <c r="E102" s="576" t="str">
        <f t="shared" si="61"/>
        <v/>
      </c>
      <c r="G102" s="576" t="str">
        <f t="shared" si="57"/>
        <v/>
      </c>
      <c r="I102" s="576" t="str">
        <f t="shared" si="58"/>
        <v/>
      </c>
      <c r="K102" s="576" t="str">
        <f t="shared" si="59"/>
        <v/>
      </c>
      <c r="M102" s="576" t="str">
        <f t="shared" si="60"/>
        <v/>
      </c>
      <c r="O102" s="576" t="str">
        <f t="shared" si="62"/>
        <v/>
      </c>
      <c r="Q102" s="576" t="str">
        <f t="shared" si="43"/>
        <v/>
      </c>
      <c r="S102" s="576" t="str">
        <f t="shared" si="44"/>
        <v/>
      </c>
      <c r="U102" s="576" t="str">
        <f t="shared" si="45"/>
        <v/>
      </c>
      <c r="W102" s="576" t="str">
        <f t="shared" si="46"/>
        <v/>
      </c>
      <c r="Y102" s="576" t="str">
        <f t="shared" si="47"/>
        <v/>
      </c>
      <c r="AA102" s="576" t="str">
        <f t="shared" si="56"/>
        <v/>
      </c>
      <c r="AC102" s="576" t="str">
        <f t="shared" si="48"/>
        <v/>
      </c>
      <c r="AE102" s="576" t="str">
        <f t="shared" si="49"/>
        <v/>
      </c>
      <c r="AG102" s="576" t="str">
        <f t="shared" si="50"/>
        <v/>
      </c>
      <c r="AI102" s="576" t="str">
        <f t="shared" si="51"/>
        <v/>
      </c>
      <c r="AK102" s="576" t="str">
        <f t="shared" si="52"/>
        <v/>
      </c>
      <c r="AM102" s="576" t="str">
        <f t="shared" si="53"/>
        <v/>
      </c>
      <c r="AO102" s="576" t="str">
        <f t="shared" si="54"/>
        <v/>
      </c>
      <c r="AQ102" s="576" t="str">
        <f t="shared" si="55"/>
        <v/>
      </c>
    </row>
    <row r="103" spans="5:43" x14ac:dyDescent="0.2">
      <c r="E103" s="576" t="str">
        <f t="shared" si="61"/>
        <v/>
      </c>
      <c r="G103" s="576" t="str">
        <f t="shared" si="57"/>
        <v/>
      </c>
      <c r="I103" s="576" t="str">
        <f t="shared" si="58"/>
        <v/>
      </c>
      <c r="K103" s="576" t="str">
        <f t="shared" si="59"/>
        <v/>
      </c>
      <c r="M103" s="576" t="str">
        <f t="shared" si="60"/>
        <v/>
      </c>
      <c r="O103" s="576" t="str">
        <f t="shared" si="62"/>
        <v/>
      </c>
      <c r="Q103" s="576" t="str">
        <f t="shared" si="43"/>
        <v/>
      </c>
      <c r="S103" s="576" t="str">
        <f t="shared" si="44"/>
        <v/>
      </c>
      <c r="U103" s="576" t="str">
        <f t="shared" si="45"/>
        <v/>
      </c>
      <c r="W103" s="576" t="str">
        <f t="shared" si="46"/>
        <v/>
      </c>
      <c r="Y103" s="576" t="str">
        <f t="shared" si="47"/>
        <v/>
      </c>
      <c r="AA103" s="576" t="str">
        <f t="shared" si="56"/>
        <v/>
      </c>
      <c r="AC103" s="576" t="str">
        <f t="shared" si="48"/>
        <v/>
      </c>
      <c r="AE103" s="576" t="str">
        <f t="shared" si="49"/>
        <v/>
      </c>
      <c r="AG103" s="576" t="str">
        <f t="shared" si="50"/>
        <v/>
      </c>
      <c r="AI103" s="576" t="str">
        <f t="shared" si="51"/>
        <v/>
      </c>
      <c r="AK103" s="576" t="str">
        <f t="shared" si="52"/>
        <v/>
      </c>
      <c r="AM103" s="576" t="str">
        <f t="shared" si="53"/>
        <v/>
      </c>
      <c r="AO103" s="576" t="str">
        <f t="shared" si="54"/>
        <v/>
      </c>
      <c r="AQ103" s="576" t="str">
        <f t="shared" si="55"/>
        <v/>
      </c>
    </row>
    <row r="104" spans="5:43" x14ac:dyDescent="0.2">
      <c r="E104" s="576" t="str">
        <f t="shared" si="61"/>
        <v/>
      </c>
      <c r="G104" s="576" t="str">
        <f t="shared" si="57"/>
        <v/>
      </c>
      <c r="I104" s="576" t="str">
        <f t="shared" si="58"/>
        <v/>
      </c>
      <c r="K104" s="576" t="str">
        <f t="shared" si="59"/>
        <v/>
      </c>
      <c r="M104" s="576" t="str">
        <f t="shared" si="60"/>
        <v/>
      </c>
      <c r="O104" s="576" t="str">
        <f t="shared" si="62"/>
        <v/>
      </c>
      <c r="Q104" s="576" t="str">
        <f t="shared" si="43"/>
        <v/>
      </c>
      <c r="S104" s="576" t="str">
        <f t="shared" si="44"/>
        <v/>
      </c>
      <c r="U104" s="576" t="str">
        <f t="shared" si="45"/>
        <v/>
      </c>
      <c r="W104" s="576" t="str">
        <f t="shared" si="46"/>
        <v/>
      </c>
      <c r="Y104" s="576" t="str">
        <f t="shared" si="47"/>
        <v/>
      </c>
      <c r="AA104" s="576" t="str">
        <f t="shared" si="56"/>
        <v/>
      </c>
      <c r="AC104" s="576" t="str">
        <f t="shared" si="48"/>
        <v/>
      </c>
      <c r="AE104" s="576" t="str">
        <f t="shared" si="49"/>
        <v/>
      </c>
      <c r="AG104" s="576" t="str">
        <f t="shared" si="50"/>
        <v/>
      </c>
      <c r="AI104" s="576" t="str">
        <f t="shared" si="51"/>
        <v/>
      </c>
      <c r="AK104" s="576" t="str">
        <f t="shared" si="52"/>
        <v/>
      </c>
      <c r="AM104" s="576" t="str">
        <f t="shared" si="53"/>
        <v/>
      </c>
      <c r="AO104" s="576" t="str">
        <f t="shared" si="54"/>
        <v/>
      </c>
      <c r="AQ104" s="576" t="str">
        <f t="shared" si="55"/>
        <v/>
      </c>
    </row>
    <row r="105" spans="5:43" x14ac:dyDescent="0.2">
      <c r="E105" s="576" t="str">
        <f t="shared" si="61"/>
        <v/>
      </c>
      <c r="G105" s="576" t="str">
        <f t="shared" si="57"/>
        <v/>
      </c>
      <c r="I105" s="576" t="str">
        <f t="shared" si="58"/>
        <v/>
      </c>
      <c r="K105" s="576" t="str">
        <f t="shared" si="59"/>
        <v/>
      </c>
      <c r="M105" s="576" t="str">
        <f t="shared" si="60"/>
        <v/>
      </c>
      <c r="O105" s="576" t="str">
        <f t="shared" si="62"/>
        <v/>
      </c>
      <c r="Q105" s="576" t="str">
        <f t="shared" si="43"/>
        <v/>
      </c>
      <c r="S105" s="576" t="str">
        <f t="shared" si="44"/>
        <v/>
      </c>
      <c r="U105" s="576" t="str">
        <f t="shared" si="45"/>
        <v/>
      </c>
      <c r="W105" s="576" t="str">
        <f t="shared" si="46"/>
        <v/>
      </c>
      <c r="Y105" s="576" t="str">
        <f t="shared" si="47"/>
        <v/>
      </c>
      <c r="AA105" s="576" t="str">
        <f t="shared" si="56"/>
        <v/>
      </c>
      <c r="AC105" s="576" t="str">
        <f t="shared" si="48"/>
        <v/>
      </c>
      <c r="AE105" s="576" t="str">
        <f t="shared" si="49"/>
        <v/>
      </c>
      <c r="AG105" s="576" t="str">
        <f t="shared" si="50"/>
        <v/>
      </c>
      <c r="AI105" s="576" t="str">
        <f t="shared" si="51"/>
        <v/>
      </c>
      <c r="AK105" s="576" t="str">
        <f t="shared" si="52"/>
        <v/>
      </c>
      <c r="AM105" s="576" t="str">
        <f t="shared" si="53"/>
        <v/>
      </c>
      <c r="AO105" s="576" t="str">
        <f t="shared" si="54"/>
        <v/>
      </c>
      <c r="AQ105" s="576" t="str">
        <f t="shared" si="55"/>
        <v/>
      </c>
    </row>
    <row r="106" spans="5:43" x14ac:dyDescent="0.2">
      <c r="E106" s="576" t="str">
        <f t="shared" si="61"/>
        <v/>
      </c>
      <c r="G106" s="576" t="str">
        <f t="shared" si="57"/>
        <v/>
      </c>
      <c r="I106" s="576" t="str">
        <f t="shared" si="58"/>
        <v/>
      </c>
      <c r="K106" s="576" t="str">
        <f t="shared" si="59"/>
        <v/>
      </c>
      <c r="M106" s="576" t="str">
        <f t="shared" si="60"/>
        <v/>
      </c>
      <c r="O106" s="576" t="str">
        <f t="shared" si="62"/>
        <v/>
      </c>
      <c r="Q106" s="576" t="str">
        <f t="shared" si="43"/>
        <v/>
      </c>
      <c r="S106" s="576" t="str">
        <f t="shared" si="44"/>
        <v/>
      </c>
      <c r="U106" s="576" t="str">
        <f t="shared" si="45"/>
        <v/>
      </c>
      <c r="W106" s="576" t="str">
        <f t="shared" si="46"/>
        <v/>
      </c>
      <c r="Y106" s="576" t="str">
        <f t="shared" si="47"/>
        <v/>
      </c>
      <c r="AA106" s="576" t="str">
        <f t="shared" si="56"/>
        <v/>
      </c>
      <c r="AC106" s="576" t="str">
        <f t="shared" si="48"/>
        <v/>
      </c>
      <c r="AE106" s="576" t="str">
        <f t="shared" si="49"/>
        <v/>
      </c>
      <c r="AG106" s="576" t="str">
        <f t="shared" si="50"/>
        <v/>
      </c>
      <c r="AI106" s="576" t="str">
        <f t="shared" si="51"/>
        <v/>
      </c>
      <c r="AK106" s="576" t="str">
        <f t="shared" si="52"/>
        <v/>
      </c>
      <c r="AM106" s="576" t="str">
        <f t="shared" si="53"/>
        <v/>
      </c>
      <c r="AO106" s="576" t="str">
        <f t="shared" si="54"/>
        <v/>
      </c>
      <c r="AQ106" s="576" t="str">
        <f t="shared" si="55"/>
        <v/>
      </c>
    </row>
    <row r="107" spans="5:43" x14ac:dyDescent="0.2">
      <c r="E107" s="576" t="str">
        <f t="shared" si="61"/>
        <v/>
      </c>
      <c r="G107" s="576" t="str">
        <f t="shared" si="57"/>
        <v/>
      </c>
      <c r="I107" s="576" t="str">
        <f t="shared" si="58"/>
        <v/>
      </c>
      <c r="K107" s="576" t="str">
        <f t="shared" si="59"/>
        <v/>
      </c>
      <c r="M107" s="576" t="str">
        <f t="shared" si="60"/>
        <v/>
      </c>
      <c r="O107" s="576" t="str">
        <f t="shared" si="62"/>
        <v/>
      </c>
      <c r="Q107" s="576" t="str">
        <f t="shared" si="43"/>
        <v/>
      </c>
      <c r="S107" s="576" t="str">
        <f t="shared" si="44"/>
        <v/>
      </c>
      <c r="U107" s="576" t="str">
        <f t="shared" si="45"/>
        <v/>
      </c>
      <c r="W107" s="576" t="str">
        <f t="shared" si="46"/>
        <v/>
      </c>
      <c r="Y107" s="576" t="str">
        <f t="shared" si="47"/>
        <v/>
      </c>
      <c r="AA107" s="576" t="str">
        <f t="shared" si="56"/>
        <v/>
      </c>
      <c r="AC107" s="576" t="str">
        <f t="shared" si="48"/>
        <v/>
      </c>
      <c r="AE107" s="576" t="str">
        <f t="shared" si="49"/>
        <v/>
      </c>
      <c r="AG107" s="576" t="str">
        <f t="shared" si="50"/>
        <v/>
      </c>
      <c r="AI107" s="576" t="str">
        <f t="shared" si="51"/>
        <v/>
      </c>
      <c r="AK107" s="576" t="str">
        <f t="shared" si="52"/>
        <v/>
      </c>
      <c r="AM107" s="576" t="str">
        <f t="shared" si="53"/>
        <v/>
      </c>
      <c r="AO107" s="576" t="str">
        <f t="shared" si="54"/>
        <v/>
      </c>
      <c r="AQ107" s="576" t="str">
        <f t="shared" si="55"/>
        <v/>
      </c>
    </row>
    <row r="108" spans="5:43" x14ac:dyDescent="0.2">
      <c r="E108" s="576" t="str">
        <f t="shared" si="61"/>
        <v/>
      </c>
      <c r="G108" s="576" t="str">
        <f t="shared" si="57"/>
        <v/>
      </c>
      <c r="I108" s="576" t="str">
        <f t="shared" si="58"/>
        <v/>
      </c>
      <c r="K108" s="576" t="str">
        <f t="shared" si="59"/>
        <v/>
      </c>
      <c r="M108" s="576" t="str">
        <f t="shared" si="60"/>
        <v/>
      </c>
      <c r="O108" s="576" t="str">
        <f t="shared" si="62"/>
        <v/>
      </c>
      <c r="Q108" s="576" t="str">
        <f t="shared" si="43"/>
        <v/>
      </c>
      <c r="S108" s="576" t="str">
        <f t="shared" si="44"/>
        <v/>
      </c>
      <c r="U108" s="576" t="str">
        <f t="shared" si="45"/>
        <v/>
      </c>
      <c r="W108" s="576" t="str">
        <f t="shared" si="46"/>
        <v/>
      </c>
      <c r="Y108" s="576" t="str">
        <f t="shared" si="47"/>
        <v/>
      </c>
      <c r="AA108" s="576" t="str">
        <f t="shared" si="56"/>
        <v/>
      </c>
      <c r="AC108" s="576" t="str">
        <f t="shared" si="48"/>
        <v/>
      </c>
      <c r="AE108" s="576" t="str">
        <f t="shared" si="49"/>
        <v/>
      </c>
      <c r="AG108" s="576" t="str">
        <f t="shared" si="50"/>
        <v/>
      </c>
      <c r="AI108" s="576" t="str">
        <f t="shared" si="51"/>
        <v/>
      </c>
      <c r="AK108" s="576" t="str">
        <f t="shared" si="52"/>
        <v/>
      </c>
      <c r="AM108" s="576" t="str">
        <f t="shared" si="53"/>
        <v/>
      </c>
      <c r="AO108" s="576" t="str">
        <f t="shared" si="54"/>
        <v/>
      </c>
      <c r="AQ108" s="576" t="str">
        <f t="shared" si="55"/>
        <v/>
      </c>
    </row>
    <row r="109" spans="5:43" x14ac:dyDescent="0.2">
      <c r="E109" s="576" t="str">
        <f t="shared" si="61"/>
        <v/>
      </c>
      <c r="G109" s="576" t="str">
        <f t="shared" si="57"/>
        <v/>
      </c>
      <c r="I109" s="576" t="str">
        <f t="shared" si="58"/>
        <v/>
      </c>
      <c r="K109" s="576" t="str">
        <f t="shared" si="59"/>
        <v/>
      </c>
      <c r="M109" s="576" t="str">
        <f t="shared" si="60"/>
        <v/>
      </c>
      <c r="O109" s="576" t="str">
        <f t="shared" si="62"/>
        <v/>
      </c>
      <c r="Q109" s="576" t="str">
        <f t="shared" si="43"/>
        <v/>
      </c>
      <c r="S109" s="576" t="str">
        <f t="shared" si="44"/>
        <v/>
      </c>
      <c r="U109" s="576" t="str">
        <f t="shared" si="45"/>
        <v/>
      </c>
      <c r="W109" s="576" t="str">
        <f t="shared" si="46"/>
        <v/>
      </c>
      <c r="Y109" s="576" t="str">
        <f t="shared" si="47"/>
        <v/>
      </c>
      <c r="AA109" s="576" t="str">
        <f t="shared" si="56"/>
        <v/>
      </c>
      <c r="AC109" s="576" t="str">
        <f t="shared" si="48"/>
        <v/>
      </c>
      <c r="AE109" s="576" t="str">
        <f t="shared" si="49"/>
        <v/>
      </c>
      <c r="AG109" s="576" t="str">
        <f t="shared" si="50"/>
        <v/>
      </c>
      <c r="AI109" s="576" t="str">
        <f t="shared" si="51"/>
        <v/>
      </c>
      <c r="AK109" s="576" t="str">
        <f t="shared" si="52"/>
        <v/>
      </c>
      <c r="AM109" s="576" t="str">
        <f t="shared" si="53"/>
        <v/>
      </c>
      <c r="AO109" s="576" t="str">
        <f t="shared" si="54"/>
        <v/>
      </c>
      <c r="AQ109" s="576" t="str">
        <f t="shared" si="55"/>
        <v/>
      </c>
    </row>
    <row r="110" spans="5:43" x14ac:dyDescent="0.2">
      <c r="E110" s="576" t="str">
        <f t="shared" si="61"/>
        <v/>
      </c>
      <c r="G110" s="576" t="str">
        <f t="shared" si="57"/>
        <v/>
      </c>
      <c r="I110" s="576" t="str">
        <f t="shared" si="58"/>
        <v/>
      </c>
      <c r="K110" s="576" t="str">
        <f t="shared" si="59"/>
        <v/>
      </c>
      <c r="M110" s="576" t="str">
        <f t="shared" si="60"/>
        <v/>
      </c>
      <c r="O110" s="576" t="str">
        <f t="shared" si="62"/>
        <v/>
      </c>
      <c r="Q110" s="576" t="str">
        <f t="shared" si="43"/>
        <v/>
      </c>
      <c r="S110" s="576" t="str">
        <f t="shared" si="44"/>
        <v/>
      </c>
      <c r="U110" s="576" t="str">
        <f t="shared" si="45"/>
        <v/>
      </c>
      <c r="W110" s="576" t="str">
        <f t="shared" si="46"/>
        <v/>
      </c>
      <c r="Y110" s="576" t="str">
        <f t="shared" si="47"/>
        <v/>
      </c>
      <c r="AA110" s="576" t="str">
        <f t="shared" si="56"/>
        <v/>
      </c>
      <c r="AC110" s="576" t="str">
        <f t="shared" si="48"/>
        <v/>
      </c>
      <c r="AE110" s="576" t="str">
        <f t="shared" si="49"/>
        <v/>
      </c>
      <c r="AG110" s="576" t="str">
        <f t="shared" si="50"/>
        <v/>
      </c>
      <c r="AI110" s="576" t="str">
        <f t="shared" si="51"/>
        <v/>
      </c>
      <c r="AK110" s="576" t="str">
        <f t="shared" si="52"/>
        <v/>
      </c>
      <c r="AM110" s="576" t="str">
        <f t="shared" si="53"/>
        <v/>
      </c>
      <c r="AO110" s="576" t="str">
        <f t="shared" si="54"/>
        <v/>
      </c>
      <c r="AQ110" s="576" t="str">
        <f t="shared" si="55"/>
        <v/>
      </c>
    </row>
    <row r="111" spans="5:43" x14ac:dyDescent="0.2">
      <c r="E111" s="576" t="str">
        <f t="shared" si="61"/>
        <v/>
      </c>
      <c r="G111" s="576" t="str">
        <f t="shared" si="57"/>
        <v/>
      </c>
      <c r="I111" s="576" t="str">
        <f t="shared" si="58"/>
        <v/>
      </c>
      <c r="K111" s="576" t="str">
        <f t="shared" si="59"/>
        <v/>
      </c>
      <c r="M111" s="576" t="str">
        <f t="shared" si="60"/>
        <v/>
      </c>
      <c r="O111" s="576" t="str">
        <f t="shared" si="62"/>
        <v/>
      </c>
      <c r="Q111" s="576" t="str">
        <f t="shared" si="43"/>
        <v/>
      </c>
      <c r="S111" s="576" t="str">
        <f t="shared" si="44"/>
        <v/>
      </c>
      <c r="U111" s="576" t="str">
        <f t="shared" si="45"/>
        <v/>
      </c>
      <c r="W111" s="576" t="str">
        <f t="shared" si="46"/>
        <v/>
      </c>
      <c r="Y111" s="576" t="str">
        <f t="shared" si="47"/>
        <v/>
      </c>
      <c r="AA111" s="576" t="str">
        <f t="shared" si="56"/>
        <v/>
      </c>
      <c r="AC111" s="576" t="str">
        <f t="shared" si="48"/>
        <v/>
      </c>
      <c r="AE111" s="576" t="str">
        <f t="shared" si="49"/>
        <v/>
      </c>
      <c r="AG111" s="576" t="str">
        <f t="shared" si="50"/>
        <v/>
      </c>
      <c r="AI111" s="576" t="str">
        <f t="shared" si="51"/>
        <v/>
      </c>
      <c r="AK111" s="576" t="str">
        <f t="shared" si="52"/>
        <v/>
      </c>
      <c r="AM111" s="576" t="str">
        <f t="shared" si="53"/>
        <v/>
      </c>
      <c r="AO111" s="576" t="str">
        <f t="shared" si="54"/>
        <v/>
      </c>
      <c r="AQ111" s="576" t="str">
        <f t="shared" si="55"/>
        <v/>
      </c>
    </row>
    <row r="112" spans="5:43" x14ac:dyDescent="0.2">
      <c r="E112" s="576" t="str">
        <f t="shared" si="61"/>
        <v/>
      </c>
      <c r="G112" s="576" t="str">
        <f t="shared" si="57"/>
        <v/>
      </c>
      <c r="I112" s="576" t="str">
        <f t="shared" si="58"/>
        <v/>
      </c>
      <c r="K112" s="576" t="str">
        <f t="shared" si="59"/>
        <v/>
      </c>
      <c r="M112" s="576" t="str">
        <f t="shared" si="60"/>
        <v/>
      </c>
      <c r="O112" s="576" t="str">
        <f t="shared" si="62"/>
        <v/>
      </c>
      <c r="Q112" s="576" t="str">
        <f t="shared" si="43"/>
        <v/>
      </c>
      <c r="S112" s="576" t="str">
        <f t="shared" si="44"/>
        <v/>
      </c>
      <c r="U112" s="576" t="str">
        <f t="shared" si="45"/>
        <v/>
      </c>
      <c r="W112" s="576" t="str">
        <f t="shared" si="46"/>
        <v/>
      </c>
      <c r="Y112" s="576" t="str">
        <f t="shared" si="47"/>
        <v/>
      </c>
      <c r="AA112" s="576" t="str">
        <f t="shared" si="56"/>
        <v/>
      </c>
      <c r="AC112" s="576" t="str">
        <f t="shared" si="48"/>
        <v/>
      </c>
      <c r="AE112" s="576" t="str">
        <f t="shared" si="49"/>
        <v/>
      </c>
      <c r="AG112" s="576" t="str">
        <f t="shared" si="50"/>
        <v/>
      </c>
      <c r="AI112" s="576" t="str">
        <f t="shared" si="51"/>
        <v/>
      </c>
      <c r="AK112" s="576" t="str">
        <f t="shared" si="52"/>
        <v/>
      </c>
      <c r="AM112" s="576" t="str">
        <f t="shared" si="53"/>
        <v/>
      </c>
      <c r="AO112" s="576" t="str">
        <f t="shared" si="54"/>
        <v/>
      </c>
      <c r="AQ112" s="576" t="str">
        <f t="shared" si="55"/>
        <v/>
      </c>
    </row>
    <row r="113" spans="5:43" x14ac:dyDescent="0.2">
      <c r="E113" s="576" t="str">
        <f t="shared" si="61"/>
        <v/>
      </c>
      <c r="G113" s="576" t="str">
        <f t="shared" si="57"/>
        <v/>
      </c>
      <c r="I113" s="576" t="str">
        <f t="shared" si="58"/>
        <v/>
      </c>
      <c r="K113" s="576" t="str">
        <f t="shared" si="59"/>
        <v/>
      </c>
      <c r="M113" s="576" t="str">
        <f t="shared" si="60"/>
        <v/>
      </c>
      <c r="O113" s="576" t="str">
        <f t="shared" si="62"/>
        <v/>
      </c>
      <c r="Q113" s="576" t="str">
        <f t="shared" si="43"/>
        <v/>
      </c>
      <c r="S113" s="576" t="str">
        <f t="shared" si="44"/>
        <v/>
      </c>
      <c r="U113" s="576" t="str">
        <f t="shared" si="45"/>
        <v/>
      </c>
      <c r="W113" s="576" t="str">
        <f t="shared" si="46"/>
        <v/>
      </c>
      <c r="Y113" s="576" t="str">
        <f t="shared" si="47"/>
        <v/>
      </c>
      <c r="AA113" s="576" t="str">
        <f t="shared" si="56"/>
        <v/>
      </c>
      <c r="AC113" s="576" t="str">
        <f t="shared" si="48"/>
        <v/>
      </c>
      <c r="AE113" s="576" t="str">
        <f t="shared" si="49"/>
        <v/>
      </c>
      <c r="AG113" s="576" t="str">
        <f t="shared" si="50"/>
        <v/>
      </c>
      <c r="AI113" s="576" t="str">
        <f t="shared" si="51"/>
        <v/>
      </c>
      <c r="AK113" s="576" t="str">
        <f t="shared" si="52"/>
        <v/>
      </c>
      <c r="AM113" s="576" t="str">
        <f t="shared" si="53"/>
        <v/>
      </c>
      <c r="AO113" s="576" t="str">
        <f t="shared" si="54"/>
        <v/>
      </c>
      <c r="AQ113" s="576" t="str">
        <f t="shared" si="55"/>
        <v/>
      </c>
    </row>
    <row r="114" spans="5:43" x14ac:dyDescent="0.2">
      <c r="E114" s="576" t="str">
        <f t="shared" si="61"/>
        <v/>
      </c>
      <c r="G114" s="576" t="str">
        <f t="shared" si="57"/>
        <v/>
      </c>
      <c r="I114" s="576" t="str">
        <f t="shared" si="58"/>
        <v/>
      </c>
      <c r="K114" s="576" t="str">
        <f t="shared" si="59"/>
        <v/>
      </c>
      <c r="M114" s="576" t="str">
        <f t="shared" si="60"/>
        <v/>
      </c>
      <c r="O114" s="576" t="str">
        <f t="shared" si="62"/>
        <v/>
      </c>
      <c r="Q114" s="576" t="str">
        <f t="shared" si="43"/>
        <v/>
      </c>
      <c r="S114" s="576" t="str">
        <f t="shared" si="44"/>
        <v/>
      </c>
      <c r="U114" s="576" t="str">
        <f t="shared" si="45"/>
        <v/>
      </c>
      <c r="W114" s="576" t="str">
        <f t="shared" si="46"/>
        <v/>
      </c>
      <c r="Y114" s="576" t="str">
        <f t="shared" si="47"/>
        <v/>
      </c>
      <c r="AA114" s="576" t="str">
        <f t="shared" si="56"/>
        <v/>
      </c>
      <c r="AC114" s="576" t="str">
        <f t="shared" si="48"/>
        <v/>
      </c>
      <c r="AE114" s="576" t="str">
        <f t="shared" si="49"/>
        <v/>
      </c>
      <c r="AG114" s="576" t="str">
        <f t="shared" si="50"/>
        <v/>
      </c>
      <c r="AI114" s="576" t="str">
        <f t="shared" si="51"/>
        <v/>
      </c>
      <c r="AK114" s="576" t="str">
        <f t="shared" si="52"/>
        <v/>
      </c>
      <c r="AM114" s="576" t="str">
        <f t="shared" si="53"/>
        <v/>
      </c>
      <c r="AO114" s="576" t="str">
        <f t="shared" si="54"/>
        <v/>
      </c>
      <c r="AQ114" s="576" t="str">
        <f t="shared" si="55"/>
        <v/>
      </c>
    </row>
    <row r="115" spans="5:43" x14ac:dyDescent="0.2">
      <c r="E115" s="576" t="str">
        <f t="shared" si="61"/>
        <v/>
      </c>
      <c r="G115" s="576" t="str">
        <f t="shared" si="57"/>
        <v/>
      </c>
      <c r="I115" s="576" t="str">
        <f t="shared" si="58"/>
        <v/>
      </c>
      <c r="K115" s="576" t="str">
        <f t="shared" si="59"/>
        <v/>
      </c>
      <c r="M115" s="576" t="str">
        <f t="shared" si="60"/>
        <v/>
      </c>
      <c r="O115" s="576" t="str">
        <f t="shared" si="62"/>
        <v/>
      </c>
      <c r="Q115" s="576" t="str">
        <f t="shared" si="43"/>
        <v/>
      </c>
      <c r="S115" s="576" t="str">
        <f t="shared" si="44"/>
        <v/>
      </c>
      <c r="U115" s="576" t="str">
        <f t="shared" si="45"/>
        <v/>
      </c>
      <c r="W115" s="576" t="str">
        <f t="shared" si="46"/>
        <v/>
      </c>
      <c r="Y115" s="576" t="str">
        <f t="shared" si="47"/>
        <v/>
      </c>
      <c r="AA115" s="576" t="str">
        <f t="shared" si="56"/>
        <v/>
      </c>
      <c r="AC115" s="576" t="str">
        <f t="shared" si="48"/>
        <v/>
      </c>
      <c r="AE115" s="576" t="str">
        <f t="shared" si="49"/>
        <v/>
      </c>
      <c r="AG115" s="576" t="str">
        <f t="shared" si="50"/>
        <v/>
      </c>
      <c r="AI115" s="576" t="str">
        <f t="shared" si="51"/>
        <v/>
      </c>
      <c r="AK115" s="576" t="str">
        <f t="shared" si="52"/>
        <v/>
      </c>
      <c r="AM115" s="576" t="str">
        <f t="shared" si="53"/>
        <v/>
      </c>
      <c r="AO115" s="576" t="str">
        <f t="shared" si="54"/>
        <v/>
      </c>
      <c r="AQ115" s="576" t="str">
        <f t="shared" si="55"/>
        <v/>
      </c>
    </row>
    <row r="116" spans="5:43" x14ac:dyDescent="0.2">
      <c r="E116" s="576" t="str">
        <f t="shared" si="61"/>
        <v/>
      </c>
      <c r="G116" s="576" t="str">
        <f t="shared" si="57"/>
        <v/>
      </c>
      <c r="I116" s="576" t="str">
        <f t="shared" si="58"/>
        <v/>
      </c>
      <c r="K116" s="576" t="str">
        <f t="shared" si="59"/>
        <v/>
      </c>
      <c r="M116" s="576" t="str">
        <f t="shared" si="60"/>
        <v/>
      </c>
      <c r="O116" s="576" t="str">
        <f t="shared" si="62"/>
        <v/>
      </c>
      <c r="Q116" s="576" t="str">
        <f t="shared" si="43"/>
        <v/>
      </c>
      <c r="S116" s="576" t="str">
        <f t="shared" si="44"/>
        <v/>
      </c>
      <c r="U116" s="576" t="str">
        <f t="shared" si="45"/>
        <v/>
      </c>
      <c r="W116" s="576" t="str">
        <f t="shared" si="46"/>
        <v/>
      </c>
      <c r="Y116" s="576" t="str">
        <f t="shared" si="47"/>
        <v/>
      </c>
      <c r="AA116" s="576" t="str">
        <f t="shared" si="56"/>
        <v/>
      </c>
      <c r="AC116" s="576" t="str">
        <f t="shared" si="48"/>
        <v/>
      </c>
      <c r="AE116" s="576" t="str">
        <f t="shared" si="49"/>
        <v/>
      </c>
      <c r="AG116" s="576" t="str">
        <f t="shared" si="50"/>
        <v/>
      </c>
      <c r="AI116" s="576" t="str">
        <f t="shared" si="51"/>
        <v/>
      </c>
      <c r="AK116" s="576" t="str">
        <f t="shared" si="52"/>
        <v/>
      </c>
      <c r="AM116" s="576" t="str">
        <f t="shared" si="53"/>
        <v/>
      </c>
      <c r="AO116" s="576" t="str">
        <f t="shared" si="54"/>
        <v/>
      </c>
      <c r="AQ116" s="576" t="str">
        <f t="shared" si="55"/>
        <v/>
      </c>
    </row>
    <row r="117" spans="5:43" x14ac:dyDescent="0.2">
      <c r="E117" s="576" t="str">
        <f t="shared" si="61"/>
        <v/>
      </c>
      <c r="G117" s="576" t="str">
        <f t="shared" si="57"/>
        <v/>
      </c>
      <c r="I117" s="576" t="str">
        <f t="shared" si="58"/>
        <v/>
      </c>
      <c r="K117" s="576" t="str">
        <f t="shared" si="59"/>
        <v/>
      </c>
      <c r="M117" s="576" t="str">
        <f t="shared" si="60"/>
        <v/>
      </c>
      <c r="O117" s="576" t="str">
        <f t="shared" si="62"/>
        <v/>
      </c>
      <c r="Q117" s="576" t="str">
        <f t="shared" si="43"/>
        <v/>
      </c>
      <c r="S117" s="576" t="str">
        <f t="shared" si="44"/>
        <v/>
      </c>
      <c r="U117" s="576" t="str">
        <f t="shared" si="45"/>
        <v/>
      </c>
      <c r="W117" s="576" t="str">
        <f t="shared" si="46"/>
        <v/>
      </c>
      <c r="Y117" s="576" t="str">
        <f t="shared" si="47"/>
        <v/>
      </c>
      <c r="AA117" s="576" t="str">
        <f t="shared" si="56"/>
        <v/>
      </c>
      <c r="AC117" s="576" t="str">
        <f t="shared" si="48"/>
        <v/>
      </c>
      <c r="AE117" s="576" t="str">
        <f t="shared" si="49"/>
        <v/>
      </c>
      <c r="AG117" s="576" t="str">
        <f t="shared" si="50"/>
        <v/>
      </c>
      <c r="AI117" s="576" t="str">
        <f t="shared" si="51"/>
        <v/>
      </c>
      <c r="AK117" s="576" t="str">
        <f t="shared" si="52"/>
        <v/>
      </c>
      <c r="AM117" s="576" t="str">
        <f t="shared" si="53"/>
        <v/>
      </c>
      <c r="AO117" s="576" t="str">
        <f t="shared" si="54"/>
        <v/>
      </c>
      <c r="AQ117" s="576" t="str">
        <f t="shared" si="55"/>
        <v/>
      </c>
    </row>
    <row r="118" spans="5:43" x14ac:dyDescent="0.2">
      <c r="E118" s="576" t="str">
        <f t="shared" si="61"/>
        <v/>
      </c>
      <c r="G118" s="576" t="str">
        <f t="shared" si="57"/>
        <v/>
      </c>
      <c r="I118" s="576" t="str">
        <f t="shared" si="58"/>
        <v/>
      </c>
      <c r="K118" s="576" t="str">
        <f t="shared" si="59"/>
        <v/>
      </c>
      <c r="M118" s="576" t="str">
        <f t="shared" si="60"/>
        <v/>
      </c>
      <c r="O118" s="576" t="str">
        <f t="shared" si="62"/>
        <v/>
      </c>
      <c r="Q118" s="576" t="str">
        <f t="shared" si="43"/>
        <v/>
      </c>
      <c r="S118" s="576" t="str">
        <f t="shared" si="44"/>
        <v/>
      </c>
      <c r="U118" s="576" t="str">
        <f t="shared" si="45"/>
        <v/>
      </c>
      <c r="W118" s="576" t="str">
        <f t="shared" si="46"/>
        <v/>
      </c>
      <c r="Y118" s="576" t="str">
        <f t="shared" si="47"/>
        <v/>
      </c>
      <c r="AA118" s="576" t="str">
        <f t="shared" si="56"/>
        <v/>
      </c>
      <c r="AC118" s="576" t="str">
        <f t="shared" si="48"/>
        <v/>
      </c>
      <c r="AE118" s="576" t="str">
        <f t="shared" si="49"/>
        <v/>
      </c>
      <c r="AG118" s="576" t="str">
        <f t="shared" si="50"/>
        <v/>
      </c>
      <c r="AI118" s="576" t="str">
        <f t="shared" si="51"/>
        <v/>
      </c>
      <c r="AK118" s="576" t="str">
        <f t="shared" si="52"/>
        <v/>
      </c>
      <c r="AM118" s="576" t="str">
        <f t="shared" si="53"/>
        <v/>
      </c>
      <c r="AO118" s="576" t="str">
        <f t="shared" si="54"/>
        <v/>
      </c>
      <c r="AQ118" s="576" t="str">
        <f t="shared" si="55"/>
        <v/>
      </c>
    </row>
    <row r="119" spans="5:43" x14ac:dyDescent="0.2">
      <c r="E119" s="576" t="str">
        <f t="shared" si="61"/>
        <v/>
      </c>
      <c r="G119" s="576" t="str">
        <f t="shared" si="57"/>
        <v/>
      </c>
      <c r="I119" s="576" t="str">
        <f t="shared" si="58"/>
        <v/>
      </c>
      <c r="K119" s="576" t="str">
        <f t="shared" si="59"/>
        <v/>
      </c>
      <c r="M119" s="576" t="str">
        <f t="shared" si="60"/>
        <v/>
      </c>
      <c r="O119" s="576" t="str">
        <f t="shared" si="62"/>
        <v/>
      </c>
      <c r="Q119" s="576" t="str">
        <f t="shared" si="43"/>
        <v/>
      </c>
      <c r="S119" s="576" t="str">
        <f t="shared" si="44"/>
        <v/>
      </c>
      <c r="U119" s="576" t="str">
        <f t="shared" si="45"/>
        <v/>
      </c>
      <c r="W119" s="576" t="str">
        <f t="shared" si="46"/>
        <v/>
      </c>
      <c r="Y119" s="576" t="str">
        <f t="shared" si="47"/>
        <v/>
      </c>
      <c r="AA119" s="576" t="str">
        <f t="shared" si="56"/>
        <v/>
      </c>
      <c r="AC119" s="576" t="str">
        <f t="shared" si="48"/>
        <v/>
      </c>
      <c r="AE119" s="576" t="str">
        <f t="shared" si="49"/>
        <v/>
      </c>
      <c r="AG119" s="576" t="str">
        <f t="shared" si="50"/>
        <v/>
      </c>
      <c r="AI119" s="576" t="str">
        <f t="shared" si="51"/>
        <v/>
      </c>
      <c r="AK119" s="576" t="str">
        <f t="shared" si="52"/>
        <v/>
      </c>
      <c r="AM119" s="576" t="str">
        <f t="shared" si="53"/>
        <v/>
      </c>
      <c r="AO119" s="576" t="str">
        <f t="shared" si="54"/>
        <v/>
      </c>
      <c r="AQ119" s="576" t="str">
        <f t="shared" si="55"/>
        <v/>
      </c>
    </row>
    <row r="120" spans="5:43" x14ac:dyDescent="0.2">
      <c r="E120" s="576" t="str">
        <f t="shared" si="61"/>
        <v/>
      </c>
      <c r="G120" s="576" t="str">
        <f t="shared" si="57"/>
        <v/>
      </c>
      <c r="I120" s="576" t="str">
        <f t="shared" si="58"/>
        <v/>
      </c>
      <c r="K120" s="576" t="str">
        <f t="shared" si="59"/>
        <v/>
      </c>
      <c r="M120" s="576" t="str">
        <f t="shared" si="60"/>
        <v/>
      </c>
      <c r="O120" s="576" t="str">
        <f t="shared" si="62"/>
        <v/>
      </c>
      <c r="Q120" s="576" t="str">
        <f t="shared" si="43"/>
        <v/>
      </c>
      <c r="S120" s="576" t="str">
        <f t="shared" si="44"/>
        <v/>
      </c>
      <c r="U120" s="576" t="str">
        <f t="shared" si="45"/>
        <v/>
      </c>
      <c r="W120" s="576" t="str">
        <f t="shared" si="46"/>
        <v/>
      </c>
      <c r="Y120" s="576" t="str">
        <f t="shared" si="47"/>
        <v/>
      </c>
      <c r="AA120" s="576" t="str">
        <f t="shared" si="56"/>
        <v/>
      </c>
      <c r="AC120" s="576" t="str">
        <f t="shared" si="48"/>
        <v/>
      </c>
      <c r="AE120" s="576" t="str">
        <f t="shared" si="49"/>
        <v/>
      </c>
      <c r="AG120" s="576" t="str">
        <f t="shared" si="50"/>
        <v/>
      </c>
      <c r="AI120" s="576" t="str">
        <f t="shared" si="51"/>
        <v/>
      </c>
      <c r="AK120" s="576" t="str">
        <f t="shared" si="52"/>
        <v/>
      </c>
      <c r="AM120" s="576" t="str">
        <f t="shared" si="53"/>
        <v/>
      </c>
      <c r="AO120" s="576" t="str">
        <f t="shared" si="54"/>
        <v/>
      </c>
      <c r="AQ120" s="576" t="str">
        <f t="shared" si="55"/>
        <v/>
      </c>
    </row>
    <row r="121" spans="5:43" x14ac:dyDescent="0.2">
      <c r="E121" s="576" t="str">
        <f t="shared" si="61"/>
        <v/>
      </c>
      <c r="G121" s="576" t="str">
        <f t="shared" si="57"/>
        <v/>
      </c>
      <c r="I121" s="576" t="str">
        <f t="shared" si="58"/>
        <v/>
      </c>
      <c r="K121" s="576" t="str">
        <f t="shared" si="59"/>
        <v/>
      </c>
      <c r="M121" s="576" t="str">
        <f t="shared" si="60"/>
        <v/>
      </c>
      <c r="O121" s="576" t="str">
        <f t="shared" si="62"/>
        <v/>
      </c>
      <c r="Q121" s="576" t="str">
        <f t="shared" si="43"/>
        <v/>
      </c>
      <c r="S121" s="576" t="str">
        <f t="shared" si="44"/>
        <v/>
      </c>
      <c r="U121" s="576" t="str">
        <f t="shared" si="45"/>
        <v/>
      </c>
      <c r="W121" s="576" t="str">
        <f t="shared" si="46"/>
        <v/>
      </c>
      <c r="Y121" s="576" t="str">
        <f t="shared" si="47"/>
        <v/>
      </c>
      <c r="AA121" s="576" t="str">
        <f t="shared" si="56"/>
        <v/>
      </c>
      <c r="AC121" s="576" t="str">
        <f t="shared" si="48"/>
        <v/>
      </c>
      <c r="AE121" s="576" t="str">
        <f t="shared" si="49"/>
        <v/>
      </c>
      <c r="AG121" s="576" t="str">
        <f t="shared" si="50"/>
        <v/>
      </c>
      <c r="AI121" s="576" t="str">
        <f t="shared" si="51"/>
        <v/>
      </c>
      <c r="AK121" s="576" t="str">
        <f t="shared" si="52"/>
        <v/>
      </c>
      <c r="AM121" s="576" t="str">
        <f t="shared" si="53"/>
        <v/>
      </c>
      <c r="AO121" s="576" t="str">
        <f t="shared" si="54"/>
        <v/>
      </c>
      <c r="AQ121" s="576" t="str">
        <f t="shared" si="55"/>
        <v/>
      </c>
    </row>
    <row r="122" spans="5:43" x14ac:dyDescent="0.2">
      <c r="E122" s="576" t="str">
        <f t="shared" si="61"/>
        <v/>
      </c>
      <c r="G122" s="576" t="str">
        <f t="shared" si="57"/>
        <v/>
      </c>
      <c r="I122" s="576" t="str">
        <f t="shared" si="58"/>
        <v/>
      </c>
      <c r="K122" s="576" t="str">
        <f t="shared" si="59"/>
        <v/>
      </c>
      <c r="M122" s="576" t="str">
        <f t="shared" si="60"/>
        <v/>
      </c>
      <c r="O122" s="576" t="str">
        <f t="shared" si="62"/>
        <v/>
      </c>
      <c r="Q122" s="576" t="str">
        <f t="shared" si="43"/>
        <v/>
      </c>
      <c r="S122" s="576" t="str">
        <f t="shared" si="44"/>
        <v/>
      </c>
      <c r="U122" s="576" t="str">
        <f t="shared" si="45"/>
        <v/>
      </c>
      <c r="W122" s="576" t="str">
        <f t="shared" si="46"/>
        <v/>
      </c>
      <c r="Y122" s="576" t="str">
        <f t="shared" si="47"/>
        <v/>
      </c>
      <c r="AA122" s="576" t="str">
        <f t="shared" si="56"/>
        <v/>
      </c>
      <c r="AC122" s="576" t="str">
        <f t="shared" si="48"/>
        <v/>
      </c>
      <c r="AE122" s="576" t="str">
        <f t="shared" si="49"/>
        <v/>
      </c>
      <c r="AG122" s="576" t="str">
        <f t="shared" si="50"/>
        <v/>
      </c>
      <c r="AI122" s="576" t="str">
        <f t="shared" si="51"/>
        <v/>
      </c>
      <c r="AK122" s="576" t="str">
        <f t="shared" si="52"/>
        <v/>
      </c>
      <c r="AM122" s="576" t="str">
        <f t="shared" si="53"/>
        <v/>
      </c>
      <c r="AO122" s="576" t="str">
        <f t="shared" si="54"/>
        <v/>
      </c>
      <c r="AQ122" s="576" t="str">
        <f t="shared" si="55"/>
        <v/>
      </c>
    </row>
    <row r="123" spans="5:43" x14ac:dyDescent="0.2">
      <c r="E123" s="576" t="str">
        <f t="shared" si="61"/>
        <v/>
      </c>
      <c r="G123" s="576" t="str">
        <f t="shared" si="57"/>
        <v/>
      </c>
      <c r="I123" s="576" t="str">
        <f t="shared" si="58"/>
        <v/>
      </c>
      <c r="K123" s="576" t="str">
        <f t="shared" si="59"/>
        <v/>
      </c>
      <c r="M123" s="576" t="str">
        <f t="shared" si="60"/>
        <v/>
      </c>
      <c r="O123" s="576" t="str">
        <f t="shared" si="62"/>
        <v/>
      </c>
      <c r="Q123" s="576" t="str">
        <f t="shared" si="43"/>
        <v/>
      </c>
      <c r="S123" s="576" t="str">
        <f t="shared" si="44"/>
        <v/>
      </c>
      <c r="U123" s="576" t="str">
        <f t="shared" si="45"/>
        <v/>
      </c>
      <c r="W123" s="576" t="str">
        <f t="shared" si="46"/>
        <v/>
      </c>
      <c r="Y123" s="576" t="str">
        <f t="shared" si="47"/>
        <v/>
      </c>
      <c r="AA123" s="576" t="str">
        <f t="shared" si="56"/>
        <v/>
      </c>
      <c r="AC123" s="576" t="str">
        <f t="shared" si="48"/>
        <v/>
      </c>
      <c r="AE123" s="576" t="str">
        <f t="shared" si="49"/>
        <v/>
      </c>
      <c r="AG123" s="576" t="str">
        <f t="shared" si="50"/>
        <v/>
      </c>
      <c r="AI123" s="576" t="str">
        <f t="shared" si="51"/>
        <v/>
      </c>
      <c r="AK123" s="576" t="str">
        <f t="shared" si="52"/>
        <v/>
      </c>
      <c r="AM123" s="576" t="str">
        <f t="shared" si="53"/>
        <v/>
      </c>
      <c r="AO123" s="576" t="str">
        <f t="shared" si="54"/>
        <v/>
      </c>
      <c r="AQ123" s="576" t="str">
        <f t="shared" si="55"/>
        <v/>
      </c>
    </row>
    <row r="124" spans="5:43" x14ac:dyDescent="0.2">
      <c r="E124" s="576" t="str">
        <f t="shared" si="61"/>
        <v/>
      </c>
      <c r="G124" s="576" t="str">
        <f t="shared" si="57"/>
        <v/>
      </c>
      <c r="I124" s="576" t="str">
        <f t="shared" si="58"/>
        <v/>
      </c>
      <c r="K124" s="576" t="str">
        <f t="shared" si="59"/>
        <v/>
      </c>
      <c r="M124" s="576" t="str">
        <f t="shared" si="60"/>
        <v/>
      </c>
      <c r="O124" s="576" t="str">
        <f t="shared" si="62"/>
        <v/>
      </c>
      <c r="Q124" s="576" t="str">
        <f t="shared" si="43"/>
        <v/>
      </c>
      <c r="S124" s="576" t="str">
        <f t="shared" si="44"/>
        <v/>
      </c>
      <c r="U124" s="576" t="str">
        <f t="shared" si="45"/>
        <v/>
      </c>
      <c r="W124" s="576" t="str">
        <f t="shared" si="46"/>
        <v/>
      </c>
      <c r="Y124" s="576" t="str">
        <f t="shared" si="47"/>
        <v/>
      </c>
      <c r="AA124" s="576" t="str">
        <f t="shared" si="56"/>
        <v/>
      </c>
      <c r="AC124" s="576" t="str">
        <f t="shared" si="48"/>
        <v/>
      </c>
      <c r="AE124" s="576" t="str">
        <f t="shared" si="49"/>
        <v/>
      </c>
      <c r="AG124" s="576" t="str">
        <f t="shared" si="50"/>
        <v/>
      </c>
      <c r="AI124" s="576" t="str">
        <f t="shared" si="51"/>
        <v/>
      </c>
      <c r="AK124" s="576" t="str">
        <f t="shared" si="52"/>
        <v/>
      </c>
      <c r="AM124" s="576" t="str">
        <f t="shared" si="53"/>
        <v/>
      </c>
      <c r="AO124" s="576" t="str">
        <f t="shared" si="54"/>
        <v/>
      </c>
      <c r="AQ124" s="576" t="str">
        <f t="shared" si="55"/>
        <v/>
      </c>
    </row>
    <row r="125" spans="5:43" x14ac:dyDescent="0.2">
      <c r="E125" s="576" t="str">
        <f t="shared" si="61"/>
        <v/>
      </c>
      <c r="G125" s="576" t="str">
        <f t="shared" si="57"/>
        <v/>
      </c>
      <c r="I125" s="576" t="str">
        <f t="shared" si="58"/>
        <v/>
      </c>
      <c r="K125" s="576" t="str">
        <f t="shared" si="59"/>
        <v/>
      </c>
      <c r="M125" s="576" t="str">
        <f t="shared" si="60"/>
        <v/>
      </c>
      <c r="O125" s="576" t="str">
        <f t="shared" si="62"/>
        <v/>
      </c>
      <c r="Q125" s="576" t="str">
        <f t="shared" si="43"/>
        <v/>
      </c>
      <c r="S125" s="576" t="str">
        <f t="shared" si="44"/>
        <v/>
      </c>
      <c r="U125" s="576" t="str">
        <f t="shared" si="45"/>
        <v/>
      </c>
      <c r="W125" s="576" t="str">
        <f t="shared" si="46"/>
        <v/>
      </c>
      <c r="Y125" s="576" t="str">
        <f t="shared" si="47"/>
        <v/>
      </c>
      <c r="AA125" s="576" t="str">
        <f t="shared" si="56"/>
        <v/>
      </c>
      <c r="AC125" s="576" t="str">
        <f t="shared" si="48"/>
        <v/>
      </c>
      <c r="AE125" s="576" t="str">
        <f t="shared" si="49"/>
        <v/>
      </c>
      <c r="AG125" s="576" t="str">
        <f t="shared" si="50"/>
        <v/>
      </c>
      <c r="AI125" s="576" t="str">
        <f t="shared" si="51"/>
        <v/>
      </c>
      <c r="AK125" s="576" t="str">
        <f t="shared" si="52"/>
        <v/>
      </c>
      <c r="AM125" s="576" t="str">
        <f t="shared" si="53"/>
        <v/>
      </c>
      <c r="AO125" s="576" t="str">
        <f t="shared" si="54"/>
        <v/>
      </c>
      <c r="AQ125" s="576" t="str">
        <f t="shared" si="55"/>
        <v/>
      </c>
    </row>
    <row r="126" spans="5:43" x14ac:dyDescent="0.2">
      <c r="E126" s="576" t="str">
        <f t="shared" si="61"/>
        <v/>
      </c>
      <c r="G126" s="576" t="str">
        <f t="shared" si="57"/>
        <v/>
      </c>
      <c r="I126" s="576" t="str">
        <f t="shared" si="58"/>
        <v/>
      </c>
      <c r="K126" s="576" t="str">
        <f t="shared" si="59"/>
        <v/>
      </c>
      <c r="M126" s="576" t="str">
        <f t="shared" si="60"/>
        <v/>
      </c>
      <c r="O126" s="576" t="str">
        <f t="shared" si="62"/>
        <v/>
      </c>
      <c r="Q126" s="576" t="str">
        <f t="shared" si="43"/>
        <v/>
      </c>
      <c r="S126" s="576" t="str">
        <f t="shared" si="44"/>
        <v/>
      </c>
      <c r="U126" s="576" t="str">
        <f t="shared" si="45"/>
        <v/>
      </c>
      <c r="W126" s="576" t="str">
        <f t="shared" si="46"/>
        <v/>
      </c>
      <c r="Y126" s="576" t="str">
        <f t="shared" si="47"/>
        <v/>
      </c>
      <c r="AA126" s="576" t="str">
        <f t="shared" si="56"/>
        <v/>
      </c>
      <c r="AC126" s="576" t="str">
        <f t="shared" si="48"/>
        <v/>
      </c>
      <c r="AE126" s="576" t="str">
        <f t="shared" si="49"/>
        <v/>
      </c>
      <c r="AG126" s="576" t="str">
        <f t="shared" si="50"/>
        <v/>
      </c>
      <c r="AI126" s="576" t="str">
        <f t="shared" si="51"/>
        <v/>
      </c>
      <c r="AK126" s="576" t="str">
        <f t="shared" si="52"/>
        <v/>
      </c>
      <c r="AM126" s="576" t="str">
        <f t="shared" si="53"/>
        <v/>
      </c>
      <c r="AO126" s="576" t="str">
        <f t="shared" si="54"/>
        <v/>
      </c>
      <c r="AQ126" s="576" t="str">
        <f t="shared" si="55"/>
        <v/>
      </c>
    </row>
    <row r="127" spans="5:43" x14ac:dyDescent="0.2">
      <c r="E127" s="576" t="str">
        <f t="shared" si="61"/>
        <v/>
      </c>
      <c r="G127" s="576" t="str">
        <f t="shared" si="57"/>
        <v/>
      </c>
      <c r="I127" s="576" t="str">
        <f t="shared" si="58"/>
        <v/>
      </c>
      <c r="K127" s="576" t="str">
        <f t="shared" si="59"/>
        <v/>
      </c>
      <c r="M127" s="576" t="str">
        <f t="shared" si="60"/>
        <v/>
      </c>
      <c r="O127" s="576" t="str">
        <f t="shared" si="62"/>
        <v/>
      </c>
      <c r="Q127" s="576" t="str">
        <f t="shared" si="43"/>
        <v/>
      </c>
      <c r="S127" s="576" t="str">
        <f t="shared" si="44"/>
        <v/>
      </c>
      <c r="U127" s="576" t="str">
        <f t="shared" si="45"/>
        <v/>
      </c>
      <c r="W127" s="576" t="str">
        <f t="shared" si="46"/>
        <v/>
      </c>
      <c r="Y127" s="576" t="str">
        <f t="shared" si="47"/>
        <v/>
      </c>
      <c r="AA127" s="576" t="str">
        <f t="shared" si="56"/>
        <v/>
      </c>
      <c r="AC127" s="576" t="str">
        <f t="shared" si="48"/>
        <v/>
      </c>
      <c r="AE127" s="576" t="str">
        <f t="shared" si="49"/>
        <v/>
      </c>
      <c r="AG127" s="576" t="str">
        <f t="shared" si="50"/>
        <v/>
      </c>
      <c r="AI127" s="576" t="str">
        <f t="shared" si="51"/>
        <v/>
      </c>
      <c r="AK127" s="576" t="str">
        <f t="shared" si="52"/>
        <v/>
      </c>
      <c r="AM127" s="576" t="str">
        <f t="shared" si="53"/>
        <v/>
      </c>
      <c r="AO127" s="576" t="str">
        <f t="shared" si="54"/>
        <v/>
      </c>
      <c r="AQ127" s="576" t="str">
        <f t="shared" si="55"/>
        <v/>
      </c>
    </row>
    <row r="128" spans="5:43" x14ac:dyDescent="0.2">
      <c r="E128" s="576" t="str">
        <f t="shared" si="61"/>
        <v/>
      </c>
      <c r="G128" s="576" t="str">
        <f t="shared" si="57"/>
        <v/>
      </c>
      <c r="I128" s="576" t="str">
        <f t="shared" si="58"/>
        <v/>
      </c>
      <c r="K128" s="576" t="str">
        <f t="shared" si="59"/>
        <v/>
      </c>
      <c r="M128" s="576" t="str">
        <f t="shared" si="60"/>
        <v/>
      </c>
      <c r="O128" s="576" t="str">
        <f t="shared" si="62"/>
        <v/>
      </c>
      <c r="Q128" s="576" t="str">
        <f t="shared" si="43"/>
        <v/>
      </c>
      <c r="S128" s="576" t="str">
        <f t="shared" si="44"/>
        <v/>
      </c>
      <c r="U128" s="576" t="str">
        <f t="shared" si="45"/>
        <v/>
      </c>
      <c r="W128" s="576" t="str">
        <f t="shared" si="46"/>
        <v/>
      </c>
      <c r="Y128" s="576" t="str">
        <f t="shared" si="47"/>
        <v/>
      </c>
      <c r="AA128" s="576" t="str">
        <f t="shared" si="56"/>
        <v/>
      </c>
      <c r="AC128" s="576" t="str">
        <f t="shared" si="48"/>
        <v/>
      </c>
      <c r="AE128" s="576" t="str">
        <f t="shared" si="49"/>
        <v/>
      </c>
      <c r="AG128" s="576" t="str">
        <f t="shared" si="50"/>
        <v/>
      </c>
      <c r="AI128" s="576" t="str">
        <f t="shared" si="51"/>
        <v/>
      </c>
      <c r="AK128" s="576" t="str">
        <f t="shared" si="52"/>
        <v/>
      </c>
      <c r="AM128" s="576" t="str">
        <f t="shared" si="53"/>
        <v/>
      </c>
      <c r="AO128" s="576" t="str">
        <f t="shared" si="54"/>
        <v/>
      </c>
      <c r="AQ128" s="576" t="str">
        <f t="shared" si="55"/>
        <v/>
      </c>
    </row>
    <row r="129" spans="5:43" x14ac:dyDescent="0.2">
      <c r="E129" s="576" t="str">
        <f t="shared" si="61"/>
        <v/>
      </c>
      <c r="G129" s="576" t="str">
        <f t="shared" si="57"/>
        <v/>
      </c>
      <c r="I129" s="576" t="str">
        <f t="shared" si="58"/>
        <v/>
      </c>
      <c r="K129" s="576" t="str">
        <f t="shared" si="59"/>
        <v/>
      </c>
      <c r="M129" s="576" t="str">
        <f t="shared" si="60"/>
        <v/>
      </c>
      <c r="O129" s="576" t="str">
        <f t="shared" si="62"/>
        <v/>
      </c>
      <c r="Q129" s="576" t="str">
        <f t="shared" si="43"/>
        <v/>
      </c>
      <c r="S129" s="576" t="str">
        <f t="shared" si="44"/>
        <v/>
      </c>
      <c r="U129" s="576" t="str">
        <f t="shared" si="45"/>
        <v/>
      </c>
      <c r="W129" s="576" t="str">
        <f t="shared" si="46"/>
        <v/>
      </c>
      <c r="Y129" s="576" t="str">
        <f t="shared" si="47"/>
        <v/>
      </c>
      <c r="AA129" s="576" t="str">
        <f t="shared" si="56"/>
        <v/>
      </c>
      <c r="AC129" s="576" t="str">
        <f t="shared" si="48"/>
        <v/>
      </c>
      <c r="AE129" s="576" t="str">
        <f t="shared" si="49"/>
        <v/>
      </c>
      <c r="AG129" s="576" t="str">
        <f t="shared" si="50"/>
        <v/>
      </c>
      <c r="AI129" s="576" t="str">
        <f t="shared" si="51"/>
        <v/>
      </c>
      <c r="AK129" s="576" t="str">
        <f t="shared" si="52"/>
        <v/>
      </c>
      <c r="AM129" s="576" t="str">
        <f t="shared" si="53"/>
        <v/>
      </c>
      <c r="AO129" s="576" t="str">
        <f t="shared" si="54"/>
        <v/>
      </c>
      <c r="AQ129" s="576" t="str">
        <f t="shared" si="55"/>
        <v/>
      </c>
    </row>
    <row r="130" spans="5:43" x14ac:dyDescent="0.2">
      <c r="E130" s="576" t="str">
        <f t="shared" si="61"/>
        <v/>
      </c>
      <c r="G130" s="576" t="str">
        <f t="shared" si="57"/>
        <v/>
      </c>
      <c r="I130" s="576" t="str">
        <f t="shared" si="58"/>
        <v/>
      </c>
      <c r="K130" s="576" t="str">
        <f t="shared" si="59"/>
        <v/>
      </c>
      <c r="M130" s="576" t="str">
        <f t="shared" si="60"/>
        <v/>
      </c>
      <c r="O130" s="576" t="str">
        <f t="shared" si="62"/>
        <v/>
      </c>
      <c r="Q130" s="576" t="str">
        <f t="shared" si="43"/>
        <v/>
      </c>
      <c r="S130" s="576" t="str">
        <f t="shared" si="44"/>
        <v/>
      </c>
      <c r="U130" s="576" t="str">
        <f t="shared" si="45"/>
        <v/>
      </c>
      <c r="W130" s="576" t="str">
        <f t="shared" si="46"/>
        <v/>
      </c>
      <c r="Y130" s="576" t="str">
        <f t="shared" si="47"/>
        <v/>
      </c>
      <c r="AA130" s="576" t="str">
        <f t="shared" si="56"/>
        <v/>
      </c>
      <c r="AC130" s="576" t="str">
        <f t="shared" si="48"/>
        <v/>
      </c>
      <c r="AE130" s="576" t="str">
        <f t="shared" si="49"/>
        <v/>
      </c>
      <c r="AG130" s="576" t="str">
        <f t="shared" si="50"/>
        <v/>
      </c>
      <c r="AI130" s="576" t="str">
        <f t="shared" si="51"/>
        <v/>
      </c>
      <c r="AK130" s="576" t="str">
        <f t="shared" si="52"/>
        <v/>
      </c>
      <c r="AM130" s="576" t="str">
        <f t="shared" si="53"/>
        <v/>
      </c>
      <c r="AO130" s="576" t="str">
        <f t="shared" si="54"/>
        <v/>
      </c>
      <c r="AQ130" s="576" t="str">
        <f t="shared" si="55"/>
        <v/>
      </c>
    </row>
    <row r="131" spans="5:43" x14ac:dyDescent="0.2">
      <c r="E131" s="576" t="str">
        <f t="shared" si="61"/>
        <v/>
      </c>
      <c r="G131" s="576" t="str">
        <f t="shared" si="57"/>
        <v/>
      </c>
      <c r="I131" s="576" t="str">
        <f t="shared" si="58"/>
        <v/>
      </c>
      <c r="K131" s="576" t="str">
        <f t="shared" si="59"/>
        <v/>
      </c>
      <c r="M131" s="576" t="str">
        <f t="shared" si="60"/>
        <v/>
      </c>
      <c r="O131" s="576" t="str">
        <f t="shared" si="62"/>
        <v/>
      </c>
      <c r="Q131" s="576" t="str">
        <f t="shared" si="43"/>
        <v/>
      </c>
      <c r="S131" s="576" t="str">
        <f t="shared" si="44"/>
        <v/>
      </c>
      <c r="U131" s="576" t="str">
        <f t="shared" si="45"/>
        <v/>
      </c>
      <c r="W131" s="576" t="str">
        <f t="shared" si="46"/>
        <v/>
      </c>
      <c r="Y131" s="576" t="str">
        <f t="shared" si="47"/>
        <v/>
      </c>
      <c r="AA131" s="576" t="str">
        <f t="shared" si="56"/>
        <v/>
      </c>
      <c r="AC131" s="576" t="str">
        <f t="shared" si="48"/>
        <v/>
      </c>
      <c r="AE131" s="576" t="str">
        <f t="shared" si="49"/>
        <v/>
      </c>
      <c r="AG131" s="576" t="str">
        <f t="shared" si="50"/>
        <v/>
      </c>
      <c r="AI131" s="576" t="str">
        <f t="shared" si="51"/>
        <v/>
      </c>
      <c r="AK131" s="576" t="str">
        <f t="shared" si="52"/>
        <v/>
      </c>
      <c r="AM131" s="576" t="str">
        <f t="shared" si="53"/>
        <v/>
      </c>
      <c r="AO131" s="576" t="str">
        <f t="shared" si="54"/>
        <v/>
      </c>
      <c r="AQ131" s="576" t="str">
        <f t="shared" si="55"/>
        <v/>
      </c>
    </row>
    <row r="132" spans="5:43" x14ac:dyDescent="0.2">
      <c r="E132" s="576" t="str">
        <f t="shared" si="61"/>
        <v/>
      </c>
      <c r="G132" s="576" t="str">
        <f t="shared" si="57"/>
        <v/>
      </c>
      <c r="I132" s="576" t="str">
        <f t="shared" si="58"/>
        <v/>
      </c>
      <c r="K132" s="576" t="str">
        <f t="shared" si="59"/>
        <v/>
      </c>
      <c r="M132" s="576" t="str">
        <f t="shared" si="60"/>
        <v/>
      </c>
      <c r="O132" s="576" t="str">
        <f t="shared" si="62"/>
        <v/>
      </c>
      <c r="Q132" s="576" t="str">
        <f t="shared" si="43"/>
        <v/>
      </c>
      <c r="S132" s="576" t="str">
        <f t="shared" si="44"/>
        <v/>
      </c>
      <c r="U132" s="576" t="str">
        <f t="shared" si="45"/>
        <v/>
      </c>
      <c r="W132" s="576" t="str">
        <f t="shared" si="46"/>
        <v/>
      </c>
      <c r="Y132" s="576" t="str">
        <f t="shared" si="47"/>
        <v/>
      </c>
      <c r="AA132" s="576" t="str">
        <f t="shared" si="56"/>
        <v/>
      </c>
      <c r="AC132" s="576" t="str">
        <f t="shared" si="48"/>
        <v/>
      </c>
      <c r="AE132" s="576" t="str">
        <f t="shared" si="49"/>
        <v/>
      </c>
      <c r="AG132" s="576" t="str">
        <f t="shared" si="50"/>
        <v/>
      </c>
      <c r="AI132" s="576" t="str">
        <f t="shared" si="51"/>
        <v/>
      </c>
      <c r="AK132" s="576" t="str">
        <f t="shared" si="52"/>
        <v/>
      </c>
      <c r="AM132" s="576" t="str">
        <f t="shared" si="53"/>
        <v/>
      </c>
      <c r="AO132" s="576" t="str">
        <f t="shared" si="54"/>
        <v/>
      </c>
      <c r="AQ132" s="576" t="str">
        <f t="shared" si="55"/>
        <v/>
      </c>
    </row>
    <row r="133" spans="5:43" x14ac:dyDescent="0.2">
      <c r="E133" s="576" t="str">
        <f t="shared" si="61"/>
        <v/>
      </c>
      <c r="G133" s="576" t="str">
        <f t="shared" si="57"/>
        <v/>
      </c>
      <c r="I133" s="576" t="str">
        <f t="shared" si="58"/>
        <v/>
      </c>
      <c r="K133" s="576" t="str">
        <f t="shared" si="59"/>
        <v/>
      </c>
      <c r="M133" s="576" t="str">
        <f t="shared" si="60"/>
        <v/>
      </c>
      <c r="O133" s="576" t="str">
        <f t="shared" si="62"/>
        <v/>
      </c>
      <c r="Q133" s="576" t="str">
        <f t="shared" si="43"/>
        <v/>
      </c>
      <c r="S133" s="576" t="str">
        <f t="shared" si="44"/>
        <v/>
      </c>
      <c r="U133" s="576" t="str">
        <f t="shared" si="45"/>
        <v/>
      </c>
      <c r="W133" s="576" t="str">
        <f t="shared" si="46"/>
        <v/>
      </c>
      <c r="Y133" s="576" t="str">
        <f t="shared" si="47"/>
        <v/>
      </c>
      <c r="AA133" s="576" t="str">
        <f t="shared" si="56"/>
        <v/>
      </c>
      <c r="AC133" s="576" t="str">
        <f t="shared" si="48"/>
        <v/>
      </c>
      <c r="AE133" s="576" t="str">
        <f t="shared" si="49"/>
        <v/>
      </c>
      <c r="AG133" s="576" t="str">
        <f t="shared" si="50"/>
        <v/>
      </c>
      <c r="AI133" s="576" t="str">
        <f t="shared" si="51"/>
        <v/>
      </c>
      <c r="AK133" s="576" t="str">
        <f t="shared" si="52"/>
        <v/>
      </c>
      <c r="AM133" s="576" t="str">
        <f t="shared" si="53"/>
        <v/>
      </c>
      <c r="AO133" s="576" t="str">
        <f t="shared" si="54"/>
        <v/>
      </c>
      <c r="AQ133" s="576" t="str">
        <f t="shared" si="55"/>
        <v/>
      </c>
    </row>
    <row r="134" spans="5:43" x14ac:dyDescent="0.2">
      <c r="E134" s="576" t="str">
        <f t="shared" si="61"/>
        <v/>
      </c>
      <c r="G134" s="576" t="str">
        <f t="shared" si="57"/>
        <v/>
      </c>
      <c r="I134" s="576" t="str">
        <f t="shared" si="58"/>
        <v/>
      </c>
      <c r="K134" s="576" t="str">
        <f t="shared" si="59"/>
        <v/>
      </c>
      <c r="M134" s="576" t="str">
        <f t="shared" si="60"/>
        <v/>
      </c>
      <c r="O134" s="576" t="str">
        <f t="shared" si="62"/>
        <v/>
      </c>
      <c r="Q134" s="576" t="str">
        <f t="shared" si="43"/>
        <v/>
      </c>
      <c r="S134" s="576" t="str">
        <f t="shared" si="44"/>
        <v/>
      </c>
      <c r="U134" s="576" t="str">
        <f t="shared" si="45"/>
        <v/>
      </c>
      <c r="W134" s="576" t="str">
        <f t="shared" si="46"/>
        <v/>
      </c>
      <c r="Y134" s="576" t="str">
        <f t="shared" si="47"/>
        <v/>
      </c>
      <c r="AA134" s="576" t="str">
        <f t="shared" si="56"/>
        <v/>
      </c>
      <c r="AC134" s="576" t="str">
        <f t="shared" si="48"/>
        <v/>
      </c>
      <c r="AE134" s="576" t="str">
        <f t="shared" si="49"/>
        <v/>
      </c>
      <c r="AG134" s="576" t="str">
        <f t="shared" si="50"/>
        <v/>
      </c>
      <c r="AI134" s="576" t="str">
        <f t="shared" si="51"/>
        <v/>
      </c>
      <c r="AK134" s="576" t="str">
        <f t="shared" si="52"/>
        <v/>
      </c>
      <c r="AM134" s="576" t="str">
        <f t="shared" si="53"/>
        <v/>
      </c>
      <c r="AO134" s="576" t="str">
        <f t="shared" si="54"/>
        <v/>
      </c>
      <c r="AQ134" s="576" t="str">
        <f t="shared" si="55"/>
        <v/>
      </c>
    </row>
    <row r="135" spans="5:43" x14ac:dyDescent="0.2">
      <c r="E135" s="576" t="str">
        <f t="shared" si="61"/>
        <v/>
      </c>
      <c r="G135" s="576" t="str">
        <f t="shared" si="57"/>
        <v/>
      </c>
      <c r="I135" s="576" t="str">
        <f t="shared" si="58"/>
        <v/>
      </c>
      <c r="K135" s="576" t="str">
        <f t="shared" si="59"/>
        <v/>
      </c>
      <c r="M135" s="576" t="str">
        <f t="shared" si="60"/>
        <v/>
      </c>
      <c r="O135" s="576" t="str">
        <f t="shared" si="62"/>
        <v/>
      </c>
      <c r="Q135" s="576" t="str">
        <f t="shared" si="43"/>
        <v/>
      </c>
      <c r="S135" s="576" t="str">
        <f t="shared" si="44"/>
        <v/>
      </c>
      <c r="U135" s="576" t="str">
        <f t="shared" si="45"/>
        <v/>
      </c>
      <c r="W135" s="576" t="str">
        <f t="shared" si="46"/>
        <v/>
      </c>
      <c r="Y135" s="576" t="str">
        <f t="shared" si="47"/>
        <v/>
      </c>
      <c r="AA135" s="576" t="str">
        <f t="shared" si="56"/>
        <v/>
      </c>
      <c r="AC135" s="576" t="str">
        <f t="shared" si="48"/>
        <v/>
      </c>
      <c r="AE135" s="576" t="str">
        <f t="shared" si="49"/>
        <v/>
      </c>
      <c r="AG135" s="576" t="str">
        <f t="shared" si="50"/>
        <v/>
      </c>
      <c r="AI135" s="576" t="str">
        <f t="shared" si="51"/>
        <v/>
      </c>
      <c r="AK135" s="576" t="str">
        <f t="shared" si="52"/>
        <v/>
      </c>
      <c r="AM135" s="576" t="str">
        <f t="shared" si="53"/>
        <v/>
      </c>
      <c r="AO135" s="576" t="str">
        <f t="shared" si="54"/>
        <v/>
      </c>
      <c r="AQ135" s="576" t="str">
        <f t="shared" si="55"/>
        <v/>
      </c>
    </row>
    <row r="136" spans="5:43" x14ac:dyDescent="0.2">
      <c r="E136" s="576" t="str">
        <f t="shared" si="61"/>
        <v/>
      </c>
      <c r="G136" s="576" t="str">
        <f t="shared" si="57"/>
        <v/>
      </c>
      <c r="I136" s="576" t="str">
        <f t="shared" si="58"/>
        <v/>
      </c>
      <c r="K136" s="576" t="str">
        <f t="shared" si="59"/>
        <v/>
      </c>
      <c r="M136" s="576" t="str">
        <f t="shared" si="60"/>
        <v/>
      </c>
      <c r="O136" s="576" t="str">
        <f t="shared" si="62"/>
        <v/>
      </c>
      <c r="Q136" s="576" t="str">
        <f t="shared" si="43"/>
        <v/>
      </c>
      <c r="S136" s="576" t="str">
        <f t="shared" si="44"/>
        <v/>
      </c>
      <c r="U136" s="576" t="str">
        <f t="shared" si="45"/>
        <v/>
      </c>
      <c r="W136" s="576" t="str">
        <f t="shared" si="46"/>
        <v/>
      </c>
      <c r="Y136" s="576" t="str">
        <f t="shared" si="47"/>
        <v/>
      </c>
      <c r="AA136" s="576" t="str">
        <f t="shared" si="56"/>
        <v/>
      </c>
      <c r="AC136" s="576" t="str">
        <f t="shared" si="48"/>
        <v/>
      </c>
      <c r="AE136" s="576" t="str">
        <f t="shared" si="49"/>
        <v/>
      </c>
      <c r="AG136" s="576" t="str">
        <f t="shared" si="50"/>
        <v/>
      </c>
      <c r="AI136" s="576" t="str">
        <f t="shared" si="51"/>
        <v/>
      </c>
      <c r="AK136" s="576" t="str">
        <f t="shared" si="52"/>
        <v/>
      </c>
      <c r="AM136" s="576" t="str">
        <f t="shared" si="53"/>
        <v/>
      </c>
      <c r="AO136" s="576" t="str">
        <f t="shared" si="54"/>
        <v/>
      </c>
      <c r="AQ136" s="576" t="str">
        <f t="shared" si="55"/>
        <v/>
      </c>
    </row>
    <row r="137" spans="5:43" x14ac:dyDescent="0.2">
      <c r="E137" s="576" t="str">
        <f t="shared" si="61"/>
        <v/>
      </c>
      <c r="G137" s="576" t="str">
        <f t="shared" si="57"/>
        <v/>
      </c>
      <c r="I137" s="576" t="str">
        <f t="shared" si="58"/>
        <v/>
      </c>
      <c r="K137" s="576" t="str">
        <f t="shared" si="59"/>
        <v/>
      </c>
      <c r="M137" s="576" t="str">
        <f t="shared" si="60"/>
        <v/>
      </c>
      <c r="O137" s="576" t="str">
        <f t="shared" si="62"/>
        <v/>
      </c>
      <c r="Q137" s="576" t="str">
        <f t="shared" si="43"/>
        <v/>
      </c>
      <c r="S137" s="576" t="str">
        <f t="shared" si="44"/>
        <v/>
      </c>
      <c r="U137" s="576" t="str">
        <f t="shared" si="45"/>
        <v/>
      </c>
      <c r="W137" s="576" t="str">
        <f t="shared" si="46"/>
        <v/>
      </c>
      <c r="Y137" s="576" t="str">
        <f t="shared" si="47"/>
        <v/>
      </c>
      <c r="AA137" s="576" t="str">
        <f t="shared" si="56"/>
        <v/>
      </c>
      <c r="AC137" s="576" t="str">
        <f t="shared" si="48"/>
        <v/>
      </c>
      <c r="AE137" s="576" t="str">
        <f t="shared" si="49"/>
        <v/>
      </c>
      <c r="AG137" s="576" t="str">
        <f t="shared" si="50"/>
        <v/>
      </c>
      <c r="AI137" s="576" t="str">
        <f t="shared" si="51"/>
        <v/>
      </c>
      <c r="AK137" s="576" t="str">
        <f t="shared" si="52"/>
        <v/>
      </c>
      <c r="AM137" s="576" t="str">
        <f t="shared" si="53"/>
        <v/>
      </c>
      <c r="AO137" s="576" t="str">
        <f t="shared" si="54"/>
        <v/>
      </c>
      <c r="AQ137" s="576" t="str">
        <f t="shared" si="55"/>
        <v/>
      </c>
    </row>
    <row r="138" spans="5:43" x14ac:dyDescent="0.2">
      <c r="E138" s="576" t="str">
        <f t="shared" si="61"/>
        <v/>
      </c>
      <c r="G138" s="576" t="str">
        <f t="shared" si="57"/>
        <v/>
      </c>
      <c r="I138" s="576" t="str">
        <f t="shared" si="58"/>
        <v/>
      </c>
      <c r="K138" s="576" t="str">
        <f t="shared" si="59"/>
        <v/>
      </c>
      <c r="M138" s="576" t="str">
        <f t="shared" si="60"/>
        <v/>
      </c>
      <c r="O138" s="576" t="str">
        <f t="shared" si="62"/>
        <v/>
      </c>
      <c r="Q138" s="576" t="str">
        <f t="shared" si="43"/>
        <v/>
      </c>
      <c r="S138" s="576" t="str">
        <f t="shared" si="44"/>
        <v/>
      </c>
      <c r="U138" s="576" t="str">
        <f t="shared" si="45"/>
        <v/>
      </c>
      <c r="W138" s="576" t="str">
        <f t="shared" si="46"/>
        <v/>
      </c>
      <c r="Y138" s="576" t="str">
        <f t="shared" si="47"/>
        <v/>
      </c>
      <c r="AA138" s="576" t="str">
        <f t="shared" si="56"/>
        <v/>
      </c>
      <c r="AC138" s="576" t="str">
        <f t="shared" si="48"/>
        <v/>
      </c>
      <c r="AE138" s="576" t="str">
        <f t="shared" si="49"/>
        <v/>
      </c>
      <c r="AG138" s="576" t="str">
        <f t="shared" si="50"/>
        <v/>
      </c>
      <c r="AI138" s="576" t="str">
        <f t="shared" si="51"/>
        <v/>
      </c>
      <c r="AK138" s="576" t="str">
        <f t="shared" si="52"/>
        <v/>
      </c>
      <c r="AM138" s="576" t="str">
        <f t="shared" si="53"/>
        <v/>
      </c>
      <c r="AO138" s="576" t="str">
        <f t="shared" si="54"/>
        <v/>
      </c>
      <c r="AQ138" s="576" t="str">
        <f t="shared" si="55"/>
        <v/>
      </c>
    </row>
    <row r="139" spans="5:43" x14ac:dyDescent="0.2">
      <c r="E139" s="576" t="str">
        <f t="shared" si="61"/>
        <v/>
      </c>
      <c r="G139" s="576" t="str">
        <f t="shared" si="57"/>
        <v/>
      </c>
      <c r="I139" s="576" t="str">
        <f t="shared" si="58"/>
        <v/>
      </c>
      <c r="K139" s="576" t="str">
        <f t="shared" si="59"/>
        <v/>
      </c>
      <c r="M139" s="576" t="str">
        <f t="shared" si="60"/>
        <v/>
      </c>
      <c r="O139" s="576" t="str">
        <f t="shared" si="62"/>
        <v/>
      </c>
      <c r="Q139" s="576" t="str">
        <f t="shared" si="43"/>
        <v/>
      </c>
      <c r="S139" s="576" t="str">
        <f t="shared" si="44"/>
        <v/>
      </c>
      <c r="U139" s="576" t="str">
        <f t="shared" si="45"/>
        <v/>
      </c>
      <c r="W139" s="576" t="str">
        <f t="shared" si="46"/>
        <v/>
      </c>
      <c r="Y139" s="576" t="str">
        <f t="shared" si="47"/>
        <v/>
      </c>
      <c r="AA139" s="576" t="str">
        <f t="shared" si="56"/>
        <v/>
      </c>
      <c r="AC139" s="576" t="str">
        <f t="shared" si="48"/>
        <v/>
      </c>
      <c r="AE139" s="576" t="str">
        <f t="shared" si="49"/>
        <v/>
      </c>
      <c r="AG139" s="576" t="str">
        <f t="shared" si="50"/>
        <v/>
      </c>
      <c r="AI139" s="576" t="str">
        <f t="shared" si="51"/>
        <v/>
      </c>
      <c r="AK139" s="576" t="str">
        <f t="shared" si="52"/>
        <v/>
      </c>
      <c r="AM139" s="576" t="str">
        <f t="shared" si="53"/>
        <v/>
      </c>
      <c r="AO139" s="576" t="str">
        <f t="shared" si="54"/>
        <v/>
      </c>
      <c r="AQ139" s="576" t="str">
        <f t="shared" si="55"/>
        <v/>
      </c>
    </row>
    <row r="140" spans="5:43" x14ac:dyDescent="0.2">
      <c r="E140" s="576" t="str">
        <f t="shared" si="61"/>
        <v/>
      </c>
      <c r="G140" s="576" t="str">
        <f t="shared" si="57"/>
        <v/>
      </c>
      <c r="I140" s="576" t="str">
        <f t="shared" si="58"/>
        <v/>
      </c>
      <c r="K140" s="576" t="str">
        <f t="shared" si="59"/>
        <v/>
      </c>
      <c r="M140" s="576" t="str">
        <f t="shared" si="60"/>
        <v/>
      </c>
      <c r="O140" s="576" t="str">
        <f t="shared" si="62"/>
        <v/>
      </c>
      <c r="Q140" s="576" t="str">
        <f t="shared" si="43"/>
        <v/>
      </c>
      <c r="S140" s="576" t="str">
        <f t="shared" si="44"/>
        <v/>
      </c>
      <c r="U140" s="576" t="str">
        <f t="shared" si="45"/>
        <v/>
      </c>
      <c r="W140" s="576" t="str">
        <f t="shared" si="46"/>
        <v/>
      </c>
      <c r="Y140" s="576" t="str">
        <f t="shared" si="47"/>
        <v/>
      </c>
      <c r="AA140" s="576" t="str">
        <f t="shared" si="56"/>
        <v/>
      </c>
      <c r="AC140" s="576" t="str">
        <f t="shared" si="48"/>
        <v/>
      </c>
      <c r="AE140" s="576" t="str">
        <f t="shared" si="49"/>
        <v/>
      </c>
      <c r="AG140" s="576" t="str">
        <f t="shared" si="50"/>
        <v/>
      </c>
      <c r="AI140" s="576" t="str">
        <f t="shared" si="51"/>
        <v/>
      </c>
      <c r="AK140" s="576" t="str">
        <f t="shared" si="52"/>
        <v/>
      </c>
      <c r="AM140" s="576" t="str">
        <f t="shared" si="53"/>
        <v/>
      </c>
      <c r="AO140" s="576" t="str">
        <f t="shared" si="54"/>
        <v/>
      </c>
      <c r="AQ140" s="576" t="str">
        <f t="shared" si="55"/>
        <v/>
      </c>
    </row>
    <row r="141" spans="5:43" x14ac:dyDescent="0.2">
      <c r="E141" s="576" t="str">
        <f t="shared" si="61"/>
        <v/>
      </c>
      <c r="G141" s="576" t="str">
        <f t="shared" si="57"/>
        <v/>
      </c>
      <c r="I141" s="576" t="str">
        <f t="shared" si="58"/>
        <v/>
      </c>
      <c r="K141" s="576" t="str">
        <f t="shared" si="59"/>
        <v/>
      </c>
      <c r="M141" s="576" t="str">
        <f t="shared" si="60"/>
        <v/>
      </c>
      <c r="O141" s="576" t="str">
        <f t="shared" si="62"/>
        <v/>
      </c>
      <c r="Q141" s="576" t="str">
        <f t="shared" si="43"/>
        <v/>
      </c>
      <c r="S141" s="576" t="str">
        <f t="shared" si="44"/>
        <v/>
      </c>
      <c r="U141" s="576" t="str">
        <f t="shared" si="45"/>
        <v/>
      </c>
      <c r="W141" s="576" t="str">
        <f t="shared" si="46"/>
        <v/>
      </c>
      <c r="Y141" s="576" t="str">
        <f t="shared" si="47"/>
        <v/>
      </c>
      <c r="AA141" s="576" t="str">
        <f t="shared" si="56"/>
        <v/>
      </c>
      <c r="AC141" s="576" t="str">
        <f t="shared" si="48"/>
        <v/>
      </c>
      <c r="AE141" s="576" t="str">
        <f t="shared" si="49"/>
        <v/>
      </c>
      <c r="AG141" s="576" t="str">
        <f t="shared" si="50"/>
        <v/>
      </c>
      <c r="AI141" s="576" t="str">
        <f t="shared" si="51"/>
        <v/>
      </c>
      <c r="AK141" s="576" t="str">
        <f t="shared" si="52"/>
        <v/>
      </c>
      <c r="AM141" s="576" t="str">
        <f t="shared" si="53"/>
        <v/>
      </c>
      <c r="AO141" s="576" t="str">
        <f t="shared" si="54"/>
        <v/>
      </c>
      <c r="AQ141" s="576" t="str">
        <f t="shared" si="55"/>
        <v/>
      </c>
    </row>
    <row r="142" spans="5:43" x14ac:dyDescent="0.2">
      <c r="E142" s="576" t="str">
        <f t="shared" si="61"/>
        <v/>
      </c>
      <c r="G142" s="576" t="str">
        <f t="shared" si="57"/>
        <v/>
      </c>
      <c r="I142" s="576" t="str">
        <f t="shared" si="58"/>
        <v/>
      </c>
      <c r="K142" s="576" t="str">
        <f t="shared" si="59"/>
        <v/>
      </c>
      <c r="M142" s="576" t="str">
        <f t="shared" si="60"/>
        <v/>
      </c>
      <c r="O142" s="576" t="str">
        <f t="shared" si="62"/>
        <v/>
      </c>
      <c r="Q142" s="576" t="str">
        <f t="shared" si="43"/>
        <v/>
      </c>
      <c r="S142" s="576" t="str">
        <f t="shared" si="44"/>
        <v/>
      </c>
      <c r="U142" s="576" t="str">
        <f t="shared" si="45"/>
        <v/>
      </c>
      <c r="W142" s="576" t="str">
        <f t="shared" si="46"/>
        <v/>
      </c>
      <c r="Y142" s="576" t="str">
        <f t="shared" si="47"/>
        <v/>
      </c>
      <c r="AA142" s="576" t="str">
        <f t="shared" si="56"/>
        <v/>
      </c>
      <c r="AC142" s="576" t="str">
        <f t="shared" si="48"/>
        <v/>
      </c>
      <c r="AE142" s="576" t="str">
        <f t="shared" si="49"/>
        <v/>
      </c>
      <c r="AG142" s="576" t="str">
        <f t="shared" si="50"/>
        <v/>
      </c>
      <c r="AI142" s="576" t="str">
        <f t="shared" si="51"/>
        <v/>
      </c>
      <c r="AK142" s="576" t="str">
        <f t="shared" si="52"/>
        <v/>
      </c>
      <c r="AM142" s="576" t="str">
        <f t="shared" si="53"/>
        <v/>
      </c>
      <c r="AO142" s="576" t="str">
        <f t="shared" si="54"/>
        <v/>
      </c>
      <c r="AQ142" s="576" t="str">
        <f t="shared" si="55"/>
        <v/>
      </c>
    </row>
    <row r="143" spans="5:43" x14ac:dyDescent="0.2">
      <c r="E143" s="576" t="str">
        <f t="shared" si="61"/>
        <v/>
      </c>
      <c r="G143" s="576" t="str">
        <f t="shared" si="57"/>
        <v/>
      </c>
      <c r="I143" s="576" t="str">
        <f t="shared" si="58"/>
        <v/>
      </c>
      <c r="K143" s="576" t="str">
        <f t="shared" si="59"/>
        <v/>
      </c>
      <c r="M143" s="576" t="str">
        <f t="shared" si="60"/>
        <v/>
      </c>
      <c r="O143" s="576" t="str">
        <f t="shared" si="62"/>
        <v/>
      </c>
      <c r="Q143" s="576" t="str">
        <f t="shared" si="43"/>
        <v/>
      </c>
      <c r="S143" s="576" t="str">
        <f t="shared" si="44"/>
        <v/>
      </c>
      <c r="U143" s="576" t="str">
        <f t="shared" si="45"/>
        <v/>
      </c>
      <c r="W143" s="576" t="str">
        <f t="shared" si="46"/>
        <v/>
      </c>
      <c r="Y143" s="576" t="str">
        <f t="shared" si="47"/>
        <v/>
      </c>
      <c r="AA143" s="576" t="str">
        <f t="shared" si="56"/>
        <v/>
      </c>
      <c r="AC143" s="576" t="str">
        <f t="shared" si="48"/>
        <v/>
      </c>
      <c r="AE143" s="576" t="str">
        <f t="shared" si="49"/>
        <v/>
      </c>
      <c r="AG143" s="576" t="str">
        <f t="shared" si="50"/>
        <v/>
      </c>
      <c r="AI143" s="576" t="str">
        <f t="shared" si="51"/>
        <v/>
      </c>
      <c r="AK143" s="576" t="str">
        <f t="shared" si="52"/>
        <v/>
      </c>
      <c r="AM143" s="576" t="str">
        <f t="shared" si="53"/>
        <v/>
      </c>
      <c r="AO143" s="576" t="str">
        <f t="shared" si="54"/>
        <v/>
      </c>
      <c r="AQ143" s="576" t="str">
        <f t="shared" si="55"/>
        <v/>
      </c>
    </row>
    <row r="144" spans="5:43" x14ac:dyDescent="0.2">
      <c r="E144" s="576" t="str">
        <f t="shared" si="61"/>
        <v/>
      </c>
      <c r="G144" s="576" t="str">
        <f t="shared" si="57"/>
        <v/>
      </c>
      <c r="I144" s="576" t="str">
        <f t="shared" si="58"/>
        <v/>
      </c>
      <c r="K144" s="576" t="str">
        <f t="shared" si="59"/>
        <v/>
      </c>
      <c r="M144" s="576" t="str">
        <f t="shared" si="60"/>
        <v/>
      </c>
      <c r="O144" s="576" t="str">
        <f t="shared" si="62"/>
        <v/>
      </c>
      <c r="Q144" s="576" t="str">
        <f t="shared" si="43"/>
        <v/>
      </c>
      <c r="S144" s="576" t="str">
        <f t="shared" si="44"/>
        <v/>
      </c>
      <c r="U144" s="576" t="str">
        <f t="shared" si="45"/>
        <v/>
      </c>
      <c r="W144" s="576" t="str">
        <f t="shared" si="46"/>
        <v/>
      </c>
      <c r="Y144" s="576" t="str">
        <f t="shared" si="47"/>
        <v/>
      </c>
      <c r="AA144" s="576" t="str">
        <f t="shared" si="56"/>
        <v/>
      </c>
      <c r="AC144" s="576" t="str">
        <f t="shared" si="48"/>
        <v/>
      </c>
      <c r="AE144" s="576" t="str">
        <f t="shared" si="49"/>
        <v/>
      </c>
      <c r="AG144" s="576" t="str">
        <f t="shared" si="50"/>
        <v/>
      </c>
      <c r="AI144" s="576" t="str">
        <f t="shared" si="51"/>
        <v/>
      </c>
      <c r="AK144" s="576" t="str">
        <f t="shared" si="52"/>
        <v/>
      </c>
      <c r="AM144" s="576" t="str">
        <f t="shared" si="53"/>
        <v/>
      </c>
      <c r="AO144" s="576" t="str">
        <f t="shared" si="54"/>
        <v/>
      </c>
      <c r="AQ144" s="576" t="str">
        <f t="shared" si="55"/>
        <v/>
      </c>
    </row>
    <row r="145" spans="5:43" x14ac:dyDescent="0.2">
      <c r="E145" s="576" t="str">
        <f t="shared" si="61"/>
        <v/>
      </c>
      <c r="G145" s="576" t="str">
        <f t="shared" si="57"/>
        <v/>
      </c>
      <c r="I145" s="576" t="str">
        <f t="shared" si="58"/>
        <v/>
      </c>
      <c r="K145" s="576" t="str">
        <f t="shared" si="59"/>
        <v/>
      </c>
      <c r="M145" s="576" t="str">
        <f t="shared" si="60"/>
        <v/>
      </c>
      <c r="O145" s="576" t="str">
        <f t="shared" si="62"/>
        <v/>
      </c>
      <c r="Q145" s="576" t="str">
        <f t="shared" si="43"/>
        <v/>
      </c>
      <c r="S145" s="576" t="str">
        <f t="shared" si="44"/>
        <v/>
      </c>
      <c r="U145" s="576" t="str">
        <f t="shared" si="45"/>
        <v/>
      </c>
      <c r="W145" s="576" t="str">
        <f t="shared" si="46"/>
        <v/>
      </c>
      <c r="Y145" s="576" t="str">
        <f t="shared" si="47"/>
        <v/>
      </c>
      <c r="AA145" s="576" t="str">
        <f t="shared" si="56"/>
        <v/>
      </c>
      <c r="AC145" s="576" t="str">
        <f t="shared" si="48"/>
        <v/>
      </c>
      <c r="AE145" s="576" t="str">
        <f t="shared" si="49"/>
        <v/>
      </c>
      <c r="AG145" s="576" t="str">
        <f t="shared" si="50"/>
        <v/>
      </c>
      <c r="AI145" s="576" t="str">
        <f t="shared" si="51"/>
        <v/>
      </c>
      <c r="AK145" s="576" t="str">
        <f t="shared" si="52"/>
        <v/>
      </c>
      <c r="AM145" s="576" t="str">
        <f t="shared" si="53"/>
        <v/>
      </c>
      <c r="AO145" s="576" t="str">
        <f t="shared" si="54"/>
        <v/>
      </c>
      <c r="AQ145" s="576" t="str">
        <f t="shared" si="55"/>
        <v/>
      </c>
    </row>
    <row r="146" spans="5:43" x14ac:dyDescent="0.2">
      <c r="E146" s="576" t="str">
        <f t="shared" si="61"/>
        <v/>
      </c>
      <c r="G146" s="576" t="str">
        <f t="shared" si="57"/>
        <v/>
      </c>
      <c r="I146" s="576" t="str">
        <f t="shared" si="58"/>
        <v/>
      </c>
      <c r="K146" s="576" t="str">
        <f t="shared" si="59"/>
        <v/>
      </c>
      <c r="M146" s="576" t="str">
        <f t="shared" si="60"/>
        <v/>
      </c>
      <c r="O146" s="576" t="str">
        <f t="shared" si="62"/>
        <v/>
      </c>
      <c r="Q146" s="576" t="str">
        <f t="shared" si="43"/>
        <v/>
      </c>
      <c r="S146" s="576" t="str">
        <f t="shared" si="44"/>
        <v/>
      </c>
      <c r="U146" s="576" t="str">
        <f t="shared" si="45"/>
        <v/>
      </c>
      <c r="W146" s="576" t="str">
        <f t="shared" si="46"/>
        <v/>
      </c>
      <c r="Y146" s="576" t="str">
        <f t="shared" si="47"/>
        <v/>
      </c>
      <c r="AA146" s="576" t="str">
        <f t="shared" si="56"/>
        <v/>
      </c>
      <c r="AC146" s="576" t="str">
        <f t="shared" si="48"/>
        <v/>
      </c>
      <c r="AE146" s="576" t="str">
        <f t="shared" si="49"/>
        <v/>
      </c>
      <c r="AG146" s="576" t="str">
        <f t="shared" si="50"/>
        <v/>
      </c>
      <c r="AI146" s="576" t="str">
        <f t="shared" si="51"/>
        <v/>
      </c>
      <c r="AK146" s="576" t="str">
        <f t="shared" si="52"/>
        <v/>
      </c>
      <c r="AM146" s="576" t="str">
        <f t="shared" si="53"/>
        <v/>
      </c>
      <c r="AO146" s="576" t="str">
        <f t="shared" si="54"/>
        <v/>
      </c>
      <c r="AQ146" s="576" t="str">
        <f t="shared" si="55"/>
        <v/>
      </c>
    </row>
    <row r="147" spans="5:43" x14ac:dyDescent="0.2">
      <c r="E147" s="576" t="str">
        <f t="shared" si="61"/>
        <v/>
      </c>
      <c r="G147" s="576" t="str">
        <f t="shared" si="57"/>
        <v/>
      </c>
      <c r="I147" s="576" t="str">
        <f t="shared" si="58"/>
        <v/>
      </c>
      <c r="K147" s="576" t="str">
        <f t="shared" si="59"/>
        <v/>
      </c>
      <c r="M147" s="576" t="str">
        <f t="shared" si="60"/>
        <v/>
      </c>
      <c r="O147" s="576" t="str">
        <f t="shared" si="62"/>
        <v/>
      </c>
      <c r="Q147" s="576" t="str">
        <f t="shared" si="43"/>
        <v/>
      </c>
      <c r="S147" s="576" t="str">
        <f t="shared" si="44"/>
        <v/>
      </c>
      <c r="U147" s="576" t="str">
        <f t="shared" si="45"/>
        <v/>
      </c>
      <c r="W147" s="576" t="str">
        <f t="shared" si="46"/>
        <v/>
      </c>
      <c r="Y147" s="576" t="str">
        <f t="shared" si="47"/>
        <v/>
      </c>
      <c r="AA147" s="576" t="str">
        <f t="shared" si="56"/>
        <v/>
      </c>
      <c r="AC147" s="576" t="str">
        <f t="shared" si="48"/>
        <v/>
      </c>
      <c r="AE147" s="576" t="str">
        <f t="shared" si="49"/>
        <v/>
      </c>
      <c r="AG147" s="576" t="str">
        <f t="shared" si="50"/>
        <v/>
      </c>
      <c r="AI147" s="576" t="str">
        <f t="shared" si="51"/>
        <v/>
      </c>
      <c r="AK147" s="576" t="str">
        <f t="shared" si="52"/>
        <v/>
      </c>
      <c r="AM147" s="576" t="str">
        <f t="shared" si="53"/>
        <v/>
      </c>
      <c r="AO147" s="576" t="str">
        <f t="shared" si="54"/>
        <v/>
      </c>
      <c r="AQ147" s="576" t="str">
        <f t="shared" si="55"/>
        <v/>
      </c>
    </row>
    <row r="148" spans="5:43" x14ac:dyDescent="0.2">
      <c r="E148" s="576" t="str">
        <f t="shared" si="61"/>
        <v/>
      </c>
      <c r="G148" s="576" t="str">
        <f t="shared" si="57"/>
        <v/>
      </c>
      <c r="I148" s="576" t="str">
        <f t="shared" si="58"/>
        <v/>
      </c>
      <c r="K148" s="576" t="str">
        <f t="shared" si="59"/>
        <v/>
      </c>
      <c r="M148" s="576" t="str">
        <f t="shared" si="60"/>
        <v/>
      </c>
      <c r="O148" s="576" t="str">
        <f t="shared" si="62"/>
        <v/>
      </c>
      <c r="Q148" s="576" t="str">
        <f t="shared" si="43"/>
        <v/>
      </c>
      <c r="S148" s="576" t="str">
        <f t="shared" si="44"/>
        <v/>
      </c>
      <c r="U148" s="576" t="str">
        <f t="shared" si="45"/>
        <v/>
      </c>
      <c r="W148" s="576" t="str">
        <f t="shared" si="46"/>
        <v/>
      </c>
      <c r="Y148" s="576" t="str">
        <f t="shared" si="47"/>
        <v/>
      </c>
      <c r="AA148" s="576" t="str">
        <f t="shared" si="56"/>
        <v/>
      </c>
      <c r="AC148" s="576" t="str">
        <f t="shared" si="48"/>
        <v/>
      </c>
      <c r="AE148" s="576" t="str">
        <f t="shared" si="49"/>
        <v/>
      </c>
      <c r="AG148" s="576" t="str">
        <f t="shared" si="50"/>
        <v/>
      </c>
      <c r="AI148" s="576" t="str">
        <f t="shared" si="51"/>
        <v/>
      </c>
      <c r="AK148" s="576" t="str">
        <f t="shared" si="52"/>
        <v/>
      </c>
      <c r="AM148" s="576" t="str">
        <f t="shared" si="53"/>
        <v/>
      </c>
      <c r="AO148" s="576" t="str">
        <f t="shared" si="54"/>
        <v/>
      </c>
      <c r="AQ148" s="576" t="str">
        <f t="shared" si="55"/>
        <v/>
      </c>
    </row>
    <row r="149" spans="5:43" x14ac:dyDescent="0.2">
      <c r="E149" s="576" t="str">
        <f t="shared" si="61"/>
        <v/>
      </c>
      <c r="G149" s="576" t="str">
        <f t="shared" si="57"/>
        <v/>
      </c>
      <c r="I149" s="576" t="str">
        <f t="shared" si="58"/>
        <v/>
      </c>
      <c r="K149" s="576" t="str">
        <f t="shared" si="59"/>
        <v/>
      </c>
      <c r="M149" s="576" t="str">
        <f t="shared" si="60"/>
        <v/>
      </c>
      <c r="O149" s="576" t="str">
        <f t="shared" si="62"/>
        <v/>
      </c>
      <c r="Q149" s="576" t="str">
        <f t="shared" si="43"/>
        <v/>
      </c>
      <c r="S149" s="576" t="str">
        <f t="shared" si="44"/>
        <v/>
      </c>
      <c r="U149" s="576" t="str">
        <f t="shared" si="45"/>
        <v/>
      </c>
      <c r="W149" s="576" t="str">
        <f t="shared" si="46"/>
        <v/>
      </c>
      <c r="Y149" s="576" t="str">
        <f t="shared" si="47"/>
        <v/>
      </c>
      <c r="AA149" s="576" t="str">
        <f t="shared" si="56"/>
        <v/>
      </c>
      <c r="AC149" s="576" t="str">
        <f t="shared" si="48"/>
        <v/>
      </c>
      <c r="AE149" s="576" t="str">
        <f t="shared" si="49"/>
        <v/>
      </c>
      <c r="AG149" s="576" t="str">
        <f t="shared" si="50"/>
        <v/>
      </c>
      <c r="AI149" s="576" t="str">
        <f t="shared" si="51"/>
        <v/>
      </c>
      <c r="AK149" s="576" t="str">
        <f t="shared" si="52"/>
        <v/>
      </c>
      <c r="AM149" s="576" t="str">
        <f t="shared" si="53"/>
        <v/>
      </c>
      <c r="AO149" s="576" t="str">
        <f t="shared" si="54"/>
        <v/>
      </c>
      <c r="AQ149" s="576" t="str">
        <f t="shared" si="55"/>
        <v/>
      </c>
    </row>
    <row r="150" spans="5:43" x14ac:dyDescent="0.2">
      <c r="E150" s="576" t="str">
        <f t="shared" si="61"/>
        <v/>
      </c>
      <c r="G150" s="576" t="str">
        <f t="shared" si="57"/>
        <v/>
      </c>
      <c r="I150" s="576" t="str">
        <f t="shared" si="58"/>
        <v/>
      </c>
      <c r="K150" s="576" t="str">
        <f t="shared" si="59"/>
        <v/>
      </c>
      <c r="M150" s="576" t="str">
        <f t="shared" si="60"/>
        <v/>
      </c>
      <c r="O150" s="576" t="str">
        <f t="shared" si="62"/>
        <v/>
      </c>
      <c r="Q150" s="576" t="str">
        <f t="shared" si="43"/>
        <v/>
      </c>
      <c r="S150" s="576" t="str">
        <f t="shared" si="44"/>
        <v/>
      </c>
      <c r="U150" s="576" t="str">
        <f t="shared" si="45"/>
        <v/>
      </c>
      <c r="W150" s="576" t="str">
        <f t="shared" si="46"/>
        <v/>
      </c>
      <c r="Y150" s="576" t="str">
        <f t="shared" si="47"/>
        <v/>
      </c>
      <c r="AA150" s="576" t="str">
        <f t="shared" si="56"/>
        <v/>
      </c>
      <c r="AC150" s="576" t="str">
        <f t="shared" si="48"/>
        <v/>
      </c>
      <c r="AE150" s="576" t="str">
        <f t="shared" si="49"/>
        <v/>
      </c>
      <c r="AG150" s="576" t="str">
        <f t="shared" si="50"/>
        <v/>
      </c>
      <c r="AI150" s="576" t="str">
        <f t="shared" si="51"/>
        <v/>
      </c>
      <c r="AK150" s="576" t="str">
        <f t="shared" si="52"/>
        <v/>
      </c>
      <c r="AM150" s="576" t="str">
        <f t="shared" si="53"/>
        <v/>
      </c>
      <c r="AO150" s="576" t="str">
        <f t="shared" si="54"/>
        <v/>
      </c>
      <c r="AQ150" s="576" t="str">
        <f t="shared" si="55"/>
        <v/>
      </c>
    </row>
    <row r="151" spans="5:43" x14ac:dyDescent="0.2">
      <c r="E151" s="576" t="str">
        <f t="shared" si="61"/>
        <v/>
      </c>
      <c r="G151" s="576" t="str">
        <f t="shared" si="57"/>
        <v/>
      </c>
      <c r="I151" s="576" t="str">
        <f t="shared" si="58"/>
        <v/>
      </c>
      <c r="K151" s="576" t="str">
        <f t="shared" si="59"/>
        <v/>
      </c>
      <c r="M151" s="576" t="str">
        <f t="shared" si="60"/>
        <v/>
      </c>
      <c r="O151" s="576" t="str">
        <f t="shared" si="62"/>
        <v/>
      </c>
      <c r="Q151" s="576" t="str">
        <f t="shared" si="43"/>
        <v/>
      </c>
      <c r="S151" s="576" t="str">
        <f t="shared" si="44"/>
        <v/>
      </c>
      <c r="U151" s="576" t="str">
        <f t="shared" si="45"/>
        <v/>
      </c>
      <c r="W151" s="576" t="str">
        <f t="shared" si="46"/>
        <v/>
      </c>
      <c r="Y151" s="576" t="str">
        <f t="shared" si="47"/>
        <v/>
      </c>
      <c r="AA151" s="576" t="str">
        <f t="shared" si="56"/>
        <v/>
      </c>
      <c r="AC151" s="576" t="str">
        <f t="shared" si="48"/>
        <v/>
      </c>
      <c r="AE151" s="576" t="str">
        <f t="shared" si="49"/>
        <v/>
      </c>
      <c r="AG151" s="576" t="str">
        <f t="shared" si="50"/>
        <v/>
      </c>
      <c r="AI151" s="576" t="str">
        <f t="shared" si="51"/>
        <v/>
      </c>
      <c r="AK151" s="576" t="str">
        <f t="shared" si="52"/>
        <v/>
      </c>
      <c r="AM151" s="576" t="str">
        <f t="shared" si="53"/>
        <v/>
      </c>
      <c r="AO151" s="576" t="str">
        <f t="shared" si="54"/>
        <v/>
      </c>
      <c r="AQ151" s="576" t="str">
        <f t="shared" si="55"/>
        <v/>
      </c>
    </row>
    <row r="152" spans="5:43" x14ac:dyDescent="0.2">
      <c r="E152" s="576" t="str">
        <f t="shared" si="61"/>
        <v/>
      </c>
      <c r="G152" s="576" t="str">
        <f t="shared" si="57"/>
        <v/>
      </c>
      <c r="I152" s="576" t="str">
        <f t="shared" si="58"/>
        <v/>
      </c>
      <c r="K152" s="576" t="str">
        <f t="shared" si="59"/>
        <v/>
      </c>
      <c r="M152" s="576" t="str">
        <f t="shared" si="60"/>
        <v/>
      </c>
      <c r="O152" s="576" t="str">
        <f t="shared" si="62"/>
        <v/>
      </c>
      <c r="Q152" s="576" t="str">
        <f t="shared" si="43"/>
        <v/>
      </c>
      <c r="S152" s="576" t="str">
        <f t="shared" si="44"/>
        <v/>
      </c>
      <c r="U152" s="576" t="str">
        <f t="shared" si="45"/>
        <v/>
      </c>
      <c r="W152" s="576" t="str">
        <f t="shared" si="46"/>
        <v/>
      </c>
      <c r="Y152" s="576" t="str">
        <f t="shared" si="47"/>
        <v/>
      </c>
      <c r="AA152" s="576" t="str">
        <f t="shared" si="56"/>
        <v/>
      </c>
      <c r="AC152" s="576" t="str">
        <f t="shared" si="48"/>
        <v/>
      </c>
      <c r="AE152" s="576" t="str">
        <f t="shared" si="49"/>
        <v/>
      </c>
      <c r="AG152" s="576" t="str">
        <f t="shared" si="50"/>
        <v/>
      </c>
      <c r="AI152" s="576" t="str">
        <f t="shared" si="51"/>
        <v/>
      </c>
      <c r="AK152" s="576" t="str">
        <f t="shared" si="52"/>
        <v/>
      </c>
      <c r="AM152" s="576" t="str">
        <f t="shared" si="53"/>
        <v/>
      </c>
      <c r="AO152" s="576" t="str">
        <f t="shared" si="54"/>
        <v/>
      </c>
      <c r="AQ152" s="576" t="str">
        <f t="shared" si="55"/>
        <v/>
      </c>
    </row>
    <row r="153" spans="5:43" x14ac:dyDescent="0.2">
      <c r="E153" s="576" t="str">
        <f t="shared" si="61"/>
        <v/>
      </c>
      <c r="G153" s="576" t="str">
        <f t="shared" si="57"/>
        <v/>
      </c>
      <c r="I153" s="576" t="str">
        <f t="shared" si="58"/>
        <v/>
      </c>
      <c r="K153" s="576" t="str">
        <f t="shared" si="59"/>
        <v/>
      </c>
      <c r="M153" s="576" t="str">
        <f t="shared" si="60"/>
        <v/>
      </c>
      <c r="O153" s="576" t="str">
        <f t="shared" si="62"/>
        <v/>
      </c>
      <c r="Q153" s="576" t="str">
        <f t="shared" si="43"/>
        <v/>
      </c>
      <c r="S153" s="576" t="str">
        <f t="shared" si="44"/>
        <v/>
      </c>
      <c r="U153" s="576" t="str">
        <f t="shared" si="45"/>
        <v/>
      </c>
      <c r="W153" s="576" t="str">
        <f t="shared" si="46"/>
        <v/>
      </c>
      <c r="Y153" s="576" t="str">
        <f t="shared" si="47"/>
        <v/>
      </c>
      <c r="AA153" s="576" t="str">
        <f t="shared" si="56"/>
        <v/>
      </c>
      <c r="AC153" s="576" t="str">
        <f t="shared" si="48"/>
        <v/>
      </c>
      <c r="AE153" s="576" t="str">
        <f t="shared" si="49"/>
        <v/>
      </c>
      <c r="AG153" s="576" t="str">
        <f t="shared" si="50"/>
        <v/>
      </c>
      <c r="AI153" s="576" t="str">
        <f t="shared" si="51"/>
        <v/>
      </c>
      <c r="AK153" s="576" t="str">
        <f t="shared" si="52"/>
        <v/>
      </c>
      <c r="AM153" s="576" t="str">
        <f t="shared" si="53"/>
        <v/>
      </c>
      <c r="AO153" s="576" t="str">
        <f t="shared" si="54"/>
        <v/>
      </c>
      <c r="AQ153" s="576" t="str">
        <f t="shared" si="55"/>
        <v/>
      </c>
    </row>
    <row r="154" spans="5:43" x14ac:dyDescent="0.2">
      <c r="E154" s="576" t="str">
        <f t="shared" si="61"/>
        <v/>
      </c>
      <c r="G154" s="576" t="str">
        <f t="shared" si="57"/>
        <v/>
      </c>
      <c r="I154" s="576" t="str">
        <f t="shared" si="58"/>
        <v/>
      </c>
      <c r="K154" s="576" t="str">
        <f t="shared" si="59"/>
        <v/>
      </c>
      <c r="M154" s="576" t="str">
        <f t="shared" si="60"/>
        <v/>
      </c>
      <c r="O154" s="576" t="str">
        <f t="shared" si="62"/>
        <v/>
      </c>
      <c r="Q154" s="576" t="str">
        <f t="shared" si="43"/>
        <v/>
      </c>
      <c r="S154" s="576" t="str">
        <f t="shared" si="44"/>
        <v/>
      </c>
      <c r="U154" s="576" t="str">
        <f t="shared" si="45"/>
        <v/>
      </c>
      <c r="W154" s="576" t="str">
        <f t="shared" si="46"/>
        <v/>
      </c>
      <c r="Y154" s="576" t="str">
        <f t="shared" si="47"/>
        <v/>
      </c>
      <c r="AA154" s="576" t="str">
        <f t="shared" si="56"/>
        <v/>
      </c>
      <c r="AC154" s="576" t="str">
        <f t="shared" si="48"/>
        <v/>
      </c>
      <c r="AE154" s="576" t="str">
        <f t="shared" si="49"/>
        <v/>
      </c>
      <c r="AG154" s="576" t="str">
        <f t="shared" si="50"/>
        <v/>
      </c>
      <c r="AI154" s="576" t="str">
        <f t="shared" si="51"/>
        <v/>
      </c>
      <c r="AK154" s="576" t="str">
        <f t="shared" si="52"/>
        <v/>
      </c>
      <c r="AM154" s="576" t="str">
        <f t="shared" si="53"/>
        <v/>
      </c>
      <c r="AO154" s="576" t="str">
        <f t="shared" si="54"/>
        <v/>
      </c>
      <c r="AQ154" s="576" t="str">
        <f t="shared" si="55"/>
        <v/>
      </c>
    </row>
    <row r="155" spans="5:43" x14ac:dyDescent="0.2">
      <c r="E155" s="576" t="str">
        <f t="shared" si="61"/>
        <v/>
      </c>
      <c r="G155" s="576" t="str">
        <f t="shared" si="57"/>
        <v/>
      </c>
      <c r="I155" s="576" t="str">
        <f t="shared" si="58"/>
        <v/>
      </c>
      <c r="K155" s="576" t="str">
        <f t="shared" si="59"/>
        <v/>
      </c>
      <c r="M155" s="576" t="str">
        <f t="shared" si="60"/>
        <v/>
      </c>
      <c r="O155" s="576" t="str">
        <f t="shared" si="62"/>
        <v/>
      </c>
      <c r="Q155" s="576" t="str">
        <f t="shared" si="43"/>
        <v/>
      </c>
      <c r="S155" s="576" t="str">
        <f t="shared" si="44"/>
        <v/>
      </c>
      <c r="U155" s="576" t="str">
        <f t="shared" si="45"/>
        <v/>
      </c>
      <c r="W155" s="576" t="str">
        <f t="shared" si="46"/>
        <v/>
      </c>
      <c r="Y155" s="576" t="str">
        <f t="shared" si="47"/>
        <v/>
      </c>
      <c r="AA155" s="576" t="str">
        <f t="shared" si="56"/>
        <v/>
      </c>
      <c r="AC155" s="576" t="str">
        <f t="shared" si="48"/>
        <v/>
      </c>
      <c r="AE155" s="576" t="str">
        <f t="shared" si="49"/>
        <v/>
      </c>
      <c r="AG155" s="576" t="str">
        <f t="shared" si="50"/>
        <v/>
      </c>
      <c r="AI155" s="576" t="str">
        <f t="shared" si="51"/>
        <v/>
      </c>
      <c r="AK155" s="576" t="str">
        <f t="shared" si="52"/>
        <v/>
      </c>
      <c r="AM155" s="576" t="str">
        <f t="shared" si="53"/>
        <v/>
      </c>
      <c r="AO155" s="576" t="str">
        <f t="shared" si="54"/>
        <v/>
      </c>
      <c r="AQ155" s="576" t="str">
        <f t="shared" si="55"/>
        <v/>
      </c>
    </row>
    <row r="156" spans="5:43" x14ac:dyDescent="0.2">
      <c r="E156" s="576" t="str">
        <f t="shared" si="61"/>
        <v/>
      </c>
      <c r="G156" s="576" t="str">
        <f t="shared" si="57"/>
        <v/>
      </c>
      <c r="I156" s="576" t="str">
        <f t="shared" si="58"/>
        <v/>
      </c>
      <c r="K156" s="576" t="str">
        <f t="shared" si="59"/>
        <v/>
      </c>
      <c r="M156" s="576" t="str">
        <f t="shared" si="60"/>
        <v/>
      </c>
      <c r="O156" s="576" t="str">
        <f t="shared" si="62"/>
        <v/>
      </c>
      <c r="Q156" s="576" t="str">
        <f t="shared" si="43"/>
        <v/>
      </c>
      <c r="S156" s="576" t="str">
        <f t="shared" si="44"/>
        <v/>
      </c>
      <c r="U156" s="576" t="str">
        <f t="shared" si="45"/>
        <v/>
      </c>
      <c r="W156" s="576" t="str">
        <f t="shared" si="46"/>
        <v/>
      </c>
      <c r="Y156" s="576" t="str">
        <f t="shared" si="47"/>
        <v/>
      </c>
      <c r="AA156" s="576" t="str">
        <f t="shared" si="56"/>
        <v/>
      </c>
      <c r="AC156" s="576" t="str">
        <f t="shared" si="48"/>
        <v/>
      </c>
      <c r="AE156" s="576" t="str">
        <f t="shared" si="49"/>
        <v/>
      </c>
      <c r="AG156" s="576" t="str">
        <f t="shared" si="50"/>
        <v/>
      </c>
      <c r="AI156" s="576" t="str">
        <f t="shared" si="51"/>
        <v/>
      </c>
      <c r="AK156" s="576" t="str">
        <f t="shared" si="52"/>
        <v/>
      </c>
      <c r="AM156" s="576" t="str">
        <f t="shared" si="53"/>
        <v/>
      </c>
      <c r="AO156" s="576" t="str">
        <f t="shared" si="54"/>
        <v/>
      </c>
      <c r="AQ156" s="576" t="str">
        <f t="shared" si="55"/>
        <v/>
      </c>
    </row>
    <row r="157" spans="5:43" x14ac:dyDescent="0.2">
      <c r="E157" s="576" t="str">
        <f t="shared" si="61"/>
        <v/>
      </c>
      <c r="G157" s="576" t="str">
        <f t="shared" si="57"/>
        <v/>
      </c>
      <c r="I157" s="576" t="str">
        <f t="shared" si="58"/>
        <v/>
      </c>
      <c r="K157" s="576" t="str">
        <f t="shared" si="59"/>
        <v/>
      </c>
      <c r="M157" s="576" t="str">
        <f t="shared" si="60"/>
        <v/>
      </c>
      <c r="O157" s="576" t="str">
        <f t="shared" si="62"/>
        <v/>
      </c>
      <c r="Q157" s="576" t="str">
        <f t="shared" si="43"/>
        <v/>
      </c>
      <c r="S157" s="576" t="str">
        <f t="shared" si="44"/>
        <v/>
      </c>
      <c r="U157" s="576" t="str">
        <f t="shared" si="45"/>
        <v/>
      </c>
      <c r="W157" s="576" t="str">
        <f t="shared" si="46"/>
        <v/>
      </c>
      <c r="Y157" s="576" t="str">
        <f t="shared" si="47"/>
        <v/>
      </c>
      <c r="AA157" s="576" t="str">
        <f t="shared" si="56"/>
        <v/>
      </c>
      <c r="AC157" s="576" t="str">
        <f t="shared" si="48"/>
        <v/>
      </c>
      <c r="AE157" s="576" t="str">
        <f t="shared" si="49"/>
        <v/>
      </c>
      <c r="AG157" s="576" t="str">
        <f t="shared" si="50"/>
        <v/>
      </c>
      <c r="AI157" s="576" t="str">
        <f t="shared" si="51"/>
        <v/>
      </c>
      <c r="AK157" s="576" t="str">
        <f t="shared" si="52"/>
        <v/>
      </c>
      <c r="AM157" s="576" t="str">
        <f t="shared" si="53"/>
        <v/>
      </c>
      <c r="AO157" s="576" t="str">
        <f t="shared" si="54"/>
        <v/>
      </c>
      <c r="AQ157" s="576" t="str">
        <f t="shared" si="55"/>
        <v/>
      </c>
    </row>
    <row r="158" spans="5:43" x14ac:dyDescent="0.2">
      <c r="E158" s="576" t="str">
        <f t="shared" si="61"/>
        <v/>
      </c>
      <c r="G158" s="576" t="str">
        <f t="shared" si="57"/>
        <v/>
      </c>
      <c r="I158" s="576" t="str">
        <f t="shared" si="58"/>
        <v/>
      </c>
      <c r="K158" s="576" t="str">
        <f t="shared" si="59"/>
        <v/>
      </c>
      <c r="M158" s="576" t="str">
        <f t="shared" si="60"/>
        <v/>
      </c>
      <c r="O158" s="576" t="str">
        <f t="shared" si="62"/>
        <v/>
      </c>
      <c r="Q158" s="576" t="str">
        <f t="shared" si="43"/>
        <v/>
      </c>
      <c r="S158" s="576" t="str">
        <f t="shared" si="44"/>
        <v/>
      </c>
      <c r="U158" s="576" t="str">
        <f t="shared" si="45"/>
        <v/>
      </c>
      <c r="W158" s="576" t="str">
        <f t="shared" si="46"/>
        <v/>
      </c>
      <c r="Y158" s="576" t="str">
        <f t="shared" si="47"/>
        <v/>
      </c>
      <c r="AA158" s="576" t="str">
        <f t="shared" si="56"/>
        <v/>
      </c>
      <c r="AC158" s="576" t="str">
        <f t="shared" si="48"/>
        <v/>
      </c>
      <c r="AE158" s="576" t="str">
        <f t="shared" si="49"/>
        <v/>
      </c>
      <c r="AG158" s="576" t="str">
        <f t="shared" si="50"/>
        <v/>
      </c>
      <c r="AI158" s="576" t="str">
        <f t="shared" si="51"/>
        <v/>
      </c>
      <c r="AK158" s="576" t="str">
        <f t="shared" si="52"/>
        <v/>
      </c>
      <c r="AM158" s="576" t="str">
        <f t="shared" si="53"/>
        <v/>
      </c>
      <c r="AO158" s="576" t="str">
        <f t="shared" si="54"/>
        <v/>
      </c>
      <c r="AQ158" s="576" t="str">
        <f t="shared" si="55"/>
        <v/>
      </c>
    </row>
    <row r="159" spans="5:43" x14ac:dyDescent="0.2">
      <c r="E159" s="576" t="str">
        <f t="shared" si="61"/>
        <v/>
      </c>
      <c r="G159" s="576" t="str">
        <f t="shared" si="57"/>
        <v/>
      </c>
      <c r="I159" s="576" t="str">
        <f t="shared" si="58"/>
        <v/>
      </c>
      <c r="K159" s="576" t="str">
        <f t="shared" si="59"/>
        <v/>
      </c>
      <c r="M159" s="576" t="str">
        <f t="shared" si="60"/>
        <v/>
      </c>
      <c r="O159" s="576" t="str">
        <f t="shared" si="62"/>
        <v/>
      </c>
      <c r="Q159" s="576" t="str">
        <f t="shared" ref="Q159:Q222" si="63">IF(OR($B158=0,P159=0),"",P159/$B158)</f>
        <v/>
      </c>
      <c r="S159" s="576" t="str">
        <f t="shared" ref="S159:S222" si="64">IF(OR($B158=0,R159=0),"",R159/$B158)</f>
        <v/>
      </c>
      <c r="U159" s="576" t="str">
        <f t="shared" ref="U159:U222" si="65">IF(OR($B158=0,T159=0),"",T159/$B158)</f>
        <v/>
      </c>
      <c r="W159" s="576" t="str">
        <f t="shared" ref="W159:W222" si="66">IF(OR($B158=0,V159=0),"",V159/$B158)</f>
        <v/>
      </c>
      <c r="Y159" s="576" t="str">
        <f t="shared" ref="Y159:Y222" si="67">IF(OR($B158=0,X159=0),"",X159/$B158)</f>
        <v/>
      </c>
      <c r="AA159" s="576" t="str">
        <f t="shared" si="56"/>
        <v/>
      </c>
      <c r="AC159" s="576" t="str">
        <f t="shared" ref="AC159:AC222" si="68">IF(OR($B158=0,AB159=0),"",AB159/$B158)</f>
        <v/>
      </c>
      <c r="AE159" s="576" t="str">
        <f t="shared" ref="AE159:AE222" si="69">IF(OR($B158=0,AD159=0),"",AD159/$B158)</f>
        <v/>
      </c>
      <c r="AG159" s="576" t="str">
        <f t="shared" ref="AG159:AG222" si="70">IF(OR($B158=0,AF159=0),"",AF159/$B158)</f>
        <v/>
      </c>
      <c r="AI159" s="576" t="str">
        <f t="shared" ref="AI159:AI222" si="71">IF(OR($B158=0,AH159=0),"",AH159/$B158)</f>
        <v/>
      </c>
      <c r="AK159" s="576" t="str">
        <f t="shared" ref="AK159:AK222" si="72">IF(OR($B158=0,AJ159=0),"",AJ159/$B158)</f>
        <v/>
      </c>
      <c r="AM159" s="576" t="str">
        <f t="shared" ref="AM159:AM222" si="73">IF(OR($B158=0,AL159=0),"",AL159/$B158)</f>
        <v/>
      </c>
      <c r="AO159" s="576" t="str">
        <f t="shared" ref="AO159:AO222" si="74">IF(OR($B158=0,AN159=0),"",AN159/$B158)</f>
        <v/>
      </c>
      <c r="AQ159" s="576" t="str">
        <f t="shared" ref="AQ159:AQ222" si="75">IF(OR($B158=0,AP159=0),"",AP159/$B158)</f>
        <v/>
      </c>
    </row>
    <row r="160" spans="5:43" x14ac:dyDescent="0.2">
      <c r="E160" s="576" t="str">
        <f t="shared" si="61"/>
        <v/>
      </c>
      <c r="G160" s="576" t="str">
        <f t="shared" si="57"/>
        <v/>
      </c>
      <c r="I160" s="576" t="str">
        <f t="shared" si="58"/>
        <v/>
      </c>
      <c r="K160" s="576" t="str">
        <f t="shared" si="59"/>
        <v/>
      </c>
      <c r="M160" s="576" t="str">
        <f t="shared" si="60"/>
        <v/>
      </c>
      <c r="O160" s="576" t="str">
        <f t="shared" si="62"/>
        <v/>
      </c>
      <c r="Q160" s="576" t="str">
        <f t="shared" si="63"/>
        <v/>
      </c>
      <c r="S160" s="576" t="str">
        <f t="shared" si="64"/>
        <v/>
      </c>
      <c r="U160" s="576" t="str">
        <f t="shared" si="65"/>
        <v/>
      </c>
      <c r="W160" s="576" t="str">
        <f t="shared" si="66"/>
        <v/>
      </c>
      <c r="Y160" s="576" t="str">
        <f t="shared" si="67"/>
        <v/>
      </c>
      <c r="AA160" s="576" t="str">
        <f t="shared" ref="AA160:AA223" si="76">IF(OR($B159=0,Z160=0),"",Z160/$B159)</f>
        <v/>
      </c>
      <c r="AC160" s="576" t="str">
        <f t="shared" si="68"/>
        <v/>
      </c>
      <c r="AE160" s="576" t="str">
        <f t="shared" si="69"/>
        <v/>
      </c>
      <c r="AG160" s="576" t="str">
        <f t="shared" si="70"/>
        <v/>
      </c>
      <c r="AI160" s="576" t="str">
        <f t="shared" si="71"/>
        <v/>
      </c>
      <c r="AK160" s="576" t="str">
        <f t="shared" si="72"/>
        <v/>
      </c>
      <c r="AM160" s="576" t="str">
        <f t="shared" si="73"/>
        <v/>
      </c>
      <c r="AO160" s="576" t="str">
        <f t="shared" si="74"/>
        <v/>
      </c>
      <c r="AQ160" s="576" t="str">
        <f t="shared" si="75"/>
        <v/>
      </c>
    </row>
    <row r="161" spans="5:43" x14ac:dyDescent="0.2">
      <c r="E161" s="576" t="str">
        <f t="shared" si="61"/>
        <v/>
      </c>
      <c r="G161" s="576" t="str">
        <f t="shared" si="57"/>
        <v/>
      </c>
      <c r="I161" s="576" t="str">
        <f t="shared" si="58"/>
        <v/>
      </c>
      <c r="K161" s="576" t="str">
        <f t="shared" si="59"/>
        <v/>
      </c>
      <c r="M161" s="576" t="str">
        <f t="shared" si="60"/>
        <v/>
      </c>
      <c r="O161" s="576" t="str">
        <f t="shared" si="62"/>
        <v/>
      </c>
      <c r="Q161" s="576" t="str">
        <f t="shared" si="63"/>
        <v/>
      </c>
      <c r="S161" s="576" t="str">
        <f t="shared" si="64"/>
        <v/>
      </c>
      <c r="U161" s="576" t="str">
        <f t="shared" si="65"/>
        <v/>
      </c>
      <c r="W161" s="576" t="str">
        <f t="shared" si="66"/>
        <v/>
      </c>
      <c r="Y161" s="576" t="str">
        <f t="shared" si="67"/>
        <v/>
      </c>
      <c r="AA161" s="576" t="str">
        <f t="shared" si="76"/>
        <v/>
      </c>
      <c r="AC161" s="576" t="str">
        <f t="shared" si="68"/>
        <v/>
      </c>
      <c r="AE161" s="576" t="str">
        <f t="shared" si="69"/>
        <v/>
      </c>
      <c r="AG161" s="576" t="str">
        <f t="shared" si="70"/>
        <v/>
      </c>
      <c r="AI161" s="576" t="str">
        <f t="shared" si="71"/>
        <v/>
      </c>
      <c r="AK161" s="576" t="str">
        <f t="shared" si="72"/>
        <v/>
      </c>
      <c r="AM161" s="576" t="str">
        <f t="shared" si="73"/>
        <v/>
      </c>
      <c r="AO161" s="576" t="str">
        <f t="shared" si="74"/>
        <v/>
      </c>
      <c r="AQ161" s="576" t="str">
        <f t="shared" si="75"/>
        <v/>
      </c>
    </row>
    <row r="162" spans="5:43" x14ac:dyDescent="0.2">
      <c r="E162" s="576" t="str">
        <f t="shared" si="61"/>
        <v/>
      </c>
      <c r="G162" s="576" t="str">
        <f t="shared" ref="G162:G225" si="77">IF(OR($B161=0,F162=0),"",F162/$B161)</f>
        <v/>
      </c>
      <c r="I162" s="576" t="str">
        <f t="shared" ref="I162:I225" si="78">IF(OR($B161=0,H162=0),"",H162/$B161)</f>
        <v/>
      </c>
      <c r="K162" s="576" t="str">
        <f t="shared" ref="K162:K225" si="79">IF(OR($B161=0,J162=0),"",J162/$B161)</f>
        <v/>
      </c>
      <c r="M162" s="576" t="str">
        <f t="shared" ref="M162:M225" si="80">IF(OR($B161=0,L162=0),"",L162/$B161)</f>
        <v/>
      </c>
      <c r="O162" s="576" t="str">
        <f t="shared" si="62"/>
        <v/>
      </c>
      <c r="Q162" s="576" t="str">
        <f t="shared" si="63"/>
        <v/>
      </c>
      <c r="S162" s="576" t="str">
        <f t="shared" si="64"/>
        <v/>
      </c>
      <c r="U162" s="576" t="str">
        <f t="shared" si="65"/>
        <v/>
      </c>
      <c r="W162" s="576" t="str">
        <f t="shared" si="66"/>
        <v/>
      </c>
      <c r="Y162" s="576" t="str">
        <f t="shared" si="67"/>
        <v/>
      </c>
      <c r="AA162" s="576" t="str">
        <f t="shared" si="76"/>
        <v/>
      </c>
      <c r="AC162" s="576" t="str">
        <f t="shared" si="68"/>
        <v/>
      </c>
      <c r="AE162" s="576" t="str">
        <f t="shared" si="69"/>
        <v/>
      </c>
      <c r="AG162" s="576" t="str">
        <f t="shared" si="70"/>
        <v/>
      </c>
      <c r="AI162" s="576" t="str">
        <f t="shared" si="71"/>
        <v/>
      </c>
      <c r="AK162" s="576" t="str">
        <f t="shared" si="72"/>
        <v/>
      </c>
      <c r="AM162" s="576" t="str">
        <f t="shared" si="73"/>
        <v/>
      </c>
      <c r="AO162" s="576" t="str">
        <f t="shared" si="74"/>
        <v/>
      </c>
      <c r="AQ162" s="576" t="str">
        <f t="shared" si="75"/>
        <v/>
      </c>
    </row>
    <row r="163" spans="5:43" x14ac:dyDescent="0.2">
      <c r="E163" s="576" t="str">
        <f t="shared" ref="E163:E226" si="81">IF(OR($B162=0,D163=0),"",D163/$B162)</f>
        <v/>
      </c>
      <c r="G163" s="576" t="str">
        <f t="shared" si="77"/>
        <v/>
      </c>
      <c r="I163" s="576" t="str">
        <f t="shared" si="78"/>
        <v/>
      </c>
      <c r="K163" s="576" t="str">
        <f t="shared" si="79"/>
        <v/>
      </c>
      <c r="M163" s="576" t="str">
        <f t="shared" si="80"/>
        <v/>
      </c>
      <c r="O163" s="576" t="str">
        <f t="shared" ref="O163:O226" si="82">IF(OR($B162=0,N163=0),"",N163/$B162)</f>
        <v/>
      </c>
      <c r="Q163" s="576" t="str">
        <f t="shared" si="63"/>
        <v/>
      </c>
      <c r="S163" s="576" t="str">
        <f t="shared" si="64"/>
        <v/>
      </c>
      <c r="U163" s="576" t="str">
        <f t="shared" si="65"/>
        <v/>
      </c>
      <c r="W163" s="576" t="str">
        <f t="shared" si="66"/>
        <v/>
      </c>
      <c r="Y163" s="576" t="str">
        <f t="shared" si="67"/>
        <v/>
      </c>
      <c r="AA163" s="576" t="str">
        <f t="shared" si="76"/>
        <v/>
      </c>
      <c r="AC163" s="576" t="str">
        <f t="shared" si="68"/>
        <v/>
      </c>
      <c r="AE163" s="576" t="str">
        <f t="shared" si="69"/>
        <v/>
      </c>
      <c r="AG163" s="576" t="str">
        <f t="shared" si="70"/>
        <v/>
      </c>
      <c r="AI163" s="576" t="str">
        <f t="shared" si="71"/>
        <v/>
      </c>
      <c r="AK163" s="576" t="str">
        <f t="shared" si="72"/>
        <v/>
      </c>
      <c r="AM163" s="576" t="str">
        <f t="shared" si="73"/>
        <v/>
      </c>
      <c r="AO163" s="576" t="str">
        <f t="shared" si="74"/>
        <v/>
      </c>
      <c r="AQ163" s="576" t="str">
        <f t="shared" si="75"/>
        <v/>
      </c>
    </row>
    <row r="164" spans="5:43" x14ac:dyDescent="0.2">
      <c r="E164" s="576" t="str">
        <f t="shared" si="81"/>
        <v/>
      </c>
      <c r="G164" s="576" t="str">
        <f t="shared" si="77"/>
        <v/>
      </c>
      <c r="I164" s="576" t="str">
        <f t="shared" si="78"/>
        <v/>
      </c>
      <c r="K164" s="576" t="str">
        <f t="shared" si="79"/>
        <v/>
      </c>
      <c r="M164" s="576" t="str">
        <f t="shared" si="80"/>
        <v/>
      </c>
      <c r="O164" s="576" t="str">
        <f t="shared" si="82"/>
        <v/>
      </c>
      <c r="Q164" s="576" t="str">
        <f t="shared" si="63"/>
        <v/>
      </c>
      <c r="S164" s="576" t="str">
        <f t="shared" si="64"/>
        <v/>
      </c>
      <c r="U164" s="576" t="str">
        <f t="shared" si="65"/>
        <v/>
      </c>
      <c r="W164" s="576" t="str">
        <f t="shared" si="66"/>
        <v/>
      </c>
      <c r="Y164" s="576" t="str">
        <f t="shared" si="67"/>
        <v/>
      </c>
      <c r="AA164" s="576" t="str">
        <f t="shared" si="76"/>
        <v/>
      </c>
      <c r="AC164" s="576" t="str">
        <f t="shared" si="68"/>
        <v/>
      </c>
      <c r="AE164" s="576" t="str">
        <f t="shared" si="69"/>
        <v/>
      </c>
      <c r="AG164" s="576" t="str">
        <f t="shared" si="70"/>
        <v/>
      </c>
      <c r="AI164" s="576" t="str">
        <f t="shared" si="71"/>
        <v/>
      </c>
      <c r="AK164" s="576" t="str">
        <f t="shared" si="72"/>
        <v/>
      </c>
      <c r="AM164" s="576" t="str">
        <f t="shared" si="73"/>
        <v/>
      </c>
      <c r="AO164" s="576" t="str">
        <f t="shared" si="74"/>
        <v/>
      </c>
      <c r="AQ164" s="576" t="str">
        <f t="shared" si="75"/>
        <v/>
      </c>
    </row>
    <row r="165" spans="5:43" x14ac:dyDescent="0.2">
      <c r="E165" s="576" t="str">
        <f t="shared" si="81"/>
        <v/>
      </c>
      <c r="G165" s="576" t="str">
        <f t="shared" si="77"/>
        <v/>
      </c>
      <c r="I165" s="576" t="str">
        <f t="shared" si="78"/>
        <v/>
      </c>
      <c r="K165" s="576" t="str">
        <f t="shared" si="79"/>
        <v/>
      </c>
      <c r="M165" s="576" t="str">
        <f t="shared" si="80"/>
        <v/>
      </c>
      <c r="O165" s="576" t="str">
        <f t="shared" si="82"/>
        <v/>
      </c>
      <c r="Q165" s="576" t="str">
        <f t="shared" si="63"/>
        <v/>
      </c>
      <c r="S165" s="576" t="str">
        <f t="shared" si="64"/>
        <v/>
      </c>
      <c r="U165" s="576" t="str">
        <f t="shared" si="65"/>
        <v/>
      </c>
      <c r="W165" s="576" t="str">
        <f t="shared" si="66"/>
        <v/>
      </c>
      <c r="Y165" s="576" t="str">
        <f t="shared" si="67"/>
        <v/>
      </c>
      <c r="AA165" s="576" t="str">
        <f t="shared" si="76"/>
        <v/>
      </c>
      <c r="AC165" s="576" t="str">
        <f t="shared" si="68"/>
        <v/>
      </c>
      <c r="AE165" s="576" t="str">
        <f t="shared" si="69"/>
        <v/>
      </c>
      <c r="AG165" s="576" t="str">
        <f t="shared" si="70"/>
        <v/>
      </c>
      <c r="AI165" s="576" t="str">
        <f t="shared" si="71"/>
        <v/>
      </c>
      <c r="AK165" s="576" t="str">
        <f t="shared" si="72"/>
        <v/>
      </c>
      <c r="AM165" s="576" t="str">
        <f t="shared" si="73"/>
        <v/>
      </c>
      <c r="AO165" s="576" t="str">
        <f t="shared" si="74"/>
        <v/>
      </c>
      <c r="AQ165" s="576" t="str">
        <f t="shared" si="75"/>
        <v/>
      </c>
    </row>
    <row r="166" spans="5:43" x14ac:dyDescent="0.2">
      <c r="E166" s="576" t="str">
        <f t="shared" si="81"/>
        <v/>
      </c>
      <c r="G166" s="576" t="str">
        <f t="shared" si="77"/>
        <v/>
      </c>
      <c r="I166" s="576" t="str">
        <f t="shared" si="78"/>
        <v/>
      </c>
      <c r="K166" s="576" t="str">
        <f t="shared" si="79"/>
        <v/>
      </c>
      <c r="M166" s="576" t="str">
        <f t="shared" si="80"/>
        <v/>
      </c>
      <c r="O166" s="576" t="str">
        <f t="shared" si="82"/>
        <v/>
      </c>
      <c r="Q166" s="576" t="str">
        <f t="shared" si="63"/>
        <v/>
      </c>
      <c r="S166" s="576" t="str">
        <f t="shared" si="64"/>
        <v/>
      </c>
      <c r="U166" s="576" t="str">
        <f t="shared" si="65"/>
        <v/>
      </c>
      <c r="W166" s="576" t="str">
        <f t="shared" si="66"/>
        <v/>
      </c>
      <c r="Y166" s="576" t="str">
        <f t="shared" si="67"/>
        <v/>
      </c>
      <c r="AA166" s="576" t="str">
        <f t="shared" si="76"/>
        <v/>
      </c>
      <c r="AC166" s="576" t="str">
        <f t="shared" si="68"/>
        <v/>
      </c>
      <c r="AE166" s="576" t="str">
        <f t="shared" si="69"/>
        <v/>
      </c>
      <c r="AG166" s="576" t="str">
        <f t="shared" si="70"/>
        <v/>
      </c>
      <c r="AI166" s="576" t="str">
        <f t="shared" si="71"/>
        <v/>
      </c>
      <c r="AK166" s="576" t="str">
        <f t="shared" si="72"/>
        <v/>
      </c>
      <c r="AM166" s="576" t="str">
        <f t="shared" si="73"/>
        <v/>
      </c>
      <c r="AO166" s="576" t="str">
        <f t="shared" si="74"/>
        <v/>
      </c>
      <c r="AQ166" s="576" t="str">
        <f t="shared" si="75"/>
        <v/>
      </c>
    </row>
    <row r="167" spans="5:43" x14ac:dyDescent="0.2">
      <c r="E167" s="576" t="str">
        <f t="shared" si="81"/>
        <v/>
      </c>
      <c r="G167" s="576" t="str">
        <f t="shared" si="77"/>
        <v/>
      </c>
      <c r="I167" s="576" t="str">
        <f t="shared" si="78"/>
        <v/>
      </c>
      <c r="K167" s="576" t="str">
        <f t="shared" si="79"/>
        <v/>
      </c>
      <c r="M167" s="576" t="str">
        <f t="shared" si="80"/>
        <v/>
      </c>
      <c r="O167" s="576" t="str">
        <f t="shared" si="82"/>
        <v/>
      </c>
      <c r="Q167" s="576" t="str">
        <f t="shared" si="63"/>
        <v/>
      </c>
      <c r="S167" s="576" t="str">
        <f t="shared" si="64"/>
        <v/>
      </c>
      <c r="U167" s="576" t="str">
        <f t="shared" si="65"/>
        <v/>
      </c>
      <c r="W167" s="576" t="str">
        <f t="shared" si="66"/>
        <v/>
      </c>
      <c r="Y167" s="576" t="str">
        <f t="shared" si="67"/>
        <v/>
      </c>
      <c r="AA167" s="576" t="str">
        <f t="shared" si="76"/>
        <v/>
      </c>
      <c r="AC167" s="576" t="str">
        <f t="shared" si="68"/>
        <v/>
      </c>
      <c r="AE167" s="576" t="str">
        <f t="shared" si="69"/>
        <v/>
      </c>
      <c r="AG167" s="576" t="str">
        <f t="shared" si="70"/>
        <v/>
      </c>
      <c r="AI167" s="576" t="str">
        <f t="shared" si="71"/>
        <v/>
      </c>
      <c r="AK167" s="576" t="str">
        <f t="shared" si="72"/>
        <v/>
      </c>
      <c r="AM167" s="576" t="str">
        <f t="shared" si="73"/>
        <v/>
      </c>
      <c r="AO167" s="576" t="str">
        <f t="shared" si="74"/>
        <v/>
      </c>
      <c r="AQ167" s="576" t="str">
        <f t="shared" si="75"/>
        <v/>
      </c>
    </row>
    <row r="168" spans="5:43" x14ac:dyDescent="0.2">
      <c r="E168" s="576" t="str">
        <f t="shared" si="81"/>
        <v/>
      </c>
      <c r="G168" s="576" t="str">
        <f t="shared" si="77"/>
        <v/>
      </c>
      <c r="I168" s="576" t="str">
        <f t="shared" si="78"/>
        <v/>
      </c>
      <c r="K168" s="576" t="str">
        <f t="shared" si="79"/>
        <v/>
      </c>
      <c r="M168" s="576" t="str">
        <f t="shared" si="80"/>
        <v/>
      </c>
      <c r="O168" s="576" t="str">
        <f t="shared" si="82"/>
        <v/>
      </c>
      <c r="Q168" s="576" t="str">
        <f t="shared" si="63"/>
        <v/>
      </c>
      <c r="S168" s="576" t="str">
        <f t="shared" si="64"/>
        <v/>
      </c>
      <c r="U168" s="576" t="str">
        <f t="shared" si="65"/>
        <v/>
      </c>
      <c r="W168" s="576" t="str">
        <f t="shared" si="66"/>
        <v/>
      </c>
      <c r="Y168" s="576" t="str">
        <f t="shared" si="67"/>
        <v/>
      </c>
      <c r="AA168" s="576" t="str">
        <f t="shared" si="76"/>
        <v/>
      </c>
      <c r="AC168" s="576" t="str">
        <f t="shared" si="68"/>
        <v/>
      </c>
      <c r="AE168" s="576" t="str">
        <f t="shared" si="69"/>
        <v/>
      </c>
      <c r="AG168" s="576" t="str">
        <f t="shared" si="70"/>
        <v/>
      </c>
      <c r="AI168" s="576" t="str">
        <f t="shared" si="71"/>
        <v/>
      </c>
      <c r="AK168" s="576" t="str">
        <f t="shared" si="72"/>
        <v/>
      </c>
      <c r="AM168" s="576" t="str">
        <f t="shared" si="73"/>
        <v/>
      </c>
      <c r="AO168" s="576" t="str">
        <f t="shared" si="74"/>
        <v/>
      </c>
      <c r="AQ168" s="576" t="str">
        <f t="shared" si="75"/>
        <v/>
      </c>
    </row>
    <row r="169" spans="5:43" x14ac:dyDescent="0.2">
      <c r="E169" s="576" t="str">
        <f t="shared" si="81"/>
        <v/>
      </c>
      <c r="G169" s="576" t="str">
        <f t="shared" si="77"/>
        <v/>
      </c>
      <c r="I169" s="576" t="str">
        <f t="shared" si="78"/>
        <v/>
      </c>
      <c r="K169" s="576" t="str">
        <f t="shared" si="79"/>
        <v/>
      </c>
      <c r="M169" s="576" t="str">
        <f t="shared" si="80"/>
        <v/>
      </c>
      <c r="O169" s="576" t="str">
        <f t="shared" si="82"/>
        <v/>
      </c>
      <c r="Q169" s="576" t="str">
        <f t="shared" si="63"/>
        <v/>
      </c>
      <c r="S169" s="576" t="str">
        <f t="shared" si="64"/>
        <v/>
      </c>
      <c r="U169" s="576" t="str">
        <f t="shared" si="65"/>
        <v/>
      </c>
      <c r="W169" s="576" t="str">
        <f t="shared" si="66"/>
        <v/>
      </c>
      <c r="Y169" s="576" t="str">
        <f t="shared" si="67"/>
        <v/>
      </c>
      <c r="AA169" s="576" t="str">
        <f t="shared" si="76"/>
        <v/>
      </c>
      <c r="AC169" s="576" t="str">
        <f t="shared" si="68"/>
        <v/>
      </c>
      <c r="AE169" s="576" t="str">
        <f t="shared" si="69"/>
        <v/>
      </c>
      <c r="AG169" s="576" t="str">
        <f t="shared" si="70"/>
        <v/>
      </c>
      <c r="AI169" s="576" t="str">
        <f t="shared" si="71"/>
        <v/>
      </c>
      <c r="AK169" s="576" t="str">
        <f t="shared" si="72"/>
        <v/>
      </c>
      <c r="AM169" s="576" t="str">
        <f t="shared" si="73"/>
        <v/>
      </c>
      <c r="AO169" s="576" t="str">
        <f t="shared" si="74"/>
        <v/>
      </c>
      <c r="AQ169" s="576" t="str">
        <f t="shared" si="75"/>
        <v/>
      </c>
    </row>
    <row r="170" spans="5:43" x14ac:dyDescent="0.2">
      <c r="E170" s="576" t="str">
        <f t="shared" si="81"/>
        <v/>
      </c>
      <c r="G170" s="576" t="str">
        <f t="shared" si="77"/>
        <v/>
      </c>
      <c r="I170" s="576" t="str">
        <f t="shared" si="78"/>
        <v/>
      </c>
      <c r="K170" s="576" t="str">
        <f t="shared" si="79"/>
        <v/>
      </c>
      <c r="M170" s="576" t="str">
        <f t="shared" si="80"/>
        <v/>
      </c>
      <c r="O170" s="576" t="str">
        <f t="shared" si="82"/>
        <v/>
      </c>
      <c r="Q170" s="576" t="str">
        <f t="shared" si="63"/>
        <v/>
      </c>
      <c r="S170" s="576" t="str">
        <f t="shared" si="64"/>
        <v/>
      </c>
      <c r="U170" s="576" t="str">
        <f t="shared" si="65"/>
        <v/>
      </c>
      <c r="W170" s="576" t="str">
        <f t="shared" si="66"/>
        <v/>
      </c>
      <c r="Y170" s="576" t="str">
        <f t="shared" si="67"/>
        <v/>
      </c>
      <c r="AA170" s="576" t="str">
        <f t="shared" si="76"/>
        <v/>
      </c>
      <c r="AC170" s="576" t="str">
        <f t="shared" si="68"/>
        <v/>
      </c>
      <c r="AE170" s="576" t="str">
        <f t="shared" si="69"/>
        <v/>
      </c>
      <c r="AG170" s="576" t="str">
        <f t="shared" si="70"/>
        <v/>
      </c>
      <c r="AI170" s="576" t="str">
        <f t="shared" si="71"/>
        <v/>
      </c>
      <c r="AK170" s="576" t="str">
        <f t="shared" si="72"/>
        <v/>
      </c>
      <c r="AM170" s="576" t="str">
        <f t="shared" si="73"/>
        <v/>
      </c>
      <c r="AO170" s="576" t="str">
        <f t="shared" si="74"/>
        <v/>
      </c>
      <c r="AQ170" s="576" t="str">
        <f t="shared" si="75"/>
        <v/>
      </c>
    </row>
    <row r="171" spans="5:43" x14ac:dyDescent="0.2">
      <c r="E171" s="576" t="str">
        <f t="shared" si="81"/>
        <v/>
      </c>
      <c r="G171" s="576" t="str">
        <f t="shared" si="77"/>
        <v/>
      </c>
      <c r="I171" s="576" t="str">
        <f t="shared" si="78"/>
        <v/>
      </c>
      <c r="K171" s="576" t="str">
        <f t="shared" si="79"/>
        <v/>
      </c>
      <c r="M171" s="576" t="str">
        <f t="shared" si="80"/>
        <v/>
      </c>
      <c r="O171" s="576" t="str">
        <f t="shared" si="82"/>
        <v/>
      </c>
      <c r="Q171" s="576" t="str">
        <f t="shared" si="63"/>
        <v/>
      </c>
      <c r="S171" s="576" t="str">
        <f t="shared" si="64"/>
        <v/>
      </c>
      <c r="U171" s="576" t="str">
        <f t="shared" si="65"/>
        <v/>
      </c>
      <c r="W171" s="576" t="str">
        <f t="shared" si="66"/>
        <v/>
      </c>
      <c r="Y171" s="576" t="str">
        <f t="shared" si="67"/>
        <v/>
      </c>
      <c r="AA171" s="576" t="str">
        <f t="shared" si="76"/>
        <v/>
      </c>
      <c r="AC171" s="576" t="str">
        <f t="shared" si="68"/>
        <v/>
      </c>
      <c r="AE171" s="576" t="str">
        <f t="shared" si="69"/>
        <v/>
      </c>
      <c r="AG171" s="576" t="str">
        <f t="shared" si="70"/>
        <v/>
      </c>
      <c r="AI171" s="576" t="str">
        <f t="shared" si="71"/>
        <v/>
      </c>
      <c r="AK171" s="576" t="str">
        <f t="shared" si="72"/>
        <v/>
      </c>
      <c r="AM171" s="576" t="str">
        <f t="shared" si="73"/>
        <v/>
      </c>
      <c r="AO171" s="576" t="str">
        <f t="shared" si="74"/>
        <v/>
      </c>
      <c r="AQ171" s="576" t="str">
        <f t="shared" si="75"/>
        <v/>
      </c>
    </row>
    <row r="172" spans="5:43" x14ac:dyDescent="0.2">
      <c r="E172" s="576" t="str">
        <f t="shared" si="81"/>
        <v/>
      </c>
      <c r="G172" s="576" t="str">
        <f t="shared" si="77"/>
        <v/>
      </c>
      <c r="I172" s="576" t="str">
        <f t="shared" si="78"/>
        <v/>
      </c>
      <c r="K172" s="576" t="str">
        <f t="shared" si="79"/>
        <v/>
      </c>
      <c r="M172" s="576" t="str">
        <f t="shared" si="80"/>
        <v/>
      </c>
      <c r="O172" s="576" t="str">
        <f t="shared" si="82"/>
        <v/>
      </c>
      <c r="Q172" s="576" t="str">
        <f t="shared" si="63"/>
        <v/>
      </c>
      <c r="S172" s="576" t="str">
        <f t="shared" si="64"/>
        <v/>
      </c>
      <c r="U172" s="576" t="str">
        <f t="shared" si="65"/>
        <v/>
      </c>
      <c r="W172" s="576" t="str">
        <f t="shared" si="66"/>
        <v/>
      </c>
      <c r="Y172" s="576" t="str">
        <f t="shared" si="67"/>
        <v/>
      </c>
      <c r="AA172" s="576" t="str">
        <f t="shared" si="76"/>
        <v/>
      </c>
      <c r="AC172" s="576" t="str">
        <f t="shared" si="68"/>
        <v/>
      </c>
      <c r="AE172" s="576" t="str">
        <f t="shared" si="69"/>
        <v/>
      </c>
      <c r="AG172" s="576" t="str">
        <f t="shared" si="70"/>
        <v/>
      </c>
      <c r="AI172" s="576" t="str">
        <f t="shared" si="71"/>
        <v/>
      </c>
      <c r="AK172" s="576" t="str">
        <f t="shared" si="72"/>
        <v/>
      </c>
      <c r="AM172" s="576" t="str">
        <f t="shared" si="73"/>
        <v/>
      </c>
      <c r="AO172" s="576" t="str">
        <f t="shared" si="74"/>
        <v/>
      </c>
      <c r="AQ172" s="576" t="str">
        <f t="shared" si="75"/>
        <v/>
      </c>
    </row>
    <row r="173" spans="5:43" x14ac:dyDescent="0.2">
      <c r="E173" s="576" t="str">
        <f t="shared" si="81"/>
        <v/>
      </c>
      <c r="G173" s="576" t="str">
        <f t="shared" si="77"/>
        <v/>
      </c>
      <c r="I173" s="576" t="str">
        <f t="shared" si="78"/>
        <v/>
      </c>
      <c r="K173" s="576" t="str">
        <f t="shared" si="79"/>
        <v/>
      </c>
      <c r="M173" s="576" t="str">
        <f t="shared" si="80"/>
        <v/>
      </c>
      <c r="O173" s="576" t="str">
        <f t="shared" si="82"/>
        <v/>
      </c>
      <c r="Q173" s="576" t="str">
        <f t="shared" si="63"/>
        <v/>
      </c>
      <c r="S173" s="576" t="str">
        <f t="shared" si="64"/>
        <v/>
      </c>
      <c r="U173" s="576" t="str">
        <f t="shared" si="65"/>
        <v/>
      </c>
      <c r="W173" s="576" t="str">
        <f t="shared" si="66"/>
        <v/>
      </c>
      <c r="Y173" s="576" t="str">
        <f t="shared" si="67"/>
        <v/>
      </c>
      <c r="AA173" s="576" t="str">
        <f t="shared" si="76"/>
        <v/>
      </c>
      <c r="AC173" s="576" t="str">
        <f t="shared" si="68"/>
        <v/>
      </c>
      <c r="AE173" s="576" t="str">
        <f t="shared" si="69"/>
        <v/>
      </c>
      <c r="AG173" s="576" t="str">
        <f t="shared" si="70"/>
        <v/>
      </c>
      <c r="AI173" s="576" t="str">
        <f t="shared" si="71"/>
        <v/>
      </c>
      <c r="AK173" s="576" t="str">
        <f t="shared" si="72"/>
        <v/>
      </c>
      <c r="AM173" s="576" t="str">
        <f t="shared" si="73"/>
        <v/>
      </c>
      <c r="AO173" s="576" t="str">
        <f t="shared" si="74"/>
        <v/>
      </c>
      <c r="AQ173" s="576" t="str">
        <f t="shared" si="75"/>
        <v/>
      </c>
    </row>
    <row r="174" spans="5:43" x14ac:dyDescent="0.2">
      <c r="E174" s="576" t="str">
        <f t="shared" si="81"/>
        <v/>
      </c>
      <c r="G174" s="576" t="str">
        <f t="shared" si="77"/>
        <v/>
      </c>
      <c r="I174" s="576" t="str">
        <f t="shared" si="78"/>
        <v/>
      </c>
      <c r="K174" s="576" t="str">
        <f t="shared" si="79"/>
        <v/>
      </c>
      <c r="M174" s="576" t="str">
        <f t="shared" si="80"/>
        <v/>
      </c>
      <c r="O174" s="576" t="str">
        <f t="shared" si="82"/>
        <v/>
      </c>
      <c r="Q174" s="576" t="str">
        <f t="shared" si="63"/>
        <v/>
      </c>
      <c r="S174" s="576" t="str">
        <f t="shared" si="64"/>
        <v/>
      </c>
      <c r="U174" s="576" t="str">
        <f t="shared" si="65"/>
        <v/>
      </c>
      <c r="W174" s="576" t="str">
        <f t="shared" si="66"/>
        <v/>
      </c>
      <c r="Y174" s="576" t="str">
        <f t="shared" si="67"/>
        <v/>
      </c>
      <c r="AA174" s="576" t="str">
        <f t="shared" si="76"/>
        <v/>
      </c>
      <c r="AC174" s="576" t="str">
        <f t="shared" si="68"/>
        <v/>
      </c>
      <c r="AE174" s="576" t="str">
        <f t="shared" si="69"/>
        <v/>
      </c>
      <c r="AG174" s="576" t="str">
        <f t="shared" si="70"/>
        <v/>
      </c>
      <c r="AI174" s="576" t="str">
        <f t="shared" si="71"/>
        <v/>
      </c>
      <c r="AK174" s="576" t="str">
        <f t="shared" si="72"/>
        <v/>
      </c>
      <c r="AM174" s="576" t="str">
        <f t="shared" si="73"/>
        <v/>
      </c>
      <c r="AO174" s="576" t="str">
        <f t="shared" si="74"/>
        <v/>
      </c>
      <c r="AQ174" s="576" t="str">
        <f t="shared" si="75"/>
        <v/>
      </c>
    </row>
    <row r="175" spans="5:43" x14ac:dyDescent="0.2">
      <c r="E175" s="576" t="str">
        <f t="shared" si="81"/>
        <v/>
      </c>
      <c r="G175" s="576" t="str">
        <f t="shared" si="77"/>
        <v/>
      </c>
      <c r="I175" s="576" t="str">
        <f t="shared" si="78"/>
        <v/>
      </c>
      <c r="K175" s="576" t="str">
        <f t="shared" si="79"/>
        <v/>
      </c>
      <c r="M175" s="576" t="str">
        <f t="shared" si="80"/>
        <v/>
      </c>
      <c r="O175" s="576" t="str">
        <f t="shared" si="82"/>
        <v/>
      </c>
      <c r="Q175" s="576" t="str">
        <f t="shared" si="63"/>
        <v/>
      </c>
      <c r="S175" s="576" t="str">
        <f t="shared" si="64"/>
        <v/>
      </c>
      <c r="U175" s="576" t="str">
        <f t="shared" si="65"/>
        <v/>
      </c>
      <c r="W175" s="576" t="str">
        <f t="shared" si="66"/>
        <v/>
      </c>
      <c r="Y175" s="576" t="str">
        <f t="shared" si="67"/>
        <v/>
      </c>
      <c r="AA175" s="576" t="str">
        <f t="shared" si="76"/>
        <v/>
      </c>
      <c r="AC175" s="576" t="str">
        <f t="shared" si="68"/>
        <v/>
      </c>
      <c r="AE175" s="576" t="str">
        <f t="shared" si="69"/>
        <v/>
      </c>
      <c r="AG175" s="576" t="str">
        <f t="shared" si="70"/>
        <v/>
      </c>
      <c r="AI175" s="576" t="str">
        <f t="shared" si="71"/>
        <v/>
      </c>
      <c r="AK175" s="576" t="str">
        <f t="shared" si="72"/>
        <v/>
      </c>
      <c r="AM175" s="576" t="str">
        <f t="shared" si="73"/>
        <v/>
      </c>
      <c r="AO175" s="576" t="str">
        <f t="shared" si="74"/>
        <v/>
      </c>
      <c r="AQ175" s="576" t="str">
        <f t="shared" si="75"/>
        <v/>
      </c>
    </row>
    <row r="176" spans="5:43" x14ac:dyDescent="0.2">
      <c r="E176" s="576" t="str">
        <f t="shared" si="81"/>
        <v/>
      </c>
      <c r="G176" s="576" t="str">
        <f t="shared" si="77"/>
        <v/>
      </c>
      <c r="I176" s="576" t="str">
        <f t="shared" si="78"/>
        <v/>
      </c>
      <c r="K176" s="576" t="str">
        <f t="shared" si="79"/>
        <v/>
      </c>
      <c r="M176" s="576" t="str">
        <f t="shared" si="80"/>
        <v/>
      </c>
      <c r="O176" s="576" t="str">
        <f t="shared" si="82"/>
        <v/>
      </c>
      <c r="Q176" s="576" t="str">
        <f t="shared" si="63"/>
        <v/>
      </c>
      <c r="S176" s="576" t="str">
        <f t="shared" si="64"/>
        <v/>
      </c>
      <c r="U176" s="576" t="str">
        <f t="shared" si="65"/>
        <v/>
      </c>
      <c r="W176" s="576" t="str">
        <f t="shared" si="66"/>
        <v/>
      </c>
      <c r="Y176" s="576" t="str">
        <f t="shared" si="67"/>
        <v/>
      </c>
      <c r="AA176" s="576" t="str">
        <f t="shared" si="76"/>
        <v/>
      </c>
      <c r="AC176" s="576" t="str">
        <f t="shared" si="68"/>
        <v/>
      </c>
      <c r="AE176" s="576" t="str">
        <f t="shared" si="69"/>
        <v/>
      </c>
      <c r="AG176" s="576" t="str">
        <f t="shared" si="70"/>
        <v/>
      </c>
      <c r="AI176" s="576" t="str">
        <f t="shared" si="71"/>
        <v/>
      </c>
      <c r="AK176" s="576" t="str">
        <f t="shared" si="72"/>
        <v/>
      </c>
      <c r="AM176" s="576" t="str">
        <f t="shared" si="73"/>
        <v/>
      </c>
      <c r="AO176" s="576" t="str">
        <f t="shared" si="74"/>
        <v/>
      </c>
      <c r="AQ176" s="576" t="str">
        <f t="shared" si="75"/>
        <v/>
      </c>
    </row>
    <row r="177" spans="5:43" x14ac:dyDescent="0.2">
      <c r="E177" s="576" t="str">
        <f t="shared" si="81"/>
        <v/>
      </c>
      <c r="G177" s="576" t="str">
        <f t="shared" si="77"/>
        <v/>
      </c>
      <c r="I177" s="576" t="str">
        <f t="shared" si="78"/>
        <v/>
      </c>
      <c r="K177" s="576" t="str">
        <f t="shared" si="79"/>
        <v/>
      </c>
      <c r="M177" s="576" t="str">
        <f t="shared" si="80"/>
        <v/>
      </c>
      <c r="O177" s="576" t="str">
        <f t="shared" si="82"/>
        <v/>
      </c>
      <c r="Q177" s="576" t="str">
        <f t="shared" si="63"/>
        <v/>
      </c>
      <c r="S177" s="576" t="str">
        <f t="shared" si="64"/>
        <v/>
      </c>
      <c r="U177" s="576" t="str">
        <f t="shared" si="65"/>
        <v/>
      </c>
      <c r="W177" s="576" t="str">
        <f t="shared" si="66"/>
        <v/>
      </c>
      <c r="Y177" s="576" t="str">
        <f t="shared" si="67"/>
        <v/>
      </c>
      <c r="AA177" s="576" t="str">
        <f t="shared" si="76"/>
        <v/>
      </c>
      <c r="AC177" s="576" t="str">
        <f t="shared" si="68"/>
        <v/>
      </c>
      <c r="AE177" s="576" t="str">
        <f t="shared" si="69"/>
        <v/>
      </c>
      <c r="AG177" s="576" t="str">
        <f t="shared" si="70"/>
        <v/>
      </c>
      <c r="AI177" s="576" t="str">
        <f t="shared" si="71"/>
        <v/>
      </c>
      <c r="AK177" s="576" t="str">
        <f t="shared" si="72"/>
        <v/>
      </c>
      <c r="AM177" s="576" t="str">
        <f t="shared" si="73"/>
        <v/>
      </c>
      <c r="AO177" s="576" t="str">
        <f t="shared" si="74"/>
        <v/>
      </c>
      <c r="AQ177" s="576" t="str">
        <f t="shared" si="75"/>
        <v/>
      </c>
    </row>
    <row r="178" spans="5:43" x14ac:dyDescent="0.2">
      <c r="E178" s="576" t="str">
        <f t="shared" si="81"/>
        <v/>
      </c>
      <c r="G178" s="576" t="str">
        <f t="shared" si="77"/>
        <v/>
      </c>
      <c r="I178" s="576" t="str">
        <f t="shared" si="78"/>
        <v/>
      </c>
      <c r="K178" s="576" t="str">
        <f t="shared" si="79"/>
        <v/>
      </c>
      <c r="M178" s="576" t="str">
        <f t="shared" si="80"/>
        <v/>
      </c>
      <c r="O178" s="576" t="str">
        <f t="shared" si="82"/>
        <v/>
      </c>
      <c r="Q178" s="576" t="str">
        <f t="shared" si="63"/>
        <v/>
      </c>
      <c r="S178" s="576" t="str">
        <f t="shared" si="64"/>
        <v/>
      </c>
      <c r="U178" s="576" t="str">
        <f t="shared" si="65"/>
        <v/>
      </c>
      <c r="W178" s="576" t="str">
        <f t="shared" si="66"/>
        <v/>
      </c>
      <c r="Y178" s="576" t="str">
        <f t="shared" si="67"/>
        <v/>
      </c>
      <c r="AA178" s="576" t="str">
        <f t="shared" si="76"/>
        <v/>
      </c>
      <c r="AC178" s="576" t="str">
        <f t="shared" si="68"/>
        <v/>
      </c>
      <c r="AE178" s="576" t="str">
        <f t="shared" si="69"/>
        <v/>
      </c>
      <c r="AG178" s="576" t="str">
        <f t="shared" si="70"/>
        <v/>
      </c>
      <c r="AI178" s="576" t="str">
        <f t="shared" si="71"/>
        <v/>
      </c>
      <c r="AK178" s="576" t="str">
        <f t="shared" si="72"/>
        <v/>
      </c>
      <c r="AM178" s="576" t="str">
        <f t="shared" si="73"/>
        <v/>
      </c>
      <c r="AO178" s="576" t="str">
        <f t="shared" si="74"/>
        <v/>
      </c>
      <c r="AQ178" s="576" t="str">
        <f t="shared" si="75"/>
        <v/>
      </c>
    </row>
    <row r="179" spans="5:43" x14ac:dyDescent="0.2">
      <c r="E179" s="576" t="str">
        <f t="shared" si="81"/>
        <v/>
      </c>
      <c r="G179" s="576" t="str">
        <f t="shared" si="77"/>
        <v/>
      </c>
      <c r="I179" s="576" t="str">
        <f t="shared" si="78"/>
        <v/>
      </c>
      <c r="K179" s="576" t="str">
        <f t="shared" si="79"/>
        <v/>
      </c>
      <c r="M179" s="576" t="str">
        <f t="shared" si="80"/>
        <v/>
      </c>
      <c r="O179" s="576" t="str">
        <f t="shared" si="82"/>
        <v/>
      </c>
      <c r="Q179" s="576" t="str">
        <f t="shared" si="63"/>
        <v/>
      </c>
      <c r="S179" s="576" t="str">
        <f t="shared" si="64"/>
        <v/>
      </c>
      <c r="U179" s="576" t="str">
        <f t="shared" si="65"/>
        <v/>
      </c>
      <c r="W179" s="576" t="str">
        <f t="shared" si="66"/>
        <v/>
      </c>
      <c r="Y179" s="576" t="str">
        <f t="shared" si="67"/>
        <v/>
      </c>
      <c r="AA179" s="576" t="str">
        <f t="shared" si="76"/>
        <v/>
      </c>
      <c r="AC179" s="576" t="str">
        <f t="shared" si="68"/>
        <v/>
      </c>
      <c r="AE179" s="576" t="str">
        <f t="shared" si="69"/>
        <v/>
      </c>
      <c r="AG179" s="576" t="str">
        <f t="shared" si="70"/>
        <v/>
      </c>
      <c r="AI179" s="576" t="str">
        <f t="shared" si="71"/>
        <v/>
      </c>
      <c r="AK179" s="576" t="str">
        <f t="shared" si="72"/>
        <v/>
      </c>
      <c r="AM179" s="576" t="str">
        <f t="shared" si="73"/>
        <v/>
      </c>
      <c r="AO179" s="576" t="str">
        <f t="shared" si="74"/>
        <v/>
      </c>
      <c r="AQ179" s="576" t="str">
        <f t="shared" si="75"/>
        <v/>
      </c>
    </row>
    <row r="180" spans="5:43" x14ac:dyDescent="0.2">
      <c r="E180" s="576" t="str">
        <f t="shared" si="81"/>
        <v/>
      </c>
      <c r="G180" s="576" t="str">
        <f t="shared" si="77"/>
        <v/>
      </c>
      <c r="I180" s="576" t="str">
        <f t="shared" si="78"/>
        <v/>
      </c>
      <c r="K180" s="576" t="str">
        <f t="shared" si="79"/>
        <v/>
      </c>
      <c r="M180" s="576" t="str">
        <f t="shared" si="80"/>
        <v/>
      </c>
      <c r="O180" s="576" t="str">
        <f t="shared" si="82"/>
        <v/>
      </c>
      <c r="Q180" s="576" t="str">
        <f t="shared" si="63"/>
        <v/>
      </c>
      <c r="S180" s="576" t="str">
        <f t="shared" si="64"/>
        <v/>
      </c>
      <c r="U180" s="576" t="str">
        <f t="shared" si="65"/>
        <v/>
      </c>
      <c r="W180" s="576" t="str">
        <f t="shared" si="66"/>
        <v/>
      </c>
      <c r="Y180" s="576" t="str">
        <f t="shared" si="67"/>
        <v/>
      </c>
      <c r="AA180" s="576" t="str">
        <f t="shared" si="76"/>
        <v/>
      </c>
      <c r="AC180" s="576" t="str">
        <f t="shared" si="68"/>
        <v/>
      </c>
      <c r="AE180" s="576" t="str">
        <f t="shared" si="69"/>
        <v/>
      </c>
      <c r="AG180" s="576" t="str">
        <f t="shared" si="70"/>
        <v/>
      </c>
      <c r="AI180" s="576" t="str">
        <f t="shared" si="71"/>
        <v/>
      </c>
      <c r="AK180" s="576" t="str">
        <f t="shared" si="72"/>
        <v/>
      </c>
      <c r="AM180" s="576" t="str">
        <f t="shared" si="73"/>
        <v/>
      </c>
      <c r="AO180" s="576" t="str">
        <f t="shared" si="74"/>
        <v/>
      </c>
      <c r="AQ180" s="576" t="str">
        <f t="shared" si="75"/>
        <v/>
      </c>
    </row>
    <row r="181" spans="5:43" x14ac:dyDescent="0.2">
      <c r="E181" s="576" t="str">
        <f t="shared" si="81"/>
        <v/>
      </c>
      <c r="G181" s="576" t="str">
        <f t="shared" si="77"/>
        <v/>
      </c>
      <c r="I181" s="576" t="str">
        <f t="shared" si="78"/>
        <v/>
      </c>
      <c r="K181" s="576" t="str">
        <f t="shared" si="79"/>
        <v/>
      </c>
      <c r="M181" s="576" t="str">
        <f t="shared" si="80"/>
        <v/>
      </c>
      <c r="O181" s="576" t="str">
        <f t="shared" si="82"/>
        <v/>
      </c>
      <c r="Q181" s="576" t="str">
        <f t="shared" si="63"/>
        <v/>
      </c>
      <c r="S181" s="576" t="str">
        <f t="shared" si="64"/>
        <v/>
      </c>
      <c r="U181" s="576" t="str">
        <f t="shared" si="65"/>
        <v/>
      </c>
      <c r="W181" s="576" t="str">
        <f t="shared" si="66"/>
        <v/>
      </c>
      <c r="Y181" s="576" t="str">
        <f t="shared" si="67"/>
        <v/>
      </c>
      <c r="AA181" s="576" t="str">
        <f t="shared" si="76"/>
        <v/>
      </c>
      <c r="AC181" s="576" t="str">
        <f t="shared" si="68"/>
        <v/>
      </c>
      <c r="AE181" s="576" t="str">
        <f t="shared" si="69"/>
        <v/>
      </c>
      <c r="AG181" s="576" t="str">
        <f t="shared" si="70"/>
        <v/>
      </c>
      <c r="AI181" s="576" t="str">
        <f t="shared" si="71"/>
        <v/>
      </c>
      <c r="AK181" s="576" t="str">
        <f t="shared" si="72"/>
        <v/>
      </c>
      <c r="AM181" s="576" t="str">
        <f t="shared" si="73"/>
        <v/>
      </c>
      <c r="AO181" s="576" t="str">
        <f t="shared" si="74"/>
        <v/>
      </c>
      <c r="AQ181" s="576" t="str">
        <f t="shared" si="75"/>
        <v/>
      </c>
    </row>
    <row r="182" spans="5:43" x14ac:dyDescent="0.2">
      <c r="E182" s="576" t="str">
        <f t="shared" si="81"/>
        <v/>
      </c>
      <c r="G182" s="576" t="str">
        <f t="shared" si="77"/>
        <v/>
      </c>
      <c r="I182" s="576" t="str">
        <f t="shared" si="78"/>
        <v/>
      </c>
      <c r="K182" s="576" t="str">
        <f t="shared" si="79"/>
        <v/>
      </c>
      <c r="M182" s="576" t="str">
        <f t="shared" si="80"/>
        <v/>
      </c>
      <c r="O182" s="576" t="str">
        <f t="shared" si="82"/>
        <v/>
      </c>
      <c r="Q182" s="576" t="str">
        <f t="shared" si="63"/>
        <v/>
      </c>
      <c r="S182" s="576" t="str">
        <f t="shared" si="64"/>
        <v/>
      </c>
      <c r="U182" s="576" t="str">
        <f t="shared" si="65"/>
        <v/>
      </c>
      <c r="W182" s="576" t="str">
        <f t="shared" si="66"/>
        <v/>
      </c>
      <c r="Y182" s="576" t="str">
        <f t="shared" si="67"/>
        <v/>
      </c>
      <c r="AA182" s="576" t="str">
        <f t="shared" si="76"/>
        <v/>
      </c>
      <c r="AC182" s="576" t="str">
        <f t="shared" si="68"/>
        <v/>
      </c>
      <c r="AE182" s="576" t="str">
        <f t="shared" si="69"/>
        <v/>
      </c>
      <c r="AG182" s="576" t="str">
        <f t="shared" si="70"/>
        <v/>
      </c>
      <c r="AI182" s="576" t="str">
        <f t="shared" si="71"/>
        <v/>
      </c>
      <c r="AK182" s="576" t="str">
        <f t="shared" si="72"/>
        <v/>
      </c>
      <c r="AM182" s="576" t="str">
        <f t="shared" si="73"/>
        <v/>
      </c>
      <c r="AO182" s="576" t="str">
        <f t="shared" si="74"/>
        <v/>
      </c>
      <c r="AQ182" s="576" t="str">
        <f t="shared" si="75"/>
        <v/>
      </c>
    </row>
    <row r="183" spans="5:43" x14ac:dyDescent="0.2">
      <c r="E183" s="576" t="str">
        <f t="shared" si="81"/>
        <v/>
      </c>
      <c r="G183" s="576" t="str">
        <f t="shared" si="77"/>
        <v/>
      </c>
      <c r="I183" s="576" t="str">
        <f t="shared" si="78"/>
        <v/>
      </c>
      <c r="K183" s="576" t="str">
        <f t="shared" si="79"/>
        <v/>
      </c>
      <c r="M183" s="576" t="str">
        <f t="shared" si="80"/>
        <v/>
      </c>
      <c r="O183" s="576" t="str">
        <f t="shared" si="82"/>
        <v/>
      </c>
      <c r="Q183" s="576" t="str">
        <f t="shared" si="63"/>
        <v/>
      </c>
      <c r="S183" s="576" t="str">
        <f t="shared" si="64"/>
        <v/>
      </c>
      <c r="U183" s="576" t="str">
        <f t="shared" si="65"/>
        <v/>
      </c>
      <c r="W183" s="576" t="str">
        <f t="shared" si="66"/>
        <v/>
      </c>
      <c r="Y183" s="576" t="str">
        <f t="shared" si="67"/>
        <v/>
      </c>
      <c r="AA183" s="576" t="str">
        <f t="shared" si="76"/>
        <v/>
      </c>
      <c r="AC183" s="576" t="str">
        <f t="shared" si="68"/>
        <v/>
      </c>
      <c r="AE183" s="576" t="str">
        <f t="shared" si="69"/>
        <v/>
      </c>
      <c r="AG183" s="576" t="str">
        <f t="shared" si="70"/>
        <v/>
      </c>
      <c r="AI183" s="576" t="str">
        <f t="shared" si="71"/>
        <v/>
      </c>
      <c r="AK183" s="576" t="str">
        <f t="shared" si="72"/>
        <v/>
      </c>
      <c r="AM183" s="576" t="str">
        <f t="shared" si="73"/>
        <v/>
      </c>
      <c r="AO183" s="576" t="str">
        <f t="shared" si="74"/>
        <v/>
      </c>
      <c r="AQ183" s="576" t="str">
        <f t="shared" si="75"/>
        <v/>
      </c>
    </row>
    <row r="184" spans="5:43" x14ac:dyDescent="0.2">
      <c r="E184" s="576" t="str">
        <f t="shared" si="81"/>
        <v/>
      </c>
      <c r="G184" s="576" t="str">
        <f t="shared" si="77"/>
        <v/>
      </c>
      <c r="I184" s="576" t="str">
        <f t="shared" si="78"/>
        <v/>
      </c>
      <c r="K184" s="576" t="str">
        <f t="shared" si="79"/>
        <v/>
      </c>
      <c r="M184" s="576" t="str">
        <f t="shared" si="80"/>
        <v/>
      </c>
      <c r="O184" s="576" t="str">
        <f t="shared" si="82"/>
        <v/>
      </c>
      <c r="Q184" s="576" t="str">
        <f t="shared" si="63"/>
        <v/>
      </c>
      <c r="S184" s="576" t="str">
        <f t="shared" si="64"/>
        <v/>
      </c>
      <c r="U184" s="576" t="str">
        <f t="shared" si="65"/>
        <v/>
      </c>
      <c r="W184" s="576" t="str">
        <f t="shared" si="66"/>
        <v/>
      </c>
      <c r="Y184" s="576" t="str">
        <f t="shared" si="67"/>
        <v/>
      </c>
      <c r="AA184" s="576" t="str">
        <f t="shared" si="76"/>
        <v/>
      </c>
      <c r="AC184" s="576" t="str">
        <f t="shared" si="68"/>
        <v/>
      </c>
      <c r="AE184" s="576" t="str">
        <f t="shared" si="69"/>
        <v/>
      </c>
      <c r="AG184" s="576" t="str">
        <f t="shared" si="70"/>
        <v/>
      </c>
      <c r="AI184" s="576" t="str">
        <f t="shared" si="71"/>
        <v/>
      </c>
      <c r="AK184" s="576" t="str">
        <f t="shared" si="72"/>
        <v/>
      </c>
      <c r="AM184" s="576" t="str">
        <f t="shared" si="73"/>
        <v/>
      </c>
      <c r="AO184" s="576" t="str">
        <f t="shared" si="74"/>
        <v/>
      </c>
      <c r="AQ184" s="576" t="str">
        <f t="shared" si="75"/>
        <v/>
      </c>
    </row>
    <row r="185" spans="5:43" x14ac:dyDescent="0.2">
      <c r="E185" s="576" t="str">
        <f t="shared" si="81"/>
        <v/>
      </c>
      <c r="G185" s="576" t="str">
        <f t="shared" si="77"/>
        <v/>
      </c>
      <c r="I185" s="576" t="str">
        <f t="shared" si="78"/>
        <v/>
      </c>
      <c r="K185" s="576" t="str">
        <f t="shared" si="79"/>
        <v/>
      </c>
      <c r="M185" s="576" t="str">
        <f t="shared" si="80"/>
        <v/>
      </c>
      <c r="O185" s="576" t="str">
        <f t="shared" si="82"/>
        <v/>
      </c>
      <c r="Q185" s="576" t="str">
        <f t="shared" si="63"/>
        <v/>
      </c>
      <c r="S185" s="576" t="str">
        <f t="shared" si="64"/>
        <v/>
      </c>
      <c r="U185" s="576" t="str">
        <f t="shared" si="65"/>
        <v/>
      </c>
      <c r="W185" s="576" t="str">
        <f t="shared" si="66"/>
        <v/>
      </c>
      <c r="Y185" s="576" t="str">
        <f t="shared" si="67"/>
        <v/>
      </c>
      <c r="AA185" s="576" t="str">
        <f t="shared" si="76"/>
        <v/>
      </c>
      <c r="AC185" s="576" t="str">
        <f t="shared" si="68"/>
        <v/>
      </c>
      <c r="AE185" s="576" t="str">
        <f t="shared" si="69"/>
        <v/>
      </c>
      <c r="AG185" s="576" t="str">
        <f t="shared" si="70"/>
        <v/>
      </c>
      <c r="AI185" s="576" t="str">
        <f t="shared" si="71"/>
        <v/>
      </c>
      <c r="AK185" s="576" t="str">
        <f t="shared" si="72"/>
        <v/>
      </c>
      <c r="AM185" s="576" t="str">
        <f t="shared" si="73"/>
        <v/>
      </c>
      <c r="AO185" s="576" t="str">
        <f t="shared" si="74"/>
        <v/>
      </c>
      <c r="AQ185" s="576" t="str">
        <f t="shared" si="75"/>
        <v/>
      </c>
    </row>
    <row r="186" spans="5:43" x14ac:dyDescent="0.2">
      <c r="E186" s="576" t="str">
        <f t="shared" si="81"/>
        <v/>
      </c>
      <c r="G186" s="576" t="str">
        <f t="shared" si="77"/>
        <v/>
      </c>
      <c r="I186" s="576" t="str">
        <f t="shared" si="78"/>
        <v/>
      </c>
      <c r="K186" s="576" t="str">
        <f t="shared" si="79"/>
        <v/>
      </c>
      <c r="M186" s="576" t="str">
        <f t="shared" si="80"/>
        <v/>
      </c>
      <c r="O186" s="576" t="str">
        <f t="shared" si="82"/>
        <v/>
      </c>
      <c r="Q186" s="576" t="str">
        <f t="shared" si="63"/>
        <v/>
      </c>
      <c r="S186" s="576" t="str">
        <f t="shared" si="64"/>
        <v/>
      </c>
      <c r="U186" s="576" t="str">
        <f t="shared" si="65"/>
        <v/>
      </c>
      <c r="W186" s="576" t="str">
        <f t="shared" si="66"/>
        <v/>
      </c>
      <c r="Y186" s="576" t="str">
        <f t="shared" si="67"/>
        <v/>
      </c>
      <c r="AA186" s="576" t="str">
        <f t="shared" si="76"/>
        <v/>
      </c>
      <c r="AC186" s="576" t="str">
        <f t="shared" si="68"/>
        <v/>
      </c>
      <c r="AE186" s="576" t="str">
        <f t="shared" si="69"/>
        <v/>
      </c>
      <c r="AG186" s="576" t="str">
        <f t="shared" si="70"/>
        <v/>
      </c>
      <c r="AI186" s="576" t="str">
        <f t="shared" si="71"/>
        <v/>
      </c>
      <c r="AK186" s="576" t="str">
        <f t="shared" si="72"/>
        <v/>
      </c>
      <c r="AM186" s="576" t="str">
        <f t="shared" si="73"/>
        <v/>
      </c>
      <c r="AO186" s="576" t="str">
        <f t="shared" si="74"/>
        <v/>
      </c>
      <c r="AQ186" s="576" t="str">
        <f t="shared" si="75"/>
        <v/>
      </c>
    </row>
    <row r="187" spans="5:43" x14ac:dyDescent="0.2">
      <c r="E187" s="576" t="str">
        <f t="shared" si="81"/>
        <v/>
      </c>
      <c r="G187" s="576" t="str">
        <f t="shared" si="77"/>
        <v/>
      </c>
      <c r="I187" s="576" t="str">
        <f t="shared" si="78"/>
        <v/>
      </c>
      <c r="K187" s="576" t="str">
        <f t="shared" si="79"/>
        <v/>
      </c>
      <c r="M187" s="576" t="str">
        <f t="shared" si="80"/>
        <v/>
      </c>
      <c r="O187" s="576" t="str">
        <f t="shared" si="82"/>
        <v/>
      </c>
      <c r="Q187" s="576" t="str">
        <f t="shared" si="63"/>
        <v/>
      </c>
      <c r="S187" s="576" t="str">
        <f t="shared" si="64"/>
        <v/>
      </c>
      <c r="U187" s="576" t="str">
        <f t="shared" si="65"/>
        <v/>
      </c>
      <c r="W187" s="576" t="str">
        <f t="shared" si="66"/>
        <v/>
      </c>
      <c r="Y187" s="576" t="str">
        <f t="shared" si="67"/>
        <v/>
      </c>
      <c r="AA187" s="576" t="str">
        <f t="shared" si="76"/>
        <v/>
      </c>
      <c r="AC187" s="576" t="str">
        <f t="shared" si="68"/>
        <v/>
      </c>
      <c r="AE187" s="576" t="str">
        <f t="shared" si="69"/>
        <v/>
      </c>
      <c r="AG187" s="576" t="str">
        <f t="shared" si="70"/>
        <v/>
      </c>
      <c r="AI187" s="576" t="str">
        <f t="shared" si="71"/>
        <v/>
      </c>
      <c r="AK187" s="576" t="str">
        <f t="shared" si="72"/>
        <v/>
      </c>
      <c r="AM187" s="576" t="str">
        <f t="shared" si="73"/>
        <v/>
      </c>
      <c r="AO187" s="576" t="str">
        <f t="shared" si="74"/>
        <v/>
      </c>
      <c r="AQ187" s="576" t="str">
        <f t="shared" si="75"/>
        <v/>
      </c>
    </row>
    <row r="188" spans="5:43" x14ac:dyDescent="0.2">
      <c r="E188" s="576" t="str">
        <f t="shared" si="81"/>
        <v/>
      </c>
      <c r="G188" s="576" t="str">
        <f t="shared" si="77"/>
        <v/>
      </c>
      <c r="I188" s="576" t="str">
        <f t="shared" si="78"/>
        <v/>
      </c>
      <c r="K188" s="576" t="str">
        <f t="shared" si="79"/>
        <v/>
      </c>
      <c r="M188" s="576" t="str">
        <f t="shared" si="80"/>
        <v/>
      </c>
      <c r="O188" s="576" t="str">
        <f t="shared" si="82"/>
        <v/>
      </c>
      <c r="Q188" s="576" t="str">
        <f t="shared" si="63"/>
        <v/>
      </c>
      <c r="S188" s="576" t="str">
        <f t="shared" si="64"/>
        <v/>
      </c>
      <c r="U188" s="576" t="str">
        <f t="shared" si="65"/>
        <v/>
      </c>
      <c r="W188" s="576" t="str">
        <f t="shared" si="66"/>
        <v/>
      </c>
      <c r="Y188" s="576" t="str">
        <f t="shared" si="67"/>
        <v/>
      </c>
      <c r="AA188" s="576" t="str">
        <f t="shared" si="76"/>
        <v/>
      </c>
      <c r="AC188" s="576" t="str">
        <f t="shared" si="68"/>
        <v/>
      </c>
      <c r="AE188" s="576" t="str">
        <f t="shared" si="69"/>
        <v/>
      </c>
      <c r="AG188" s="576" t="str">
        <f t="shared" si="70"/>
        <v/>
      </c>
      <c r="AI188" s="576" t="str">
        <f t="shared" si="71"/>
        <v/>
      </c>
      <c r="AK188" s="576" t="str">
        <f t="shared" si="72"/>
        <v/>
      </c>
      <c r="AM188" s="576" t="str">
        <f t="shared" si="73"/>
        <v/>
      </c>
      <c r="AO188" s="576" t="str">
        <f t="shared" si="74"/>
        <v/>
      </c>
      <c r="AQ188" s="576" t="str">
        <f t="shared" si="75"/>
        <v/>
      </c>
    </row>
    <row r="189" spans="5:43" x14ac:dyDescent="0.2">
      <c r="E189" s="576" t="str">
        <f t="shared" si="81"/>
        <v/>
      </c>
      <c r="G189" s="576" t="str">
        <f t="shared" si="77"/>
        <v/>
      </c>
      <c r="I189" s="576" t="str">
        <f t="shared" si="78"/>
        <v/>
      </c>
      <c r="K189" s="576" t="str">
        <f t="shared" si="79"/>
        <v/>
      </c>
      <c r="M189" s="576" t="str">
        <f t="shared" si="80"/>
        <v/>
      </c>
      <c r="O189" s="576" t="str">
        <f t="shared" si="82"/>
        <v/>
      </c>
      <c r="Q189" s="576" t="str">
        <f t="shared" si="63"/>
        <v/>
      </c>
      <c r="S189" s="576" t="str">
        <f t="shared" si="64"/>
        <v/>
      </c>
      <c r="U189" s="576" t="str">
        <f t="shared" si="65"/>
        <v/>
      </c>
      <c r="W189" s="576" t="str">
        <f t="shared" si="66"/>
        <v/>
      </c>
      <c r="Y189" s="576" t="str">
        <f t="shared" si="67"/>
        <v/>
      </c>
      <c r="AA189" s="576" t="str">
        <f t="shared" si="76"/>
        <v/>
      </c>
      <c r="AC189" s="576" t="str">
        <f t="shared" si="68"/>
        <v/>
      </c>
      <c r="AE189" s="576" t="str">
        <f t="shared" si="69"/>
        <v/>
      </c>
      <c r="AG189" s="576" t="str">
        <f t="shared" si="70"/>
        <v/>
      </c>
      <c r="AI189" s="576" t="str">
        <f t="shared" si="71"/>
        <v/>
      </c>
      <c r="AK189" s="576" t="str">
        <f t="shared" si="72"/>
        <v/>
      </c>
      <c r="AM189" s="576" t="str">
        <f t="shared" si="73"/>
        <v/>
      </c>
      <c r="AO189" s="576" t="str">
        <f t="shared" si="74"/>
        <v/>
      </c>
      <c r="AQ189" s="576" t="str">
        <f t="shared" si="75"/>
        <v/>
      </c>
    </row>
    <row r="190" spans="5:43" x14ac:dyDescent="0.2">
      <c r="E190" s="576" t="str">
        <f t="shared" si="81"/>
        <v/>
      </c>
      <c r="G190" s="576" t="str">
        <f t="shared" si="77"/>
        <v/>
      </c>
      <c r="I190" s="576" t="str">
        <f t="shared" si="78"/>
        <v/>
      </c>
      <c r="K190" s="576" t="str">
        <f t="shared" si="79"/>
        <v/>
      </c>
      <c r="M190" s="576" t="str">
        <f t="shared" si="80"/>
        <v/>
      </c>
      <c r="O190" s="576" t="str">
        <f t="shared" si="82"/>
        <v/>
      </c>
      <c r="Q190" s="576" t="str">
        <f t="shared" si="63"/>
        <v/>
      </c>
      <c r="S190" s="576" t="str">
        <f t="shared" si="64"/>
        <v/>
      </c>
      <c r="U190" s="576" t="str">
        <f t="shared" si="65"/>
        <v/>
      </c>
      <c r="W190" s="576" t="str">
        <f t="shared" si="66"/>
        <v/>
      </c>
      <c r="Y190" s="576" t="str">
        <f t="shared" si="67"/>
        <v/>
      </c>
      <c r="AA190" s="576" t="str">
        <f t="shared" si="76"/>
        <v/>
      </c>
      <c r="AC190" s="576" t="str">
        <f t="shared" si="68"/>
        <v/>
      </c>
      <c r="AE190" s="576" t="str">
        <f t="shared" si="69"/>
        <v/>
      </c>
      <c r="AG190" s="576" t="str">
        <f t="shared" si="70"/>
        <v/>
      </c>
      <c r="AI190" s="576" t="str">
        <f t="shared" si="71"/>
        <v/>
      </c>
      <c r="AK190" s="576" t="str">
        <f t="shared" si="72"/>
        <v/>
      </c>
      <c r="AM190" s="576" t="str">
        <f t="shared" si="73"/>
        <v/>
      </c>
      <c r="AO190" s="576" t="str">
        <f t="shared" si="74"/>
        <v/>
      </c>
      <c r="AQ190" s="576" t="str">
        <f t="shared" si="75"/>
        <v/>
      </c>
    </row>
    <row r="191" spans="5:43" x14ac:dyDescent="0.2">
      <c r="E191" s="576" t="str">
        <f t="shared" si="81"/>
        <v/>
      </c>
      <c r="G191" s="576" t="str">
        <f t="shared" si="77"/>
        <v/>
      </c>
      <c r="I191" s="576" t="str">
        <f t="shared" si="78"/>
        <v/>
      </c>
      <c r="K191" s="576" t="str">
        <f t="shared" si="79"/>
        <v/>
      </c>
      <c r="M191" s="576" t="str">
        <f t="shared" si="80"/>
        <v/>
      </c>
      <c r="O191" s="576" t="str">
        <f t="shared" si="82"/>
        <v/>
      </c>
      <c r="Q191" s="576" t="str">
        <f t="shared" si="63"/>
        <v/>
      </c>
      <c r="S191" s="576" t="str">
        <f t="shared" si="64"/>
        <v/>
      </c>
      <c r="U191" s="576" t="str">
        <f t="shared" si="65"/>
        <v/>
      </c>
      <c r="W191" s="576" t="str">
        <f t="shared" si="66"/>
        <v/>
      </c>
      <c r="Y191" s="576" t="str">
        <f t="shared" si="67"/>
        <v/>
      </c>
      <c r="AA191" s="576" t="str">
        <f t="shared" si="76"/>
        <v/>
      </c>
      <c r="AC191" s="576" t="str">
        <f t="shared" si="68"/>
        <v/>
      </c>
      <c r="AE191" s="576" t="str">
        <f t="shared" si="69"/>
        <v/>
      </c>
      <c r="AG191" s="576" t="str">
        <f t="shared" si="70"/>
        <v/>
      </c>
      <c r="AI191" s="576" t="str">
        <f t="shared" si="71"/>
        <v/>
      </c>
      <c r="AK191" s="576" t="str">
        <f t="shared" si="72"/>
        <v/>
      </c>
      <c r="AM191" s="576" t="str">
        <f t="shared" si="73"/>
        <v/>
      </c>
      <c r="AO191" s="576" t="str">
        <f t="shared" si="74"/>
        <v/>
      </c>
      <c r="AQ191" s="576" t="str">
        <f t="shared" si="75"/>
        <v/>
      </c>
    </row>
    <row r="192" spans="5:43" x14ac:dyDescent="0.2">
      <c r="E192" s="576" t="str">
        <f t="shared" si="81"/>
        <v/>
      </c>
      <c r="G192" s="576" t="str">
        <f t="shared" si="77"/>
        <v/>
      </c>
      <c r="I192" s="576" t="str">
        <f t="shared" si="78"/>
        <v/>
      </c>
      <c r="K192" s="576" t="str">
        <f t="shared" si="79"/>
        <v/>
      </c>
      <c r="M192" s="576" t="str">
        <f t="shared" si="80"/>
        <v/>
      </c>
      <c r="O192" s="576" t="str">
        <f t="shared" si="82"/>
        <v/>
      </c>
      <c r="Q192" s="576" t="str">
        <f t="shared" si="63"/>
        <v/>
      </c>
      <c r="S192" s="576" t="str">
        <f t="shared" si="64"/>
        <v/>
      </c>
      <c r="U192" s="576" t="str">
        <f t="shared" si="65"/>
        <v/>
      </c>
      <c r="W192" s="576" t="str">
        <f t="shared" si="66"/>
        <v/>
      </c>
      <c r="Y192" s="576" t="str">
        <f t="shared" si="67"/>
        <v/>
      </c>
      <c r="AA192" s="576" t="str">
        <f t="shared" si="76"/>
        <v/>
      </c>
      <c r="AC192" s="576" t="str">
        <f t="shared" si="68"/>
        <v/>
      </c>
      <c r="AE192" s="576" t="str">
        <f t="shared" si="69"/>
        <v/>
      </c>
      <c r="AG192" s="576" t="str">
        <f t="shared" si="70"/>
        <v/>
      </c>
      <c r="AI192" s="576" t="str">
        <f t="shared" si="71"/>
        <v/>
      </c>
      <c r="AK192" s="576" t="str">
        <f t="shared" si="72"/>
        <v/>
      </c>
      <c r="AM192" s="576" t="str">
        <f t="shared" si="73"/>
        <v/>
      </c>
      <c r="AO192" s="576" t="str">
        <f t="shared" si="74"/>
        <v/>
      </c>
      <c r="AQ192" s="576" t="str">
        <f t="shared" si="75"/>
        <v/>
      </c>
    </row>
    <row r="193" spans="5:43" x14ac:dyDescent="0.2">
      <c r="E193" s="576" t="str">
        <f t="shared" si="81"/>
        <v/>
      </c>
      <c r="G193" s="576" t="str">
        <f t="shared" si="77"/>
        <v/>
      </c>
      <c r="I193" s="576" t="str">
        <f t="shared" si="78"/>
        <v/>
      </c>
      <c r="K193" s="576" t="str">
        <f t="shared" si="79"/>
        <v/>
      </c>
      <c r="M193" s="576" t="str">
        <f t="shared" si="80"/>
        <v/>
      </c>
      <c r="O193" s="576" t="str">
        <f t="shared" si="82"/>
        <v/>
      </c>
      <c r="Q193" s="576" t="str">
        <f t="shared" si="63"/>
        <v/>
      </c>
      <c r="S193" s="576" t="str">
        <f t="shared" si="64"/>
        <v/>
      </c>
      <c r="U193" s="576" t="str">
        <f t="shared" si="65"/>
        <v/>
      </c>
      <c r="W193" s="576" t="str">
        <f t="shared" si="66"/>
        <v/>
      </c>
      <c r="Y193" s="576" t="str">
        <f t="shared" si="67"/>
        <v/>
      </c>
      <c r="AA193" s="576" t="str">
        <f t="shared" si="76"/>
        <v/>
      </c>
      <c r="AC193" s="576" t="str">
        <f t="shared" si="68"/>
        <v/>
      </c>
      <c r="AE193" s="576" t="str">
        <f t="shared" si="69"/>
        <v/>
      </c>
      <c r="AG193" s="576" t="str">
        <f t="shared" si="70"/>
        <v/>
      </c>
      <c r="AI193" s="576" t="str">
        <f t="shared" si="71"/>
        <v/>
      </c>
      <c r="AK193" s="576" t="str">
        <f t="shared" si="72"/>
        <v/>
      </c>
      <c r="AM193" s="576" t="str">
        <f t="shared" si="73"/>
        <v/>
      </c>
      <c r="AO193" s="576" t="str">
        <f t="shared" si="74"/>
        <v/>
      </c>
      <c r="AQ193" s="576" t="str">
        <f t="shared" si="75"/>
        <v/>
      </c>
    </row>
    <row r="194" spans="5:43" x14ac:dyDescent="0.2">
      <c r="E194" s="576" t="str">
        <f t="shared" si="81"/>
        <v/>
      </c>
      <c r="G194" s="576" t="str">
        <f t="shared" si="77"/>
        <v/>
      </c>
      <c r="I194" s="576" t="str">
        <f t="shared" si="78"/>
        <v/>
      </c>
      <c r="K194" s="576" t="str">
        <f t="shared" si="79"/>
        <v/>
      </c>
      <c r="M194" s="576" t="str">
        <f t="shared" si="80"/>
        <v/>
      </c>
      <c r="O194" s="576" t="str">
        <f t="shared" si="82"/>
        <v/>
      </c>
      <c r="Q194" s="576" t="str">
        <f t="shared" si="63"/>
        <v/>
      </c>
      <c r="S194" s="576" t="str">
        <f t="shared" si="64"/>
        <v/>
      </c>
      <c r="U194" s="576" t="str">
        <f t="shared" si="65"/>
        <v/>
      </c>
      <c r="W194" s="576" t="str">
        <f t="shared" si="66"/>
        <v/>
      </c>
      <c r="Y194" s="576" t="str">
        <f t="shared" si="67"/>
        <v/>
      </c>
      <c r="AA194" s="576" t="str">
        <f t="shared" si="76"/>
        <v/>
      </c>
      <c r="AC194" s="576" t="str">
        <f t="shared" si="68"/>
        <v/>
      </c>
      <c r="AE194" s="576" t="str">
        <f t="shared" si="69"/>
        <v/>
      </c>
      <c r="AG194" s="576" t="str">
        <f t="shared" si="70"/>
        <v/>
      </c>
      <c r="AI194" s="576" t="str">
        <f t="shared" si="71"/>
        <v/>
      </c>
      <c r="AK194" s="576" t="str">
        <f t="shared" si="72"/>
        <v/>
      </c>
      <c r="AM194" s="576" t="str">
        <f t="shared" si="73"/>
        <v/>
      </c>
      <c r="AO194" s="576" t="str">
        <f t="shared" si="74"/>
        <v/>
      </c>
      <c r="AQ194" s="576" t="str">
        <f t="shared" si="75"/>
        <v/>
      </c>
    </row>
    <row r="195" spans="5:43" x14ac:dyDescent="0.2">
      <c r="E195" s="576" t="str">
        <f t="shared" si="81"/>
        <v/>
      </c>
      <c r="G195" s="576" t="str">
        <f t="shared" si="77"/>
        <v/>
      </c>
      <c r="I195" s="576" t="str">
        <f t="shared" si="78"/>
        <v/>
      </c>
      <c r="K195" s="576" t="str">
        <f t="shared" si="79"/>
        <v/>
      </c>
      <c r="M195" s="576" t="str">
        <f t="shared" si="80"/>
        <v/>
      </c>
      <c r="O195" s="576" t="str">
        <f t="shared" si="82"/>
        <v/>
      </c>
      <c r="Q195" s="576" t="str">
        <f t="shared" si="63"/>
        <v/>
      </c>
      <c r="S195" s="576" t="str">
        <f t="shared" si="64"/>
        <v/>
      </c>
      <c r="U195" s="576" t="str">
        <f t="shared" si="65"/>
        <v/>
      </c>
      <c r="W195" s="576" t="str">
        <f t="shared" si="66"/>
        <v/>
      </c>
      <c r="Y195" s="576" t="str">
        <f t="shared" si="67"/>
        <v/>
      </c>
      <c r="AA195" s="576" t="str">
        <f t="shared" si="76"/>
        <v/>
      </c>
      <c r="AC195" s="576" t="str">
        <f t="shared" si="68"/>
        <v/>
      </c>
      <c r="AE195" s="576" t="str">
        <f t="shared" si="69"/>
        <v/>
      </c>
      <c r="AG195" s="576" t="str">
        <f t="shared" si="70"/>
        <v/>
      </c>
      <c r="AI195" s="576" t="str">
        <f t="shared" si="71"/>
        <v/>
      </c>
      <c r="AK195" s="576" t="str">
        <f t="shared" si="72"/>
        <v/>
      </c>
      <c r="AM195" s="576" t="str">
        <f t="shared" si="73"/>
        <v/>
      </c>
      <c r="AO195" s="576" t="str">
        <f t="shared" si="74"/>
        <v/>
      </c>
      <c r="AQ195" s="576" t="str">
        <f t="shared" si="75"/>
        <v/>
      </c>
    </row>
    <row r="196" spans="5:43" x14ac:dyDescent="0.2">
      <c r="E196" s="576" t="str">
        <f t="shared" si="81"/>
        <v/>
      </c>
      <c r="G196" s="576" t="str">
        <f t="shared" si="77"/>
        <v/>
      </c>
      <c r="I196" s="576" t="str">
        <f t="shared" si="78"/>
        <v/>
      </c>
      <c r="K196" s="576" t="str">
        <f t="shared" si="79"/>
        <v/>
      </c>
      <c r="M196" s="576" t="str">
        <f t="shared" si="80"/>
        <v/>
      </c>
      <c r="O196" s="576" t="str">
        <f t="shared" si="82"/>
        <v/>
      </c>
      <c r="Q196" s="576" t="str">
        <f t="shared" si="63"/>
        <v/>
      </c>
      <c r="S196" s="576" t="str">
        <f t="shared" si="64"/>
        <v/>
      </c>
      <c r="U196" s="576" t="str">
        <f t="shared" si="65"/>
        <v/>
      </c>
      <c r="W196" s="576" t="str">
        <f t="shared" si="66"/>
        <v/>
      </c>
      <c r="Y196" s="576" t="str">
        <f t="shared" si="67"/>
        <v/>
      </c>
      <c r="AA196" s="576" t="str">
        <f t="shared" si="76"/>
        <v/>
      </c>
      <c r="AC196" s="576" t="str">
        <f t="shared" si="68"/>
        <v/>
      </c>
      <c r="AE196" s="576" t="str">
        <f t="shared" si="69"/>
        <v/>
      </c>
      <c r="AG196" s="576" t="str">
        <f t="shared" si="70"/>
        <v/>
      </c>
      <c r="AI196" s="576" t="str">
        <f t="shared" si="71"/>
        <v/>
      </c>
      <c r="AK196" s="576" t="str">
        <f t="shared" si="72"/>
        <v/>
      </c>
      <c r="AM196" s="576" t="str">
        <f t="shared" si="73"/>
        <v/>
      </c>
      <c r="AO196" s="576" t="str">
        <f t="shared" si="74"/>
        <v/>
      </c>
      <c r="AQ196" s="576" t="str">
        <f t="shared" si="75"/>
        <v/>
      </c>
    </row>
    <row r="197" spans="5:43" x14ac:dyDescent="0.2">
      <c r="E197" s="576" t="str">
        <f t="shared" si="81"/>
        <v/>
      </c>
      <c r="G197" s="576" t="str">
        <f t="shared" si="77"/>
        <v/>
      </c>
      <c r="I197" s="576" t="str">
        <f t="shared" si="78"/>
        <v/>
      </c>
      <c r="K197" s="576" t="str">
        <f t="shared" si="79"/>
        <v/>
      </c>
      <c r="M197" s="576" t="str">
        <f t="shared" si="80"/>
        <v/>
      </c>
      <c r="O197" s="576" t="str">
        <f t="shared" si="82"/>
        <v/>
      </c>
      <c r="Q197" s="576" t="str">
        <f t="shared" si="63"/>
        <v/>
      </c>
      <c r="S197" s="576" t="str">
        <f t="shared" si="64"/>
        <v/>
      </c>
      <c r="U197" s="576" t="str">
        <f t="shared" si="65"/>
        <v/>
      </c>
      <c r="W197" s="576" t="str">
        <f t="shared" si="66"/>
        <v/>
      </c>
      <c r="Y197" s="576" t="str">
        <f t="shared" si="67"/>
        <v/>
      </c>
      <c r="AA197" s="576" t="str">
        <f t="shared" si="76"/>
        <v/>
      </c>
      <c r="AC197" s="576" t="str">
        <f t="shared" si="68"/>
        <v/>
      </c>
      <c r="AE197" s="576" t="str">
        <f t="shared" si="69"/>
        <v/>
      </c>
      <c r="AG197" s="576" t="str">
        <f t="shared" si="70"/>
        <v/>
      </c>
      <c r="AI197" s="576" t="str">
        <f t="shared" si="71"/>
        <v/>
      </c>
      <c r="AK197" s="576" t="str">
        <f t="shared" si="72"/>
        <v/>
      </c>
      <c r="AM197" s="576" t="str">
        <f t="shared" si="73"/>
        <v/>
      </c>
      <c r="AO197" s="576" t="str">
        <f t="shared" si="74"/>
        <v/>
      </c>
      <c r="AQ197" s="576" t="str">
        <f t="shared" si="75"/>
        <v/>
      </c>
    </row>
    <row r="198" spans="5:43" x14ac:dyDescent="0.2">
      <c r="E198" s="576" t="str">
        <f t="shared" si="81"/>
        <v/>
      </c>
      <c r="G198" s="576" t="str">
        <f t="shared" si="77"/>
        <v/>
      </c>
      <c r="I198" s="576" t="str">
        <f t="shared" si="78"/>
        <v/>
      </c>
      <c r="K198" s="576" t="str">
        <f t="shared" si="79"/>
        <v/>
      </c>
      <c r="M198" s="576" t="str">
        <f t="shared" si="80"/>
        <v/>
      </c>
      <c r="O198" s="576" t="str">
        <f t="shared" si="82"/>
        <v/>
      </c>
      <c r="Q198" s="576" t="str">
        <f t="shared" si="63"/>
        <v/>
      </c>
      <c r="S198" s="576" t="str">
        <f t="shared" si="64"/>
        <v/>
      </c>
      <c r="U198" s="576" t="str">
        <f t="shared" si="65"/>
        <v/>
      </c>
      <c r="W198" s="576" t="str">
        <f t="shared" si="66"/>
        <v/>
      </c>
      <c r="Y198" s="576" t="str">
        <f t="shared" si="67"/>
        <v/>
      </c>
      <c r="AA198" s="576" t="str">
        <f t="shared" si="76"/>
        <v/>
      </c>
      <c r="AC198" s="576" t="str">
        <f t="shared" si="68"/>
        <v/>
      </c>
      <c r="AE198" s="576" t="str">
        <f t="shared" si="69"/>
        <v/>
      </c>
      <c r="AG198" s="576" t="str">
        <f t="shared" si="70"/>
        <v/>
      </c>
      <c r="AI198" s="576" t="str">
        <f t="shared" si="71"/>
        <v/>
      </c>
      <c r="AK198" s="576" t="str">
        <f t="shared" si="72"/>
        <v/>
      </c>
      <c r="AM198" s="576" t="str">
        <f t="shared" si="73"/>
        <v/>
      </c>
      <c r="AO198" s="576" t="str">
        <f t="shared" si="74"/>
        <v/>
      </c>
      <c r="AQ198" s="576" t="str">
        <f t="shared" si="75"/>
        <v/>
      </c>
    </row>
    <row r="199" spans="5:43" x14ac:dyDescent="0.2">
      <c r="E199" s="576" t="str">
        <f t="shared" si="81"/>
        <v/>
      </c>
      <c r="G199" s="576" t="str">
        <f t="shared" si="77"/>
        <v/>
      </c>
      <c r="I199" s="576" t="str">
        <f t="shared" si="78"/>
        <v/>
      </c>
      <c r="K199" s="576" t="str">
        <f t="shared" si="79"/>
        <v/>
      </c>
      <c r="M199" s="576" t="str">
        <f t="shared" si="80"/>
        <v/>
      </c>
      <c r="O199" s="576" t="str">
        <f t="shared" si="82"/>
        <v/>
      </c>
      <c r="Q199" s="576" t="str">
        <f t="shared" si="63"/>
        <v/>
      </c>
      <c r="S199" s="576" t="str">
        <f t="shared" si="64"/>
        <v/>
      </c>
      <c r="U199" s="576" t="str">
        <f t="shared" si="65"/>
        <v/>
      </c>
      <c r="W199" s="576" t="str">
        <f t="shared" si="66"/>
        <v/>
      </c>
      <c r="Y199" s="576" t="str">
        <f t="shared" si="67"/>
        <v/>
      </c>
      <c r="AA199" s="576" t="str">
        <f t="shared" si="76"/>
        <v/>
      </c>
      <c r="AC199" s="576" t="str">
        <f t="shared" si="68"/>
        <v/>
      </c>
      <c r="AE199" s="576" t="str">
        <f t="shared" si="69"/>
        <v/>
      </c>
      <c r="AG199" s="576" t="str">
        <f t="shared" si="70"/>
        <v/>
      </c>
      <c r="AI199" s="576" t="str">
        <f t="shared" si="71"/>
        <v/>
      </c>
      <c r="AK199" s="576" t="str">
        <f t="shared" si="72"/>
        <v/>
      </c>
      <c r="AM199" s="576" t="str">
        <f t="shared" si="73"/>
        <v/>
      </c>
      <c r="AO199" s="576" t="str">
        <f t="shared" si="74"/>
        <v/>
      </c>
      <c r="AQ199" s="576" t="str">
        <f t="shared" si="75"/>
        <v/>
      </c>
    </row>
    <row r="200" spans="5:43" x14ac:dyDescent="0.2">
      <c r="E200" s="576" t="str">
        <f t="shared" si="81"/>
        <v/>
      </c>
      <c r="G200" s="576" t="str">
        <f t="shared" si="77"/>
        <v/>
      </c>
      <c r="I200" s="576" t="str">
        <f t="shared" si="78"/>
        <v/>
      </c>
      <c r="K200" s="576" t="str">
        <f t="shared" si="79"/>
        <v/>
      </c>
      <c r="M200" s="576" t="str">
        <f t="shared" si="80"/>
        <v/>
      </c>
      <c r="O200" s="576" t="str">
        <f t="shared" si="82"/>
        <v/>
      </c>
      <c r="Q200" s="576" t="str">
        <f t="shared" si="63"/>
        <v/>
      </c>
      <c r="S200" s="576" t="str">
        <f t="shared" si="64"/>
        <v/>
      </c>
      <c r="U200" s="576" t="str">
        <f t="shared" si="65"/>
        <v/>
      </c>
      <c r="W200" s="576" t="str">
        <f t="shared" si="66"/>
        <v/>
      </c>
      <c r="Y200" s="576" t="str">
        <f t="shared" si="67"/>
        <v/>
      </c>
      <c r="AA200" s="576" t="str">
        <f t="shared" si="76"/>
        <v/>
      </c>
      <c r="AC200" s="576" t="str">
        <f t="shared" si="68"/>
        <v/>
      </c>
      <c r="AE200" s="576" t="str">
        <f t="shared" si="69"/>
        <v/>
      </c>
      <c r="AG200" s="576" t="str">
        <f t="shared" si="70"/>
        <v/>
      </c>
      <c r="AI200" s="576" t="str">
        <f t="shared" si="71"/>
        <v/>
      </c>
      <c r="AK200" s="576" t="str">
        <f t="shared" si="72"/>
        <v/>
      </c>
      <c r="AM200" s="576" t="str">
        <f t="shared" si="73"/>
        <v/>
      </c>
      <c r="AO200" s="576" t="str">
        <f t="shared" si="74"/>
        <v/>
      </c>
      <c r="AQ200" s="576" t="str">
        <f t="shared" si="75"/>
        <v/>
      </c>
    </row>
    <row r="201" spans="5:43" x14ac:dyDescent="0.2">
      <c r="E201" s="576" t="str">
        <f t="shared" si="81"/>
        <v/>
      </c>
      <c r="G201" s="576" t="str">
        <f t="shared" si="77"/>
        <v/>
      </c>
      <c r="I201" s="576" t="str">
        <f t="shared" si="78"/>
        <v/>
      </c>
      <c r="K201" s="576" t="str">
        <f t="shared" si="79"/>
        <v/>
      </c>
      <c r="M201" s="576" t="str">
        <f t="shared" si="80"/>
        <v/>
      </c>
      <c r="O201" s="576" t="str">
        <f t="shared" si="82"/>
        <v/>
      </c>
      <c r="Q201" s="576" t="str">
        <f t="shared" si="63"/>
        <v/>
      </c>
      <c r="S201" s="576" t="str">
        <f t="shared" si="64"/>
        <v/>
      </c>
      <c r="U201" s="576" t="str">
        <f t="shared" si="65"/>
        <v/>
      </c>
      <c r="W201" s="576" t="str">
        <f t="shared" si="66"/>
        <v/>
      </c>
      <c r="Y201" s="576" t="str">
        <f t="shared" si="67"/>
        <v/>
      </c>
      <c r="AA201" s="576" t="str">
        <f t="shared" si="76"/>
        <v/>
      </c>
      <c r="AC201" s="576" t="str">
        <f t="shared" si="68"/>
        <v/>
      </c>
      <c r="AE201" s="576" t="str">
        <f t="shared" si="69"/>
        <v/>
      </c>
      <c r="AG201" s="576" t="str">
        <f t="shared" si="70"/>
        <v/>
      </c>
      <c r="AI201" s="576" t="str">
        <f t="shared" si="71"/>
        <v/>
      </c>
      <c r="AK201" s="576" t="str">
        <f t="shared" si="72"/>
        <v/>
      </c>
      <c r="AM201" s="576" t="str">
        <f t="shared" si="73"/>
        <v/>
      </c>
      <c r="AO201" s="576" t="str">
        <f t="shared" si="74"/>
        <v/>
      </c>
      <c r="AQ201" s="576" t="str">
        <f t="shared" si="75"/>
        <v/>
      </c>
    </row>
    <row r="202" spans="5:43" x14ac:dyDescent="0.2">
      <c r="E202" s="576" t="str">
        <f t="shared" si="81"/>
        <v/>
      </c>
      <c r="G202" s="576" t="str">
        <f t="shared" si="77"/>
        <v/>
      </c>
      <c r="I202" s="576" t="str">
        <f t="shared" si="78"/>
        <v/>
      </c>
      <c r="K202" s="576" t="str">
        <f t="shared" si="79"/>
        <v/>
      </c>
      <c r="M202" s="576" t="str">
        <f t="shared" si="80"/>
        <v/>
      </c>
      <c r="O202" s="576" t="str">
        <f t="shared" si="82"/>
        <v/>
      </c>
      <c r="Q202" s="576" t="str">
        <f t="shared" si="63"/>
        <v/>
      </c>
      <c r="S202" s="576" t="str">
        <f t="shared" si="64"/>
        <v/>
      </c>
      <c r="U202" s="576" t="str">
        <f t="shared" si="65"/>
        <v/>
      </c>
      <c r="W202" s="576" t="str">
        <f t="shared" si="66"/>
        <v/>
      </c>
      <c r="Y202" s="576" t="str">
        <f t="shared" si="67"/>
        <v/>
      </c>
      <c r="AA202" s="576" t="str">
        <f t="shared" si="76"/>
        <v/>
      </c>
      <c r="AC202" s="576" t="str">
        <f t="shared" si="68"/>
        <v/>
      </c>
      <c r="AE202" s="576" t="str">
        <f t="shared" si="69"/>
        <v/>
      </c>
      <c r="AG202" s="576" t="str">
        <f t="shared" si="70"/>
        <v/>
      </c>
      <c r="AI202" s="576" t="str">
        <f t="shared" si="71"/>
        <v/>
      </c>
      <c r="AK202" s="576" t="str">
        <f t="shared" si="72"/>
        <v/>
      </c>
      <c r="AM202" s="576" t="str">
        <f t="shared" si="73"/>
        <v/>
      </c>
      <c r="AO202" s="576" t="str">
        <f t="shared" si="74"/>
        <v/>
      </c>
      <c r="AQ202" s="576" t="str">
        <f t="shared" si="75"/>
        <v/>
      </c>
    </row>
    <row r="203" spans="5:43" x14ac:dyDescent="0.2">
      <c r="E203" s="576" t="str">
        <f t="shared" si="81"/>
        <v/>
      </c>
      <c r="G203" s="576" t="str">
        <f t="shared" si="77"/>
        <v/>
      </c>
      <c r="I203" s="576" t="str">
        <f t="shared" si="78"/>
        <v/>
      </c>
      <c r="K203" s="576" t="str">
        <f t="shared" si="79"/>
        <v/>
      </c>
      <c r="M203" s="576" t="str">
        <f t="shared" si="80"/>
        <v/>
      </c>
      <c r="O203" s="576" t="str">
        <f t="shared" si="82"/>
        <v/>
      </c>
      <c r="Q203" s="576" t="str">
        <f t="shared" si="63"/>
        <v/>
      </c>
      <c r="S203" s="576" t="str">
        <f t="shared" si="64"/>
        <v/>
      </c>
      <c r="U203" s="576" t="str">
        <f t="shared" si="65"/>
        <v/>
      </c>
      <c r="W203" s="576" t="str">
        <f t="shared" si="66"/>
        <v/>
      </c>
      <c r="Y203" s="576" t="str">
        <f t="shared" si="67"/>
        <v/>
      </c>
      <c r="AA203" s="576" t="str">
        <f t="shared" si="76"/>
        <v/>
      </c>
      <c r="AC203" s="576" t="str">
        <f t="shared" si="68"/>
        <v/>
      </c>
      <c r="AE203" s="576" t="str">
        <f t="shared" si="69"/>
        <v/>
      </c>
      <c r="AG203" s="576" t="str">
        <f t="shared" si="70"/>
        <v/>
      </c>
      <c r="AI203" s="576" t="str">
        <f t="shared" si="71"/>
        <v/>
      </c>
      <c r="AK203" s="576" t="str">
        <f t="shared" si="72"/>
        <v/>
      </c>
      <c r="AM203" s="576" t="str">
        <f t="shared" si="73"/>
        <v/>
      </c>
      <c r="AO203" s="576" t="str">
        <f t="shared" si="74"/>
        <v/>
      </c>
      <c r="AQ203" s="576" t="str">
        <f t="shared" si="75"/>
        <v/>
      </c>
    </row>
    <row r="204" spans="5:43" x14ac:dyDescent="0.2">
      <c r="E204" s="576" t="str">
        <f t="shared" si="81"/>
        <v/>
      </c>
      <c r="G204" s="576" t="str">
        <f t="shared" si="77"/>
        <v/>
      </c>
      <c r="I204" s="576" t="str">
        <f t="shared" si="78"/>
        <v/>
      </c>
      <c r="K204" s="576" t="str">
        <f t="shared" si="79"/>
        <v/>
      </c>
      <c r="M204" s="576" t="str">
        <f t="shared" si="80"/>
        <v/>
      </c>
      <c r="O204" s="576" t="str">
        <f t="shared" si="82"/>
        <v/>
      </c>
      <c r="Q204" s="576" t="str">
        <f t="shared" si="63"/>
        <v/>
      </c>
      <c r="S204" s="576" t="str">
        <f t="shared" si="64"/>
        <v/>
      </c>
      <c r="U204" s="576" t="str">
        <f t="shared" si="65"/>
        <v/>
      </c>
      <c r="W204" s="576" t="str">
        <f t="shared" si="66"/>
        <v/>
      </c>
      <c r="Y204" s="576" t="str">
        <f t="shared" si="67"/>
        <v/>
      </c>
      <c r="AA204" s="576" t="str">
        <f t="shared" si="76"/>
        <v/>
      </c>
      <c r="AC204" s="576" t="str">
        <f t="shared" si="68"/>
        <v/>
      </c>
      <c r="AE204" s="576" t="str">
        <f t="shared" si="69"/>
        <v/>
      </c>
      <c r="AG204" s="576" t="str">
        <f t="shared" si="70"/>
        <v/>
      </c>
      <c r="AI204" s="576" t="str">
        <f t="shared" si="71"/>
        <v/>
      </c>
      <c r="AK204" s="576" t="str">
        <f t="shared" si="72"/>
        <v/>
      </c>
      <c r="AM204" s="576" t="str">
        <f t="shared" si="73"/>
        <v/>
      </c>
      <c r="AO204" s="576" t="str">
        <f t="shared" si="74"/>
        <v/>
      </c>
      <c r="AQ204" s="576" t="str">
        <f t="shared" si="75"/>
        <v/>
      </c>
    </row>
    <row r="205" spans="5:43" x14ac:dyDescent="0.2">
      <c r="E205" s="576" t="str">
        <f t="shared" si="81"/>
        <v/>
      </c>
      <c r="G205" s="576" t="str">
        <f t="shared" si="77"/>
        <v/>
      </c>
      <c r="I205" s="576" t="str">
        <f t="shared" si="78"/>
        <v/>
      </c>
      <c r="K205" s="576" t="str">
        <f t="shared" si="79"/>
        <v/>
      </c>
      <c r="M205" s="576" t="str">
        <f t="shared" si="80"/>
        <v/>
      </c>
      <c r="O205" s="576" t="str">
        <f t="shared" si="82"/>
        <v/>
      </c>
      <c r="Q205" s="576" t="str">
        <f t="shared" si="63"/>
        <v/>
      </c>
      <c r="S205" s="576" t="str">
        <f t="shared" si="64"/>
        <v/>
      </c>
      <c r="U205" s="576" t="str">
        <f t="shared" si="65"/>
        <v/>
      </c>
      <c r="W205" s="576" t="str">
        <f t="shared" si="66"/>
        <v/>
      </c>
      <c r="Y205" s="576" t="str">
        <f t="shared" si="67"/>
        <v/>
      </c>
      <c r="AA205" s="576" t="str">
        <f t="shared" si="76"/>
        <v/>
      </c>
      <c r="AC205" s="576" t="str">
        <f t="shared" si="68"/>
        <v/>
      </c>
      <c r="AE205" s="576" t="str">
        <f t="shared" si="69"/>
        <v/>
      </c>
      <c r="AG205" s="576" t="str">
        <f t="shared" si="70"/>
        <v/>
      </c>
      <c r="AI205" s="576" t="str">
        <f t="shared" si="71"/>
        <v/>
      </c>
      <c r="AK205" s="576" t="str">
        <f t="shared" si="72"/>
        <v/>
      </c>
      <c r="AM205" s="576" t="str">
        <f t="shared" si="73"/>
        <v/>
      </c>
      <c r="AO205" s="576" t="str">
        <f t="shared" si="74"/>
        <v/>
      </c>
      <c r="AQ205" s="576" t="str">
        <f t="shared" si="75"/>
        <v/>
      </c>
    </row>
    <row r="206" spans="5:43" x14ac:dyDescent="0.2">
      <c r="E206" s="576" t="str">
        <f t="shared" si="81"/>
        <v/>
      </c>
      <c r="G206" s="576" t="str">
        <f t="shared" si="77"/>
        <v/>
      </c>
      <c r="I206" s="576" t="str">
        <f t="shared" si="78"/>
        <v/>
      </c>
      <c r="K206" s="576" t="str">
        <f t="shared" si="79"/>
        <v/>
      </c>
      <c r="M206" s="576" t="str">
        <f t="shared" si="80"/>
        <v/>
      </c>
      <c r="O206" s="576" t="str">
        <f t="shared" si="82"/>
        <v/>
      </c>
      <c r="Q206" s="576" t="str">
        <f t="shared" si="63"/>
        <v/>
      </c>
      <c r="S206" s="576" t="str">
        <f t="shared" si="64"/>
        <v/>
      </c>
      <c r="U206" s="576" t="str">
        <f t="shared" si="65"/>
        <v/>
      </c>
      <c r="W206" s="576" t="str">
        <f t="shared" si="66"/>
        <v/>
      </c>
      <c r="Y206" s="576" t="str">
        <f t="shared" si="67"/>
        <v/>
      </c>
      <c r="AA206" s="576" t="str">
        <f t="shared" si="76"/>
        <v/>
      </c>
      <c r="AC206" s="576" t="str">
        <f t="shared" si="68"/>
        <v/>
      </c>
      <c r="AE206" s="576" t="str">
        <f t="shared" si="69"/>
        <v/>
      </c>
      <c r="AG206" s="576" t="str">
        <f t="shared" si="70"/>
        <v/>
      </c>
      <c r="AI206" s="576" t="str">
        <f t="shared" si="71"/>
        <v/>
      </c>
      <c r="AK206" s="576" t="str">
        <f t="shared" si="72"/>
        <v/>
      </c>
      <c r="AM206" s="576" t="str">
        <f t="shared" si="73"/>
        <v/>
      </c>
      <c r="AO206" s="576" t="str">
        <f t="shared" si="74"/>
        <v/>
      </c>
      <c r="AQ206" s="576" t="str">
        <f t="shared" si="75"/>
        <v/>
      </c>
    </row>
    <row r="207" spans="5:43" x14ac:dyDescent="0.2">
      <c r="E207" s="576" t="str">
        <f t="shared" si="81"/>
        <v/>
      </c>
      <c r="G207" s="576" t="str">
        <f t="shared" si="77"/>
        <v/>
      </c>
      <c r="I207" s="576" t="str">
        <f t="shared" si="78"/>
        <v/>
      </c>
      <c r="K207" s="576" t="str">
        <f t="shared" si="79"/>
        <v/>
      </c>
      <c r="M207" s="576" t="str">
        <f t="shared" si="80"/>
        <v/>
      </c>
      <c r="O207" s="576" t="str">
        <f t="shared" si="82"/>
        <v/>
      </c>
      <c r="Q207" s="576" t="str">
        <f t="shared" si="63"/>
        <v/>
      </c>
      <c r="S207" s="576" t="str">
        <f t="shared" si="64"/>
        <v/>
      </c>
      <c r="U207" s="576" t="str">
        <f t="shared" si="65"/>
        <v/>
      </c>
      <c r="W207" s="576" t="str">
        <f t="shared" si="66"/>
        <v/>
      </c>
      <c r="Y207" s="576" t="str">
        <f t="shared" si="67"/>
        <v/>
      </c>
      <c r="AA207" s="576" t="str">
        <f t="shared" si="76"/>
        <v/>
      </c>
      <c r="AC207" s="576" t="str">
        <f t="shared" si="68"/>
        <v/>
      </c>
      <c r="AE207" s="576" t="str">
        <f t="shared" si="69"/>
        <v/>
      </c>
      <c r="AG207" s="576" t="str">
        <f t="shared" si="70"/>
        <v/>
      </c>
      <c r="AI207" s="576" t="str">
        <f t="shared" si="71"/>
        <v/>
      </c>
      <c r="AK207" s="576" t="str">
        <f t="shared" si="72"/>
        <v/>
      </c>
      <c r="AM207" s="576" t="str">
        <f t="shared" si="73"/>
        <v/>
      </c>
      <c r="AO207" s="576" t="str">
        <f t="shared" si="74"/>
        <v/>
      </c>
      <c r="AQ207" s="576" t="str">
        <f t="shared" si="75"/>
        <v/>
      </c>
    </row>
    <row r="208" spans="5:43" x14ac:dyDescent="0.2">
      <c r="E208" s="576" t="str">
        <f t="shared" si="81"/>
        <v/>
      </c>
      <c r="G208" s="576" t="str">
        <f t="shared" si="77"/>
        <v/>
      </c>
      <c r="I208" s="576" t="str">
        <f t="shared" si="78"/>
        <v/>
      </c>
      <c r="K208" s="576" t="str">
        <f t="shared" si="79"/>
        <v/>
      </c>
      <c r="M208" s="576" t="str">
        <f t="shared" si="80"/>
        <v/>
      </c>
      <c r="O208" s="576" t="str">
        <f t="shared" si="82"/>
        <v/>
      </c>
      <c r="Q208" s="576" t="str">
        <f t="shared" si="63"/>
        <v/>
      </c>
      <c r="S208" s="576" t="str">
        <f t="shared" si="64"/>
        <v/>
      </c>
      <c r="U208" s="576" t="str">
        <f t="shared" si="65"/>
        <v/>
      </c>
      <c r="W208" s="576" t="str">
        <f t="shared" si="66"/>
        <v/>
      </c>
      <c r="Y208" s="576" t="str">
        <f t="shared" si="67"/>
        <v/>
      </c>
      <c r="AA208" s="576" t="str">
        <f t="shared" si="76"/>
        <v/>
      </c>
      <c r="AC208" s="576" t="str">
        <f t="shared" si="68"/>
        <v/>
      </c>
      <c r="AE208" s="576" t="str">
        <f t="shared" si="69"/>
        <v/>
      </c>
      <c r="AG208" s="576" t="str">
        <f t="shared" si="70"/>
        <v/>
      </c>
      <c r="AI208" s="576" t="str">
        <f t="shared" si="71"/>
        <v/>
      </c>
      <c r="AK208" s="576" t="str">
        <f t="shared" si="72"/>
        <v/>
      </c>
      <c r="AM208" s="576" t="str">
        <f t="shared" si="73"/>
        <v/>
      </c>
      <c r="AO208" s="576" t="str">
        <f t="shared" si="74"/>
        <v/>
      </c>
      <c r="AQ208" s="576" t="str">
        <f t="shared" si="75"/>
        <v/>
      </c>
    </row>
    <row r="209" spans="5:43" x14ac:dyDescent="0.2">
      <c r="E209" s="576" t="str">
        <f t="shared" si="81"/>
        <v/>
      </c>
      <c r="G209" s="576" t="str">
        <f t="shared" si="77"/>
        <v/>
      </c>
      <c r="I209" s="576" t="str">
        <f t="shared" si="78"/>
        <v/>
      </c>
      <c r="K209" s="576" t="str">
        <f t="shared" si="79"/>
        <v/>
      </c>
      <c r="M209" s="576" t="str">
        <f t="shared" si="80"/>
        <v/>
      </c>
      <c r="O209" s="576" t="str">
        <f t="shared" si="82"/>
        <v/>
      </c>
      <c r="Q209" s="576" t="str">
        <f t="shared" si="63"/>
        <v/>
      </c>
      <c r="S209" s="576" t="str">
        <f t="shared" si="64"/>
        <v/>
      </c>
      <c r="U209" s="576" t="str">
        <f t="shared" si="65"/>
        <v/>
      </c>
      <c r="W209" s="576" t="str">
        <f t="shared" si="66"/>
        <v/>
      </c>
      <c r="Y209" s="576" t="str">
        <f t="shared" si="67"/>
        <v/>
      </c>
      <c r="AA209" s="576" t="str">
        <f t="shared" si="76"/>
        <v/>
      </c>
      <c r="AC209" s="576" t="str">
        <f t="shared" si="68"/>
        <v/>
      </c>
      <c r="AE209" s="576" t="str">
        <f t="shared" si="69"/>
        <v/>
      </c>
      <c r="AG209" s="576" t="str">
        <f t="shared" si="70"/>
        <v/>
      </c>
      <c r="AI209" s="576" t="str">
        <f t="shared" si="71"/>
        <v/>
      </c>
      <c r="AK209" s="576" t="str">
        <f t="shared" si="72"/>
        <v/>
      </c>
      <c r="AM209" s="576" t="str">
        <f t="shared" si="73"/>
        <v/>
      </c>
      <c r="AO209" s="576" t="str">
        <f t="shared" si="74"/>
        <v/>
      </c>
      <c r="AQ209" s="576" t="str">
        <f t="shared" si="75"/>
        <v/>
      </c>
    </row>
    <row r="210" spans="5:43" x14ac:dyDescent="0.2">
      <c r="E210" s="576" t="str">
        <f t="shared" si="81"/>
        <v/>
      </c>
      <c r="G210" s="576" t="str">
        <f t="shared" si="77"/>
        <v/>
      </c>
      <c r="I210" s="576" t="str">
        <f t="shared" si="78"/>
        <v/>
      </c>
      <c r="K210" s="576" t="str">
        <f t="shared" si="79"/>
        <v/>
      </c>
      <c r="M210" s="576" t="str">
        <f t="shared" si="80"/>
        <v/>
      </c>
      <c r="O210" s="576" t="str">
        <f t="shared" si="82"/>
        <v/>
      </c>
      <c r="Q210" s="576" t="str">
        <f t="shared" si="63"/>
        <v/>
      </c>
      <c r="S210" s="576" t="str">
        <f t="shared" si="64"/>
        <v/>
      </c>
      <c r="U210" s="576" t="str">
        <f t="shared" si="65"/>
        <v/>
      </c>
      <c r="W210" s="576" t="str">
        <f t="shared" si="66"/>
        <v/>
      </c>
      <c r="Y210" s="576" t="str">
        <f t="shared" si="67"/>
        <v/>
      </c>
      <c r="AA210" s="576" t="str">
        <f t="shared" si="76"/>
        <v/>
      </c>
      <c r="AC210" s="576" t="str">
        <f t="shared" si="68"/>
        <v/>
      </c>
      <c r="AE210" s="576" t="str">
        <f t="shared" si="69"/>
        <v/>
      </c>
      <c r="AG210" s="576" t="str">
        <f t="shared" si="70"/>
        <v/>
      </c>
      <c r="AI210" s="576" t="str">
        <f t="shared" si="71"/>
        <v/>
      </c>
      <c r="AK210" s="576" t="str">
        <f t="shared" si="72"/>
        <v/>
      </c>
      <c r="AM210" s="576" t="str">
        <f t="shared" si="73"/>
        <v/>
      </c>
      <c r="AO210" s="576" t="str">
        <f t="shared" si="74"/>
        <v/>
      </c>
      <c r="AQ210" s="576" t="str">
        <f t="shared" si="75"/>
        <v/>
      </c>
    </row>
    <row r="211" spans="5:43" x14ac:dyDescent="0.2">
      <c r="E211" s="576" t="str">
        <f t="shared" si="81"/>
        <v/>
      </c>
      <c r="G211" s="576" t="str">
        <f t="shared" si="77"/>
        <v/>
      </c>
      <c r="I211" s="576" t="str">
        <f t="shared" si="78"/>
        <v/>
      </c>
      <c r="K211" s="576" t="str">
        <f t="shared" si="79"/>
        <v/>
      </c>
      <c r="M211" s="576" t="str">
        <f t="shared" si="80"/>
        <v/>
      </c>
      <c r="O211" s="576" t="str">
        <f t="shared" si="82"/>
        <v/>
      </c>
      <c r="Q211" s="576" t="str">
        <f t="shared" si="63"/>
        <v/>
      </c>
      <c r="S211" s="576" t="str">
        <f t="shared" si="64"/>
        <v/>
      </c>
      <c r="U211" s="576" t="str">
        <f t="shared" si="65"/>
        <v/>
      </c>
      <c r="W211" s="576" t="str">
        <f t="shared" si="66"/>
        <v/>
      </c>
      <c r="Y211" s="576" t="str">
        <f t="shared" si="67"/>
        <v/>
      </c>
      <c r="AA211" s="576" t="str">
        <f t="shared" si="76"/>
        <v/>
      </c>
      <c r="AC211" s="576" t="str">
        <f t="shared" si="68"/>
        <v/>
      </c>
      <c r="AE211" s="576" t="str">
        <f t="shared" si="69"/>
        <v/>
      </c>
      <c r="AG211" s="576" t="str">
        <f t="shared" si="70"/>
        <v/>
      </c>
      <c r="AI211" s="576" t="str">
        <f t="shared" si="71"/>
        <v/>
      </c>
      <c r="AK211" s="576" t="str">
        <f t="shared" si="72"/>
        <v/>
      </c>
      <c r="AM211" s="576" t="str">
        <f t="shared" si="73"/>
        <v/>
      </c>
      <c r="AO211" s="576" t="str">
        <f t="shared" si="74"/>
        <v/>
      </c>
      <c r="AQ211" s="576" t="str">
        <f t="shared" si="75"/>
        <v/>
      </c>
    </row>
    <row r="212" spans="5:43" x14ac:dyDescent="0.2">
      <c r="E212" s="576" t="str">
        <f t="shared" si="81"/>
        <v/>
      </c>
      <c r="G212" s="576" t="str">
        <f t="shared" si="77"/>
        <v/>
      </c>
      <c r="I212" s="576" t="str">
        <f t="shared" si="78"/>
        <v/>
      </c>
      <c r="K212" s="576" t="str">
        <f t="shared" si="79"/>
        <v/>
      </c>
      <c r="M212" s="576" t="str">
        <f t="shared" si="80"/>
        <v/>
      </c>
      <c r="O212" s="576" t="str">
        <f t="shared" si="82"/>
        <v/>
      </c>
      <c r="Q212" s="576" t="str">
        <f t="shared" si="63"/>
        <v/>
      </c>
      <c r="S212" s="576" t="str">
        <f t="shared" si="64"/>
        <v/>
      </c>
      <c r="U212" s="576" t="str">
        <f t="shared" si="65"/>
        <v/>
      </c>
      <c r="W212" s="576" t="str">
        <f t="shared" si="66"/>
        <v/>
      </c>
      <c r="Y212" s="576" t="str">
        <f t="shared" si="67"/>
        <v/>
      </c>
      <c r="AA212" s="576" t="str">
        <f t="shared" si="76"/>
        <v/>
      </c>
      <c r="AC212" s="576" t="str">
        <f t="shared" si="68"/>
        <v/>
      </c>
      <c r="AE212" s="576" t="str">
        <f t="shared" si="69"/>
        <v/>
      </c>
      <c r="AG212" s="576" t="str">
        <f t="shared" si="70"/>
        <v/>
      </c>
      <c r="AI212" s="576" t="str">
        <f t="shared" si="71"/>
        <v/>
      </c>
      <c r="AK212" s="576" t="str">
        <f t="shared" si="72"/>
        <v/>
      </c>
      <c r="AM212" s="576" t="str">
        <f t="shared" si="73"/>
        <v/>
      </c>
      <c r="AO212" s="576" t="str">
        <f t="shared" si="74"/>
        <v/>
      </c>
      <c r="AQ212" s="576" t="str">
        <f t="shared" si="75"/>
        <v/>
      </c>
    </row>
    <row r="213" spans="5:43" x14ac:dyDescent="0.2">
      <c r="E213" s="576" t="str">
        <f t="shared" si="81"/>
        <v/>
      </c>
      <c r="G213" s="576" t="str">
        <f t="shared" si="77"/>
        <v/>
      </c>
      <c r="I213" s="576" t="str">
        <f t="shared" si="78"/>
        <v/>
      </c>
      <c r="K213" s="576" t="str">
        <f t="shared" si="79"/>
        <v/>
      </c>
      <c r="M213" s="576" t="str">
        <f t="shared" si="80"/>
        <v/>
      </c>
      <c r="O213" s="576" t="str">
        <f t="shared" si="82"/>
        <v/>
      </c>
      <c r="Q213" s="576" t="str">
        <f t="shared" si="63"/>
        <v/>
      </c>
      <c r="S213" s="576" t="str">
        <f t="shared" si="64"/>
        <v/>
      </c>
      <c r="U213" s="576" t="str">
        <f t="shared" si="65"/>
        <v/>
      </c>
      <c r="W213" s="576" t="str">
        <f t="shared" si="66"/>
        <v/>
      </c>
      <c r="Y213" s="576" t="str">
        <f t="shared" si="67"/>
        <v/>
      </c>
      <c r="AA213" s="576" t="str">
        <f t="shared" si="76"/>
        <v/>
      </c>
      <c r="AC213" s="576" t="str">
        <f t="shared" si="68"/>
        <v/>
      </c>
      <c r="AE213" s="576" t="str">
        <f t="shared" si="69"/>
        <v/>
      </c>
      <c r="AG213" s="576" t="str">
        <f t="shared" si="70"/>
        <v/>
      </c>
      <c r="AI213" s="576" t="str">
        <f t="shared" si="71"/>
        <v/>
      </c>
      <c r="AK213" s="576" t="str">
        <f t="shared" si="72"/>
        <v/>
      </c>
      <c r="AM213" s="576" t="str">
        <f t="shared" si="73"/>
        <v/>
      </c>
      <c r="AO213" s="576" t="str">
        <f t="shared" si="74"/>
        <v/>
      </c>
      <c r="AQ213" s="576" t="str">
        <f t="shared" si="75"/>
        <v/>
      </c>
    </row>
    <row r="214" spans="5:43" x14ac:dyDescent="0.2">
      <c r="E214" s="576" t="str">
        <f t="shared" si="81"/>
        <v/>
      </c>
      <c r="G214" s="576" t="str">
        <f t="shared" si="77"/>
        <v/>
      </c>
      <c r="I214" s="576" t="str">
        <f t="shared" si="78"/>
        <v/>
      </c>
      <c r="K214" s="576" t="str">
        <f t="shared" si="79"/>
        <v/>
      </c>
      <c r="M214" s="576" t="str">
        <f t="shared" si="80"/>
        <v/>
      </c>
      <c r="O214" s="576" t="str">
        <f t="shared" si="82"/>
        <v/>
      </c>
      <c r="Q214" s="576" t="str">
        <f t="shared" si="63"/>
        <v/>
      </c>
      <c r="S214" s="576" t="str">
        <f t="shared" si="64"/>
        <v/>
      </c>
      <c r="U214" s="576" t="str">
        <f t="shared" si="65"/>
        <v/>
      </c>
      <c r="W214" s="576" t="str">
        <f t="shared" si="66"/>
        <v/>
      </c>
      <c r="Y214" s="576" t="str">
        <f t="shared" si="67"/>
        <v/>
      </c>
      <c r="AA214" s="576" t="str">
        <f t="shared" si="76"/>
        <v/>
      </c>
      <c r="AC214" s="576" t="str">
        <f t="shared" si="68"/>
        <v/>
      </c>
      <c r="AE214" s="576" t="str">
        <f t="shared" si="69"/>
        <v/>
      </c>
      <c r="AG214" s="576" t="str">
        <f t="shared" si="70"/>
        <v/>
      </c>
      <c r="AI214" s="576" t="str">
        <f t="shared" si="71"/>
        <v/>
      </c>
      <c r="AK214" s="576" t="str">
        <f t="shared" si="72"/>
        <v/>
      </c>
      <c r="AM214" s="576" t="str">
        <f t="shared" si="73"/>
        <v/>
      </c>
      <c r="AO214" s="576" t="str">
        <f t="shared" si="74"/>
        <v/>
      </c>
      <c r="AQ214" s="576" t="str">
        <f t="shared" si="75"/>
        <v/>
      </c>
    </row>
    <row r="215" spans="5:43" x14ac:dyDescent="0.2">
      <c r="E215" s="576" t="str">
        <f t="shared" si="81"/>
        <v/>
      </c>
      <c r="G215" s="576" t="str">
        <f t="shared" si="77"/>
        <v/>
      </c>
      <c r="I215" s="576" t="str">
        <f t="shared" si="78"/>
        <v/>
      </c>
      <c r="K215" s="576" t="str">
        <f t="shared" si="79"/>
        <v/>
      </c>
      <c r="M215" s="576" t="str">
        <f t="shared" si="80"/>
        <v/>
      </c>
      <c r="O215" s="576" t="str">
        <f t="shared" si="82"/>
        <v/>
      </c>
      <c r="Q215" s="576" t="str">
        <f t="shared" si="63"/>
        <v/>
      </c>
      <c r="S215" s="576" t="str">
        <f t="shared" si="64"/>
        <v/>
      </c>
      <c r="U215" s="576" t="str">
        <f t="shared" si="65"/>
        <v/>
      </c>
      <c r="W215" s="576" t="str">
        <f t="shared" si="66"/>
        <v/>
      </c>
      <c r="Y215" s="576" t="str">
        <f t="shared" si="67"/>
        <v/>
      </c>
      <c r="AA215" s="576" t="str">
        <f t="shared" si="76"/>
        <v/>
      </c>
      <c r="AC215" s="576" t="str">
        <f t="shared" si="68"/>
        <v/>
      </c>
      <c r="AE215" s="576" t="str">
        <f t="shared" si="69"/>
        <v/>
      </c>
      <c r="AG215" s="576" t="str">
        <f t="shared" si="70"/>
        <v/>
      </c>
      <c r="AI215" s="576" t="str">
        <f t="shared" si="71"/>
        <v/>
      </c>
      <c r="AK215" s="576" t="str">
        <f t="shared" si="72"/>
        <v/>
      </c>
      <c r="AM215" s="576" t="str">
        <f t="shared" si="73"/>
        <v/>
      </c>
      <c r="AO215" s="576" t="str">
        <f t="shared" si="74"/>
        <v/>
      </c>
      <c r="AQ215" s="576" t="str">
        <f t="shared" si="75"/>
        <v/>
      </c>
    </row>
    <row r="216" spans="5:43" x14ac:dyDescent="0.2">
      <c r="E216" s="576" t="str">
        <f t="shared" si="81"/>
        <v/>
      </c>
      <c r="G216" s="576" t="str">
        <f t="shared" si="77"/>
        <v/>
      </c>
      <c r="I216" s="576" t="str">
        <f t="shared" si="78"/>
        <v/>
      </c>
      <c r="K216" s="576" t="str">
        <f t="shared" si="79"/>
        <v/>
      </c>
      <c r="M216" s="576" t="str">
        <f t="shared" si="80"/>
        <v/>
      </c>
      <c r="O216" s="576" t="str">
        <f t="shared" si="82"/>
        <v/>
      </c>
      <c r="Q216" s="576" t="str">
        <f t="shared" si="63"/>
        <v/>
      </c>
      <c r="S216" s="576" t="str">
        <f t="shared" si="64"/>
        <v/>
      </c>
      <c r="U216" s="576" t="str">
        <f t="shared" si="65"/>
        <v/>
      </c>
      <c r="W216" s="576" t="str">
        <f t="shared" si="66"/>
        <v/>
      </c>
      <c r="Y216" s="576" t="str">
        <f t="shared" si="67"/>
        <v/>
      </c>
      <c r="AA216" s="576" t="str">
        <f t="shared" si="76"/>
        <v/>
      </c>
      <c r="AC216" s="576" t="str">
        <f t="shared" si="68"/>
        <v/>
      </c>
      <c r="AE216" s="576" t="str">
        <f t="shared" si="69"/>
        <v/>
      </c>
      <c r="AG216" s="576" t="str">
        <f t="shared" si="70"/>
        <v/>
      </c>
      <c r="AI216" s="576" t="str">
        <f t="shared" si="71"/>
        <v/>
      </c>
      <c r="AK216" s="576" t="str">
        <f t="shared" si="72"/>
        <v/>
      </c>
      <c r="AM216" s="576" t="str">
        <f t="shared" si="73"/>
        <v/>
      </c>
      <c r="AO216" s="576" t="str">
        <f t="shared" si="74"/>
        <v/>
      </c>
      <c r="AQ216" s="576" t="str">
        <f t="shared" si="75"/>
        <v/>
      </c>
    </row>
    <row r="217" spans="5:43" x14ac:dyDescent="0.2">
      <c r="E217" s="576" t="str">
        <f t="shared" si="81"/>
        <v/>
      </c>
      <c r="G217" s="576" t="str">
        <f t="shared" si="77"/>
        <v/>
      </c>
      <c r="I217" s="576" t="str">
        <f t="shared" si="78"/>
        <v/>
      </c>
      <c r="K217" s="576" t="str">
        <f t="shared" si="79"/>
        <v/>
      </c>
      <c r="M217" s="576" t="str">
        <f t="shared" si="80"/>
        <v/>
      </c>
      <c r="O217" s="576" t="str">
        <f t="shared" si="82"/>
        <v/>
      </c>
      <c r="Q217" s="576" t="str">
        <f t="shared" si="63"/>
        <v/>
      </c>
      <c r="S217" s="576" t="str">
        <f t="shared" si="64"/>
        <v/>
      </c>
      <c r="U217" s="576" t="str">
        <f t="shared" si="65"/>
        <v/>
      </c>
      <c r="W217" s="576" t="str">
        <f t="shared" si="66"/>
        <v/>
      </c>
      <c r="Y217" s="576" t="str">
        <f t="shared" si="67"/>
        <v/>
      </c>
      <c r="AA217" s="576" t="str">
        <f t="shared" si="76"/>
        <v/>
      </c>
      <c r="AC217" s="576" t="str">
        <f t="shared" si="68"/>
        <v/>
      </c>
      <c r="AE217" s="576" t="str">
        <f t="shared" si="69"/>
        <v/>
      </c>
      <c r="AG217" s="576" t="str">
        <f t="shared" si="70"/>
        <v/>
      </c>
      <c r="AI217" s="576" t="str">
        <f t="shared" si="71"/>
        <v/>
      </c>
      <c r="AK217" s="576" t="str">
        <f t="shared" si="72"/>
        <v/>
      </c>
      <c r="AM217" s="576" t="str">
        <f t="shared" si="73"/>
        <v/>
      </c>
      <c r="AO217" s="576" t="str">
        <f t="shared" si="74"/>
        <v/>
      </c>
      <c r="AQ217" s="576" t="str">
        <f t="shared" si="75"/>
        <v/>
      </c>
    </row>
    <row r="218" spans="5:43" x14ac:dyDescent="0.2">
      <c r="E218" s="576" t="str">
        <f t="shared" si="81"/>
        <v/>
      </c>
      <c r="G218" s="576" t="str">
        <f t="shared" si="77"/>
        <v/>
      </c>
      <c r="I218" s="576" t="str">
        <f t="shared" si="78"/>
        <v/>
      </c>
      <c r="K218" s="576" t="str">
        <f t="shared" si="79"/>
        <v/>
      </c>
      <c r="M218" s="576" t="str">
        <f t="shared" si="80"/>
        <v/>
      </c>
      <c r="O218" s="576" t="str">
        <f t="shared" si="82"/>
        <v/>
      </c>
      <c r="Q218" s="576" t="str">
        <f t="shared" si="63"/>
        <v/>
      </c>
      <c r="S218" s="576" t="str">
        <f t="shared" si="64"/>
        <v/>
      </c>
      <c r="U218" s="576" t="str">
        <f t="shared" si="65"/>
        <v/>
      </c>
      <c r="W218" s="576" t="str">
        <f t="shared" si="66"/>
        <v/>
      </c>
      <c r="Y218" s="576" t="str">
        <f t="shared" si="67"/>
        <v/>
      </c>
      <c r="AA218" s="576" t="str">
        <f t="shared" si="76"/>
        <v/>
      </c>
      <c r="AC218" s="576" t="str">
        <f t="shared" si="68"/>
        <v/>
      </c>
      <c r="AE218" s="576" t="str">
        <f t="shared" si="69"/>
        <v/>
      </c>
      <c r="AG218" s="576" t="str">
        <f t="shared" si="70"/>
        <v/>
      </c>
      <c r="AI218" s="576" t="str">
        <f t="shared" si="71"/>
        <v/>
      </c>
      <c r="AK218" s="576" t="str">
        <f t="shared" si="72"/>
        <v/>
      </c>
      <c r="AM218" s="576" t="str">
        <f t="shared" si="73"/>
        <v/>
      </c>
      <c r="AO218" s="576" t="str">
        <f t="shared" si="74"/>
        <v/>
      </c>
      <c r="AQ218" s="576" t="str">
        <f t="shared" si="75"/>
        <v/>
      </c>
    </row>
    <row r="219" spans="5:43" x14ac:dyDescent="0.2">
      <c r="E219" s="576" t="str">
        <f t="shared" si="81"/>
        <v/>
      </c>
      <c r="G219" s="576" t="str">
        <f t="shared" si="77"/>
        <v/>
      </c>
      <c r="I219" s="576" t="str">
        <f t="shared" si="78"/>
        <v/>
      </c>
      <c r="K219" s="576" t="str">
        <f t="shared" si="79"/>
        <v/>
      </c>
      <c r="M219" s="576" t="str">
        <f t="shared" si="80"/>
        <v/>
      </c>
      <c r="O219" s="576" t="str">
        <f t="shared" si="82"/>
        <v/>
      </c>
      <c r="Q219" s="576" t="str">
        <f t="shared" si="63"/>
        <v/>
      </c>
      <c r="S219" s="576" t="str">
        <f t="shared" si="64"/>
        <v/>
      </c>
      <c r="U219" s="576" t="str">
        <f t="shared" si="65"/>
        <v/>
      </c>
      <c r="W219" s="576" t="str">
        <f t="shared" si="66"/>
        <v/>
      </c>
      <c r="Y219" s="576" t="str">
        <f t="shared" si="67"/>
        <v/>
      </c>
      <c r="AA219" s="576" t="str">
        <f t="shared" si="76"/>
        <v/>
      </c>
      <c r="AC219" s="576" t="str">
        <f t="shared" si="68"/>
        <v/>
      </c>
      <c r="AE219" s="576" t="str">
        <f t="shared" si="69"/>
        <v/>
      </c>
      <c r="AG219" s="576" t="str">
        <f t="shared" si="70"/>
        <v/>
      </c>
      <c r="AI219" s="576" t="str">
        <f t="shared" si="71"/>
        <v/>
      </c>
      <c r="AK219" s="576" t="str">
        <f t="shared" si="72"/>
        <v/>
      </c>
      <c r="AM219" s="576" t="str">
        <f t="shared" si="73"/>
        <v/>
      </c>
      <c r="AO219" s="576" t="str">
        <f t="shared" si="74"/>
        <v/>
      </c>
      <c r="AQ219" s="576" t="str">
        <f t="shared" si="75"/>
        <v/>
      </c>
    </row>
    <row r="220" spans="5:43" x14ac:dyDescent="0.2">
      <c r="E220" s="576" t="str">
        <f t="shared" si="81"/>
        <v/>
      </c>
      <c r="G220" s="576" t="str">
        <f t="shared" si="77"/>
        <v/>
      </c>
      <c r="I220" s="576" t="str">
        <f t="shared" si="78"/>
        <v/>
      </c>
      <c r="K220" s="576" t="str">
        <f t="shared" si="79"/>
        <v/>
      </c>
      <c r="M220" s="576" t="str">
        <f t="shared" si="80"/>
        <v/>
      </c>
      <c r="O220" s="576" t="str">
        <f t="shared" si="82"/>
        <v/>
      </c>
      <c r="Q220" s="576" t="str">
        <f t="shared" si="63"/>
        <v/>
      </c>
      <c r="S220" s="576" t="str">
        <f t="shared" si="64"/>
        <v/>
      </c>
      <c r="U220" s="576" t="str">
        <f t="shared" si="65"/>
        <v/>
      </c>
      <c r="W220" s="576" t="str">
        <f t="shared" si="66"/>
        <v/>
      </c>
      <c r="Y220" s="576" t="str">
        <f t="shared" si="67"/>
        <v/>
      </c>
      <c r="AA220" s="576" t="str">
        <f t="shared" si="76"/>
        <v/>
      </c>
      <c r="AC220" s="576" t="str">
        <f t="shared" si="68"/>
        <v/>
      </c>
      <c r="AE220" s="576" t="str">
        <f t="shared" si="69"/>
        <v/>
      </c>
      <c r="AG220" s="576" t="str">
        <f t="shared" si="70"/>
        <v/>
      </c>
      <c r="AI220" s="576" t="str">
        <f t="shared" si="71"/>
        <v/>
      </c>
      <c r="AK220" s="576" t="str">
        <f t="shared" si="72"/>
        <v/>
      </c>
      <c r="AM220" s="576" t="str">
        <f t="shared" si="73"/>
        <v/>
      </c>
      <c r="AO220" s="576" t="str">
        <f t="shared" si="74"/>
        <v/>
      </c>
      <c r="AQ220" s="576" t="str">
        <f t="shared" si="75"/>
        <v/>
      </c>
    </row>
    <row r="221" spans="5:43" x14ac:dyDescent="0.2">
      <c r="E221" s="576" t="str">
        <f t="shared" si="81"/>
        <v/>
      </c>
      <c r="G221" s="576" t="str">
        <f t="shared" si="77"/>
        <v/>
      </c>
      <c r="I221" s="576" t="str">
        <f t="shared" si="78"/>
        <v/>
      </c>
      <c r="K221" s="576" t="str">
        <f t="shared" si="79"/>
        <v/>
      </c>
      <c r="M221" s="576" t="str">
        <f t="shared" si="80"/>
        <v/>
      </c>
      <c r="O221" s="576" t="str">
        <f t="shared" si="82"/>
        <v/>
      </c>
      <c r="Q221" s="576" t="str">
        <f t="shared" si="63"/>
        <v/>
      </c>
      <c r="S221" s="576" t="str">
        <f t="shared" si="64"/>
        <v/>
      </c>
      <c r="U221" s="576" t="str">
        <f t="shared" si="65"/>
        <v/>
      </c>
      <c r="W221" s="576" t="str">
        <f t="shared" si="66"/>
        <v/>
      </c>
      <c r="Y221" s="576" t="str">
        <f t="shared" si="67"/>
        <v/>
      </c>
      <c r="AA221" s="576" t="str">
        <f t="shared" si="76"/>
        <v/>
      </c>
      <c r="AC221" s="576" t="str">
        <f t="shared" si="68"/>
        <v/>
      </c>
      <c r="AE221" s="576" t="str">
        <f t="shared" si="69"/>
        <v/>
      </c>
      <c r="AG221" s="576" t="str">
        <f t="shared" si="70"/>
        <v/>
      </c>
      <c r="AI221" s="576" t="str">
        <f t="shared" si="71"/>
        <v/>
      </c>
      <c r="AK221" s="576" t="str">
        <f t="shared" si="72"/>
        <v/>
      </c>
      <c r="AM221" s="576" t="str">
        <f t="shared" si="73"/>
        <v/>
      </c>
      <c r="AO221" s="576" t="str">
        <f t="shared" si="74"/>
        <v/>
      </c>
      <c r="AQ221" s="576" t="str">
        <f t="shared" si="75"/>
        <v/>
      </c>
    </row>
    <row r="222" spans="5:43" x14ac:dyDescent="0.2">
      <c r="E222" s="576" t="str">
        <f t="shared" si="81"/>
        <v/>
      </c>
      <c r="G222" s="576" t="str">
        <f t="shared" si="77"/>
        <v/>
      </c>
      <c r="I222" s="576" t="str">
        <f t="shared" si="78"/>
        <v/>
      </c>
      <c r="K222" s="576" t="str">
        <f t="shared" si="79"/>
        <v/>
      </c>
      <c r="M222" s="576" t="str">
        <f t="shared" si="80"/>
        <v/>
      </c>
      <c r="O222" s="576" t="str">
        <f t="shared" si="82"/>
        <v/>
      </c>
      <c r="Q222" s="576" t="str">
        <f t="shared" si="63"/>
        <v/>
      </c>
      <c r="S222" s="576" t="str">
        <f t="shared" si="64"/>
        <v/>
      </c>
      <c r="U222" s="576" t="str">
        <f t="shared" si="65"/>
        <v/>
      </c>
      <c r="W222" s="576" t="str">
        <f t="shared" si="66"/>
        <v/>
      </c>
      <c r="Y222" s="576" t="str">
        <f t="shared" si="67"/>
        <v/>
      </c>
      <c r="AA222" s="576" t="str">
        <f t="shared" si="76"/>
        <v/>
      </c>
      <c r="AC222" s="576" t="str">
        <f t="shared" si="68"/>
        <v/>
      </c>
      <c r="AE222" s="576" t="str">
        <f t="shared" si="69"/>
        <v/>
      </c>
      <c r="AG222" s="576" t="str">
        <f t="shared" si="70"/>
        <v/>
      </c>
      <c r="AI222" s="576" t="str">
        <f t="shared" si="71"/>
        <v/>
      </c>
      <c r="AK222" s="576" t="str">
        <f t="shared" si="72"/>
        <v/>
      </c>
      <c r="AM222" s="576" t="str">
        <f t="shared" si="73"/>
        <v/>
      </c>
      <c r="AO222" s="576" t="str">
        <f t="shared" si="74"/>
        <v/>
      </c>
      <c r="AQ222" s="576" t="str">
        <f t="shared" si="75"/>
        <v/>
      </c>
    </row>
    <row r="223" spans="5:43" x14ac:dyDescent="0.2">
      <c r="E223" s="576" t="str">
        <f t="shared" si="81"/>
        <v/>
      </c>
      <c r="G223" s="576" t="str">
        <f t="shared" si="77"/>
        <v/>
      </c>
      <c r="I223" s="576" t="str">
        <f t="shared" si="78"/>
        <v/>
      </c>
      <c r="K223" s="576" t="str">
        <f t="shared" si="79"/>
        <v/>
      </c>
      <c r="M223" s="576" t="str">
        <f t="shared" si="80"/>
        <v/>
      </c>
      <c r="O223" s="576" t="str">
        <f t="shared" si="82"/>
        <v/>
      </c>
      <c r="Q223" s="576" t="str">
        <f t="shared" ref="Q223:Q286" si="83">IF(OR($B222=0,P223=0),"",P223/$B222)</f>
        <v/>
      </c>
      <c r="S223" s="576" t="str">
        <f t="shared" ref="S223:S286" si="84">IF(OR($B222=0,R223=0),"",R223/$B222)</f>
        <v/>
      </c>
      <c r="U223" s="576" t="str">
        <f t="shared" ref="U223:U286" si="85">IF(OR($B222=0,T223=0),"",T223/$B222)</f>
        <v/>
      </c>
      <c r="W223" s="576" t="str">
        <f t="shared" ref="W223:W286" si="86">IF(OR($B222=0,V223=0),"",V223/$B222)</f>
        <v/>
      </c>
      <c r="Y223" s="576" t="str">
        <f t="shared" ref="Y223:Y286" si="87">IF(OR($B222=0,X223=0),"",X223/$B222)</f>
        <v/>
      </c>
      <c r="AA223" s="576" t="str">
        <f t="shared" si="76"/>
        <v/>
      </c>
      <c r="AC223" s="576" t="str">
        <f t="shared" ref="AC223:AC286" si="88">IF(OR($B222=0,AB223=0),"",AB223/$B222)</f>
        <v/>
      </c>
      <c r="AE223" s="576" t="str">
        <f t="shared" ref="AE223:AE286" si="89">IF(OR($B222=0,AD223=0),"",AD223/$B222)</f>
        <v/>
      </c>
      <c r="AG223" s="576" t="str">
        <f t="shared" ref="AG223:AG286" si="90">IF(OR($B222=0,AF223=0),"",AF223/$B222)</f>
        <v/>
      </c>
      <c r="AI223" s="576" t="str">
        <f t="shared" ref="AI223:AI286" si="91">IF(OR($B222=0,AH223=0),"",AH223/$B222)</f>
        <v/>
      </c>
      <c r="AK223" s="576" t="str">
        <f t="shared" ref="AK223:AK286" si="92">IF(OR($B222=0,AJ223=0),"",AJ223/$B222)</f>
        <v/>
      </c>
      <c r="AM223" s="576" t="str">
        <f t="shared" ref="AM223:AM286" si="93">IF(OR($B222=0,AL223=0),"",AL223/$B222)</f>
        <v/>
      </c>
      <c r="AO223" s="576" t="str">
        <f t="shared" ref="AO223:AO286" si="94">IF(OR($B222=0,AN223=0),"",AN223/$B222)</f>
        <v/>
      </c>
      <c r="AQ223" s="576" t="str">
        <f t="shared" ref="AQ223:AQ286" si="95">IF(OR($B222=0,AP223=0),"",AP223/$B222)</f>
        <v/>
      </c>
    </row>
    <row r="224" spans="5:43" x14ac:dyDescent="0.2">
      <c r="E224" s="576" t="str">
        <f t="shared" si="81"/>
        <v/>
      </c>
      <c r="G224" s="576" t="str">
        <f t="shared" si="77"/>
        <v/>
      </c>
      <c r="I224" s="576" t="str">
        <f t="shared" si="78"/>
        <v/>
      </c>
      <c r="K224" s="576" t="str">
        <f t="shared" si="79"/>
        <v/>
      </c>
      <c r="M224" s="576" t="str">
        <f t="shared" si="80"/>
        <v/>
      </c>
      <c r="O224" s="576" t="str">
        <f t="shared" si="82"/>
        <v/>
      </c>
      <c r="Q224" s="576" t="str">
        <f t="shared" si="83"/>
        <v/>
      </c>
      <c r="S224" s="576" t="str">
        <f t="shared" si="84"/>
        <v/>
      </c>
      <c r="U224" s="576" t="str">
        <f t="shared" si="85"/>
        <v/>
      </c>
      <c r="W224" s="576" t="str">
        <f t="shared" si="86"/>
        <v/>
      </c>
      <c r="Y224" s="576" t="str">
        <f t="shared" si="87"/>
        <v/>
      </c>
      <c r="AA224" s="576" t="str">
        <f t="shared" ref="AA224:AA287" si="96">IF(OR($B223=0,Z224=0),"",Z224/$B223)</f>
        <v/>
      </c>
      <c r="AC224" s="576" t="str">
        <f t="shared" si="88"/>
        <v/>
      </c>
      <c r="AE224" s="576" t="str">
        <f t="shared" si="89"/>
        <v/>
      </c>
      <c r="AG224" s="576" t="str">
        <f t="shared" si="90"/>
        <v/>
      </c>
      <c r="AI224" s="576" t="str">
        <f t="shared" si="91"/>
        <v/>
      </c>
      <c r="AK224" s="576" t="str">
        <f t="shared" si="92"/>
        <v/>
      </c>
      <c r="AM224" s="576" t="str">
        <f t="shared" si="93"/>
        <v/>
      </c>
      <c r="AO224" s="576" t="str">
        <f t="shared" si="94"/>
        <v/>
      </c>
      <c r="AQ224" s="576" t="str">
        <f t="shared" si="95"/>
        <v/>
      </c>
    </row>
    <row r="225" spans="5:43" x14ac:dyDescent="0.2">
      <c r="E225" s="576" t="str">
        <f t="shared" si="81"/>
        <v/>
      </c>
      <c r="G225" s="576" t="str">
        <f t="shared" si="77"/>
        <v/>
      </c>
      <c r="I225" s="576" t="str">
        <f t="shared" si="78"/>
        <v/>
      </c>
      <c r="K225" s="576" t="str">
        <f t="shared" si="79"/>
        <v/>
      </c>
      <c r="M225" s="576" t="str">
        <f t="shared" si="80"/>
        <v/>
      </c>
      <c r="O225" s="576" t="str">
        <f t="shared" si="82"/>
        <v/>
      </c>
      <c r="Q225" s="576" t="str">
        <f t="shared" si="83"/>
        <v/>
      </c>
      <c r="S225" s="576" t="str">
        <f t="shared" si="84"/>
        <v/>
      </c>
      <c r="U225" s="576" t="str">
        <f t="shared" si="85"/>
        <v/>
      </c>
      <c r="W225" s="576" t="str">
        <f t="shared" si="86"/>
        <v/>
      </c>
      <c r="Y225" s="576" t="str">
        <f t="shared" si="87"/>
        <v/>
      </c>
      <c r="AA225" s="576" t="str">
        <f t="shared" si="96"/>
        <v/>
      </c>
      <c r="AC225" s="576" t="str">
        <f t="shared" si="88"/>
        <v/>
      </c>
      <c r="AE225" s="576" t="str">
        <f t="shared" si="89"/>
        <v/>
      </c>
      <c r="AG225" s="576" t="str">
        <f t="shared" si="90"/>
        <v/>
      </c>
      <c r="AI225" s="576" t="str">
        <f t="shared" si="91"/>
        <v/>
      </c>
      <c r="AK225" s="576" t="str">
        <f t="shared" si="92"/>
        <v/>
      </c>
      <c r="AM225" s="576" t="str">
        <f t="shared" si="93"/>
        <v/>
      </c>
      <c r="AO225" s="576" t="str">
        <f t="shared" si="94"/>
        <v/>
      </c>
      <c r="AQ225" s="576" t="str">
        <f t="shared" si="95"/>
        <v/>
      </c>
    </row>
    <row r="226" spans="5:43" x14ac:dyDescent="0.2">
      <c r="E226" s="576" t="str">
        <f t="shared" si="81"/>
        <v/>
      </c>
      <c r="G226" s="576" t="str">
        <f t="shared" ref="G226:G289" si="97">IF(OR($B225=0,F226=0),"",F226/$B225)</f>
        <v/>
      </c>
      <c r="I226" s="576" t="str">
        <f t="shared" ref="I226:I289" si="98">IF(OR($B225=0,H226=0),"",H226/$B225)</f>
        <v/>
      </c>
      <c r="K226" s="576" t="str">
        <f t="shared" ref="K226:K289" si="99">IF(OR($B225=0,J226=0),"",J226/$B225)</f>
        <v/>
      </c>
      <c r="M226" s="576" t="str">
        <f t="shared" ref="M226:M289" si="100">IF(OR($B225=0,L226=0),"",L226/$B225)</f>
        <v/>
      </c>
      <c r="O226" s="576" t="str">
        <f t="shared" si="82"/>
        <v/>
      </c>
      <c r="Q226" s="576" t="str">
        <f t="shared" si="83"/>
        <v/>
      </c>
      <c r="S226" s="576" t="str">
        <f t="shared" si="84"/>
        <v/>
      </c>
      <c r="U226" s="576" t="str">
        <f t="shared" si="85"/>
        <v/>
      </c>
      <c r="W226" s="576" t="str">
        <f t="shared" si="86"/>
        <v/>
      </c>
      <c r="Y226" s="576" t="str">
        <f t="shared" si="87"/>
        <v/>
      </c>
      <c r="AA226" s="576" t="str">
        <f t="shared" si="96"/>
        <v/>
      </c>
      <c r="AC226" s="576" t="str">
        <f t="shared" si="88"/>
        <v/>
      </c>
      <c r="AE226" s="576" t="str">
        <f t="shared" si="89"/>
        <v/>
      </c>
      <c r="AG226" s="576" t="str">
        <f t="shared" si="90"/>
        <v/>
      </c>
      <c r="AI226" s="576" t="str">
        <f t="shared" si="91"/>
        <v/>
      </c>
      <c r="AK226" s="576" t="str">
        <f t="shared" si="92"/>
        <v/>
      </c>
      <c r="AM226" s="576" t="str">
        <f t="shared" si="93"/>
        <v/>
      </c>
      <c r="AO226" s="576" t="str">
        <f t="shared" si="94"/>
        <v/>
      </c>
      <c r="AQ226" s="576" t="str">
        <f t="shared" si="95"/>
        <v/>
      </c>
    </row>
    <row r="227" spans="5:43" x14ac:dyDescent="0.2">
      <c r="E227" s="576" t="str">
        <f t="shared" ref="E227:E290" si="101">IF(OR($B226=0,D227=0),"",D227/$B226)</f>
        <v/>
      </c>
      <c r="G227" s="576" t="str">
        <f t="shared" si="97"/>
        <v/>
      </c>
      <c r="I227" s="576" t="str">
        <f t="shared" si="98"/>
        <v/>
      </c>
      <c r="K227" s="576" t="str">
        <f t="shared" si="99"/>
        <v/>
      </c>
      <c r="M227" s="576" t="str">
        <f t="shared" si="100"/>
        <v/>
      </c>
      <c r="O227" s="576" t="str">
        <f t="shared" ref="O227:O290" si="102">IF(OR($B226=0,N227=0),"",N227/$B226)</f>
        <v/>
      </c>
      <c r="Q227" s="576" t="str">
        <f t="shared" si="83"/>
        <v/>
      </c>
      <c r="S227" s="576" t="str">
        <f t="shared" si="84"/>
        <v/>
      </c>
      <c r="U227" s="576" t="str">
        <f t="shared" si="85"/>
        <v/>
      </c>
      <c r="W227" s="576" t="str">
        <f t="shared" si="86"/>
        <v/>
      </c>
      <c r="Y227" s="576" t="str">
        <f t="shared" si="87"/>
        <v/>
      </c>
      <c r="AA227" s="576" t="str">
        <f t="shared" si="96"/>
        <v/>
      </c>
      <c r="AC227" s="576" t="str">
        <f t="shared" si="88"/>
        <v/>
      </c>
      <c r="AE227" s="576" t="str">
        <f t="shared" si="89"/>
        <v/>
      </c>
      <c r="AG227" s="576" t="str">
        <f t="shared" si="90"/>
        <v/>
      </c>
      <c r="AI227" s="576" t="str">
        <f t="shared" si="91"/>
        <v/>
      </c>
      <c r="AK227" s="576" t="str">
        <f t="shared" si="92"/>
        <v/>
      </c>
      <c r="AM227" s="576" t="str">
        <f t="shared" si="93"/>
        <v/>
      </c>
      <c r="AO227" s="576" t="str">
        <f t="shared" si="94"/>
        <v/>
      </c>
      <c r="AQ227" s="576" t="str">
        <f t="shared" si="95"/>
        <v/>
      </c>
    </row>
    <row r="228" spans="5:43" x14ac:dyDescent="0.2">
      <c r="E228" s="576" t="str">
        <f t="shared" si="101"/>
        <v/>
      </c>
      <c r="G228" s="576" t="str">
        <f t="shared" si="97"/>
        <v/>
      </c>
      <c r="I228" s="576" t="str">
        <f t="shared" si="98"/>
        <v/>
      </c>
      <c r="K228" s="576" t="str">
        <f t="shared" si="99"/>
        <v/>
      </c>
      <c r="M228" s="576" t="str">
        <f t="shared" si="100"/>
        <v/>
      </c>
      <c r="O228" s="576" t="str">
        <f t="shared" si="102"/>
        <v/>
      </c>
      <c r="Q228" s="576" t="str">
        <f t="shared" si="83"/>
        <v/>
      </c>
      <c r="S228" s="576" t="str">
        <f t="shared" si="84"/>
        <v/>
      </c>
      <c r="U228" s="576" t="str">
        <f t="shared" si="85"/>
        <v/>
      </c>
      <c r="W228" s="576" t="str">
        <f t="shared" si="86"/>
        <v/>
      </c>
      <c r="Y228" s="576" t="str">
        <f t="shared" si="87"/>
        <v/>
      </c>
      <c r="AA228" s="576" t="str">
        <f t="shared" si="96"/>
        <v/>
      </c>
      <c r="AC228" s="576" t="str">
        <f t="shared" si="88"/>
        <v/>
      </c>
      <c r="AE228" s="576" t="str">
        <f t="shared" si="89"/>
        <v/>
      </c>
      <c r="AG228" s="576" t="str">
        <f t="shared" si="90"/>
        <v/>
      </c>
      <c r="AI228" s="576" t="str">
        <f t="shared" si="91"/>
        <v/>
      </c>
      <c r="AK228" s="576" t="str">
        <f t="shared" si="92"/>
        <v/>
      </c>
      <c r="AM228" s="576" t="str">
        <f t="shared" si="93"/>
        <v/>
      </c>
      <c r="AO228" s="576" t="str">
        <f t="shared" si="94"/>
        <v/>
      </c>
      <c r="AQ228" s="576" t="str">
        <f t="shared" si="95"/>
        <v/>
      </c>
    </row>
    <row r="229" spans="5:43" x14ac:dyDescent="0.2">
      <c r="E229" s="576" t="str">
        <f t="shared" si="101"/>
        <v/>
      </c>
      <c r="G229" s="576" t="str">
        <f t="shared" si="97"/>
        <v/>
      </c>
      <c r="I229" s="576" t="str">
        <f t="shared" si="98"/>
        <v/>
      </c>
      <c r="K229" s="576" t="str">
        <f t="shared" si="99"/>
        <v/>
      </c>
      <c r="M229" s="576" t="str">
        <f t="shared" si="100"/>
        <v/>
      </c>
      <c r="O229" s="576" t="str">
        <f t="shared" si="102"/>
        <v/>
      </c>
      <c r="Q229" s="576" t="str">
        <f t="shared" si="83"/>
        <v/>
      </c>
      <c r="S229" s="576" t="str">
        <f t="shared" si="84"/>
        <v/>
      </c>
      <c r="U229" s="576" t="str">
        <f t="shared" si="85"/>
        <v/>
      </c>
      <c r="W229" s="576" t="str">
        <f t="shared" si="86"/>
        <v/>
      </c>
      <c r="Y229" s="576" t="str">
        <f t="shared" si="87"/>
        <v/>
      </c>
      <c r="AA229" s="576" t="str">
        <f t="shared" si="96"/>
        <v/>
      </c>
      <c r="AC229" s="576" t="str">
        <f t="shared" si="88"/>
        <v/>
      </c>
      <c r="AE229" s="576" t="str">
        <f t="shared" si="89"/>
        <v/>
      </c>
      <c r="AG229" s="576" t="str">
        <f t="shared" si="90"/>
        <v/>
      </c>
      <c r="AI229" s="576" t="str">
        <f t="shared" si="91"/>
        <v/>
      </c>
      <c r="AK229" s="576" t="str">
        <f t="shared" si="92"/>
        <v/>
      </c>
      <c r="AM229" s="576" t="str">
        <f t="shared" si="93"/>
        <v/>
      </c>
      <c r="AO229" s="576" t="str">
        <f t="shared" si="94"/>
        <v/>
      </c>
      <c r="AQ229" s="576" t="str">
        <f t="shared" si="95"/>
        <v/>
      </c>
    </row>
    <row r="230" spans="5:43" x14ac:dyDescent="0.2">
      <c r="E230" s="576" t="str">
        <f t="shared" si="101"/>
        <v/>
      </c>
      <c r="G230" s="576" t="str">
        <f t="shared" si="97"/>
        <v/>
      </c>
      <c r="I230" s="576" t="str">
        <f t="shared" si="98"/>
        <v/>
      </c>
      <c r="K230" s="576" t="str">
        <f t="shared" si="99"/>
        <v/>
      </c>
      <c r="M230" s="576" t="str">
        <f t="shared" si="100"/>
        <v/>
      </c>
      <c r="O230" s="576" t="str">
        <f t="shared" si="102"/>
        <v/>
      </c>
      <c r="Q230" s="576" t="str">
        <f t="shared" si="83"/>
        <v/>
      </c>
      <c r="S230" s="576" t="str">
        <f t="shared" si="84"/>
        <v/>
      </c>
      <c r="U230" s="576" t="str">
        <f t="shared" si="85"/>
        <v/>
      </c>
      <c r="W230" s="576" t="str">
        <f t="shared" si="86"/>
        <v/>
      </c>
      <c r="Y230" s="576" t="str">
        <f t="shared" si="87"/>
        <v/>
      </c>
      <c r="AA230" s="576" t="str">
        <f t="shared" si="96"/>
        <v/>
      </c>
      <c r="AC230" s="576" t="str">
        <f t="shared" si="88"/>
        <v/>
      </c>
      <c r="AE230" s="576" t="str">
        <f t="shared" si="89"/>
        <v/>
      </c>
      <c r="AG230" s="576" t="str">
        <f t="shared" si="90"/>
        <v/>
      </c>
      <c r="AI230" s="576" t="str">
        <f t="shared" si="91"/>
        <v/>
      </c>
      <c r="AK230" s="576" t="str">
        <f t="shared" si="92"/>
        <v/>
      </c>
      <c r="AM230" s="576" t="str">
        <f t="shared" si="93"/>
        <v/>
      </c>
      <c r="AO230" s="576" t="str">
        <f t="shared" si="94"/>
        <v/>
      </c>
      <c r="AQ230" s="576" t="str">
        <f t="shared" si="95"/>
        <v/>
      </c>
    </row>
    <row r="231" spans="5:43" x14ac:dyDescent="0.2">
      <c r="E231" s="576" t="str">
        <f t="shared" si="101"/>
        <v/>
      </c>
      <c r="G231" s="576" t="str">
        <f t="shared" si="97"/>
        <v/>
      </c>
      <c r="I231" s="576" t="str">
        <f t="shared" si="98"/>
        <v/>
      </c>
      <c r="K231" s="576" t="str">
        <f t="shared" si="99"/>
        <v/>
      </c>
      <c r="M231" s="576" t="str">
        <f t="shared" si="100"/>
        <v/>
      </c>
      <c r="O231" s="576" t="str">
        <f t="shared" si="102"/>
        <v/>
      </c>
      <c r="Q231" s="576" t="str">
        <f t="shared" si="83"/>
        <v/>
      </c>
      <c r="S231" s="576" t="str">
        <f t="shared" si="84"/>
        <v/>
      </c>
      <c r="U231" s="576" t="str">
        <f t="shared" si="85"/>
        <v/>
      </c>
      <c r="W231" s="576" t="str">
        <f t="shared" si="86"/>
        <v/>
      </c>
      <c r="Y231" s="576" t="str">
        <f t="shared" si="87"/>
        <v/>
      </c>
      <c r="AA231" s="576" t="str">
        <f t="shared" si="96"/>
        <v/>
      </c>
      <c r="AC231" s="576" t="str">
        <f t="shared" si="88"/>
        <v/>
      </c>
      <c r="AE231" s="576" t="str">
        <f t="shared" si="89"/>
        <v/>
      </c>
      <c r="AG231" s="576" t="str">
        <f t="shared" si="90"/>
        <v/>
      </c>
      <c r="AI231" s="576" t="str">
        <f t="shared" si="91"/>
        <v/>
      </c>
      <c r="AK231" s="576" t="str">
        <f t="shared" si="92"/>
        <v/>
      </c>
      <c r="AM231" s="576" t="str">
        <f t="shared" si="93"/>
        <v/>
      </c>
      <c r="AO231" s="576" t="str">
        <f t="shared" si="94"/>
        <v/>
      </c>
      <c r="AQ231" s="576" t="str">
        <f t="shared" si="95"/>
        <v/>
      </c>
    </row>
    <row r="232" spans="5:43" x14ac:dyDescent="0.2">
      <c r="E232" s="576" t="str">
        <f t="shared" si="101"/>
        <v/>
      </c>
      <c r="G232" s="576" t="str">
        <f t="shared" si="97"/>
        <v/>
      </c>
      <c r="I232" s="576" t="str">
        <f t="shared" si="98"/>
        <v/>
      </c>
      <c r="K232" s="576" t="str">
        <f t="shared" si="99"/>
        <v/>
      </c>
      <c r="M232" s="576" t="str">
        <f t="shared" si="100"/>
        <v/>
      </c>
      <c r="O232" s="576" t="str">
        <f t="shared" si="102"/>
        <v/>
      </c>
      <c r="Q232" s="576" t="str">
        <f t="shared" si="83"/>
        <v/>
      </c>
      <c r="S232" s="576" t="str">
        <f t="shared" si="84"/>
        <v/>
      </c>
      <c r="U232" s="576" t="str">
        <f t="shared" si="85"/>
        <v/>
      </c>
      <c r="W232" s="576" t="str">
        <f t="shared" si="86"/>
        <v/>
      </c>
      <c r="Y232" s="576" t="str">
        <f t="shared" si="87"/>
        <v/>
      </c>
      <c r="AA232" s="576" t="str">
        <f t="shared" si="96"/>
        <v/>
      </c>
      <c r="AC232" s="576" t="str">
        <f t="shared" si="88"/>
        <v/>
      </c>
      <c r="AE232" s="576" t="str">
        <f t="shared" si="89"/>
        <v/>
      </c>
      <c r="AG232" s="576" t="str">
        <f t="shared" si="90"/>
        <v/>
      </c>
      <c r="AI232" s="576" t="str">
        <f t="shared" si="91"/>
        <v/>
      </c>
      <c r="AK232" s="576" t="str">
        <f t="shared" si="92"/>
        <v/>
      </c>
      <c r="AM232" s="576" t="str">
        <f t="shared" si="93"/>
        <v/>
      </c>
      <c r="AO232" s="576" t="str">
        <f t="shared" si="94"/>
        <v/>
      </c>
      <c r="AQ232" s="576" t="str">
        <f t="shared" si="95"/>
        <v/>
      </c>
    </row>
    <row r="233" spans="5:43" x14ac:dyDescent="0.2">
      <c r="E233" s="576" t="str">
        <f t="shared" si="101"/>
        <v/>
      </c>
      <c r="G233" s="576" t="str">
        <f t="shared" si="97"/>
        <v/>
      </c>
      <c r="I233" s="576" t="str">
        <f t="shared" si="98"/>
        <v/>
      </c>
      <c r="K233" s="576" t="str">
        <f t="shared" si="99"/>
        <v/>
      </c>
      <c r="M233" s="576" t="str">
        <f t="shared" si="100"/>
        <v/>
      </c>
      <c r="O233" s="576" t="str">
        <f t="shared" si="102"/>
        <v/>
      </c>
      <c r="Q233" s="576" t="str">
        <f t="shared" si="83"/>
        <v/>
      </c>
      <c r="S233" s="576" t="str">
        <f t="shared" si="84"/>
        <v/>
      </c>
      <c r="U233" s="576" t="str">
        <f t="shared" si="85"/>
        <v/>
      </c>
      <c r="W233" s="576" t="str">
        <f t="shared" si="86"/>
        <v/>
      </c>
      <c r="Y233" s="576" t="str">
        <f t="shared" si="87"/>
        <v/>
      </c>
      <c r="AA233" s="576" t="str">
        <f t="shared" si="96"/>
        <v/>
      </c>
      <c r="AC233" s="576" t="str">
        <f t="shared" si="88"/>
        <v/>
      </c>
      <c r="AE233" s="576" t="str">
        <f t="shared" si="89"/>
        <v/>
      </c>
      <c r="AG233" s="576" t="str">
        <f t="shared" si="90"/>
        <v/>
      </c>
      <c r="AI233" s="576" t="str">
        <f t="shared" si="91"/>
        <v/>
      </c>
      <c r="AK233" s="576" t="str">
        <f t="shared" si="92"/>
        <v/>
      </c>
      <c r="AM233" s="576" t="str">
        <f t="shared" si="93"/>
        <v/>
      </c>
      <c r="AO233" s="576" t="str">
        <f t="shared" si="94"/>
        <v/>
      </c>
      <c r="AQ233" s="576" t="str">
        <f t="shared" si="95"/>
        <v/>
      </c>
    </row>
    <row r="234" spans="5:43" x14ac:dyDescent="0.2">
      <c r="E234" s="576" t="str">
        <f t="shared" si="101"/>
        <v/>
      </c>
      <c r="G234" s="576" t="str">
        <f t="shared" si="97"/>
        <v/>
      </c>
      <c r="I234" s="576" t="str">
        <f t="shared" si="98"/>
        <v/>
      </c>
      <c r="K234" s="576" t="str">
        <f t="shared" si="99"/>
        <v/>
      </c>
      <c r="M234" s="576" t="str">
        <f t="shared" si="100"/>
        <v/>
      </c>
      <c r="O234" s="576" t="str">
        <f t="shared" si="102"/>
        <v/>
      </c>
      <c r="Q234" s="576" t="str">
        <f t="shared" si="83"/>
        <v/>
      </c>
      <c r="S234" s="576" t="str">
        <f t="shared" si="84"/>
        <v/>
      </c>
      <c r="U234" s="576" t="str">
        <f t="shared" si="85"/>
        <v/>
      </c>
      <c r="W234" s="576" t="str">
        <f t="shared" si="86"/>
        <v/>
      </c>
      <c r="Y234" s="576" t="str">
        <f t="shared" si="87"/>
        <v/>
      </c>
      <c r="AA234" s="576" t="str">
        <f t="shared" si="96"/>
        <v/>
      </c>
      <c r="AC234" s="576" t="str">
        <f t="shared" si="88"/>
        <v/>
      </c>
      <c r="AE234" s="576" t="str">
        <f t="shared" si="89"/>
        <v/>
      </c>
      <c r="AG234" s="576" t="str">
        <f t="shared" si="90"/>
        <v/>
      </c>
      <c r="AI234" s="576" t="str">
        <f t="shared" si="91"/>
        <v/>
      </c>
      <c r="AK234" s="576" t="str">
        <f t="shared" si="92"/>
        <v/>
      </c>
      <c r="AM234" s="576" t="str">
        <f t="shared" si="93"/>
        <v/>
      </c>
      <c r="AO234" s="576" t="str">
        <f t="shared" si="94"/>
        <v/>
      </c>
      <c r="AQ234" s="576" t="str">
        <f t="shared" si="95"/>
        <v/>
      </c>
    </row>
    <row r="235" spans="5:43" x14ac:dyDescent="0.2">
      <c r="E235" s="576" t="str">
        <f t="shared" si="101"/>
        <v/>
      </c>
      <c r="G235" s="576" t="str">
        <f t="shared" si="97"/>
        <v/>
      </c>
      <c r="I235" s="576" t="str">
        <f t="shared" si="98"/>
        <v/>
      </c>
      <c r="K235" s="576" t="str">
        <f t="shared" si="99"/>
        <v/>
      </c>
      <c r="M235" s="576" t="str">
        <f t="shared" si="100"/>
        <v/>
      </c>
      <c r="O235" s="576" t="str">
        <f t="shared" si="102"/>
        <v/>
      </c>
      <c r="Q235" s="576" t="str">
        <f t="shared" si="83"/>
        <v/>
      </c>
      <c r="S235" s="576" t="str">
        <f t="shared" si="84"/>
        <v/>
      </c>
      <c r="U235" s="576" t="str">
        <f t="shared" si="85"/>
        <v/>
      </c>
      <c r="W235" s="576" t="str">
        <f t="shared" si="86"/>
        <v/>
      </c>
      <c r="Y235" s="576" t="str">
        <f t="shared" si="87"/>
        <v/>
      </c>
      <c r="AA235" s="576" t="str">
        <f t="shared" si="96"/>
        <v/>
      </c>
      <c r="AC235" s="576" t="str">
        <f t="shared" si="88"/>
        <v/>
      </c>
      <c r="AE235" s="576" t="str">
        <f t="shared" si="89"/>
        <v/>
      </c>
      <c r="AG235" s="576" t="str">
        <f t="shared" si="90"/>
        <v/>
      </c>
      <c r="AI235" s="576" t="str">
        <f t="shared" si="91"/>
        <v/>
      </c>
      <c r="AK235" s="576" t="str">
        <f t="shared" si="92"/>
        <v/>
      </c>
      <c r="AM235" s="576" t="str">
        <f t="shared" si="93"/>
        <v/>
      </c>
      <c r="AO235" s="576" t="str">
        <f t="shared" si="94"/>
        <v/>
      </c>
      <c r="AQ235" s="576" t="str">
        <f t="shared" si="95"/>
        <v/>
      </c>
    </row>
    <row r="236" spans="5:43" x14ac:dyDescent="0.2">
      <c r="E236" s="576" t="str">
        <f t="shared" si="101"/>
        <v/>
      </c>
      <c r="G236" s="576" t="str">
        <f t="shared" si="97"/>
        <v/>
      </c>
      <c r="I236" s="576" t="str">
        <f t="shared" si="98"/>
        <v/>
      </c>
      <c r="K236" s="576" t="str">
        <f t="shared" si="99"/>
        <v/>
      </c>
      <c r="M236" s="576" t="str">
        <f t="shared" si="100"/>
        <v/>
      </c>
      <c r="O236" s="576" t="str">
        <f t="shared" si="102"/>
        <v/>
      </c>
      <c r="Q236" s="576" t="str">
        <f t="shared" si="83"/>
        <v/>
      </c>
      <c r="S236" s="576" t="str">
        <f t="shared" si="84"/>
        <v/>
      </c>
      <c r="U236" s="576" t="str">
        <f t="shared" si="85"/>
        <v/>
      </c>
      <c r="W236" s="576" t="str">
        <f t="shared" si="86"/>
        <v/>
      </c>
      <c r="Y236" s="576" t="str">
        <f t="shared" si="87"/>
        <v/>
      </c>
      <c r="AA236" s="576" t="str">
        <f t="shared" si="96"/>
        <v/>
      </c>
      <c r="AC236" s="576" t="str">
        <f t="shared" si="88"/>
        <v/>
      </c>
      <c r="AE236" s="576" t="str">
        <f t="shared" si="89"/>
        <v/>
      </c>
      <c r="AG236" s="576" t="str">
        <f t="shared" si="90"/>
        <v/>
      </c>
      <c r="AI236" s="576" t="str">
        <f t="shared" si="91"/>
        <v/>
      </c>
      <c r="AK236" s="576" t="str">
        <f t="shared" si="92"/>
        <v/>
      </c>
      <c r="AM236" s="576" t="str">
        <f t="shared" si="93"/>
        <v/>
      </c>
      <c r="AO236" s="576" t="str">
        <f t="shared" si="94"/>
        <v/>
      </c>
      <c r="AQ236" s="576" t="str">
        <f t="shared" si="95"/>
        <v/>
      </c>
    </row>
    <row r="237" spans="5:43" x14ac:dyDescent="0.2">
      <c r="E237" s="576" t="str">
        <f t="shared" si="101"/>
        <v/>
      </c>
      <c r="G237" s="576" t="str">
        <f t="shared" si="97"/>
        <v/>
      </c>
      <c r="I237" s="576" t="str">
        <f t="shared" si="98"/>
        <v/>
      </c>
      <c r="K237" s="576" t="str">
        <f t="shared" si="99"/>
        <v/>
      </c>
      <c r="M237" s="576" t="str">
        <f t="shared" si="100"/>
        <v/>
      </c>
      <c r="O237" s="576" t="str">
        <f t="shared" si="102"/>
        <v/>
      </c>
      <c r="Q237" s="576" t="str">
        <f t="shared" si="83"/>
        <v/>
      </c>
      <c r="S237" s="576" t="str">
        <f t="shared" si="84"/>
        <v/>
      </c>
      <c r="U237" s="576" t="str">
        <f t="shared" si="85"/>
        <v/>
      </c>
      <c r="W237" s="576" t="str">
        <f t="shared" si="86"/>
        <v/>
      </c>
      <c r="Y237" s="576" t="str">
        <f t="shared" si="87"/>
        <v/>
      </c>
      <c r="AA237" s="576" t="str">
        <f t="shared" si="96"/>
        <v/>
      </c>
      <c r="AC237" s="576" t="str">
        <f t="shared" si="88"/>
        <v/>
      </c>
      <c r="AE237" s="576" t="str">
        <f t="shared" si="89"/>
        <v/>
      </c>
      <c r="AG237" s="576" t="str">
        <f t="shared" si="90"/>
        <v/>
      </c>
      <c r="AI237" s="576" t="str">
        <f t="shared" si="91"/>
        <v/>
      </c>
      <c r="AK237" s="576" t="str">
        <f t="shared" si="92"/>
        <v/>
      </c>
      <c r="AM237" s="576" t="str">
        <f t="shared" si="93"/>
        <v/>
      </c>
      <c r="AO237" s="576" t="str">
        <f t="shared" si="94"/>
        <v/>
      </c>
      <c r="AQ237" s="576" t="str">
        <f t="shared" si="95"/>
        <v/>
      </c>
    </row>
    <row r="238" spans="5:43" x14ac:dyDescent="0.2">
      <c r="E238" s="576" t="str">
        <f t="shared" si="101"/>
        <v/>
      </c>
      <c r="G238" s="576" t="str">
        <f t="shared" si="97"/>
        <v/>
      </c>
      <c r="I238" s="576" t="str">
        <f t="shared" si="98"/>
        <v/>
      </c>
      <c r="K238" s="576" t="str">
        <f t="shared" si="99"/>
        <v/>
      </c>
      <c r="M238" s="576" t="str">
        <f t="shared" si="100"/>
        <v/>
      </c>
      <c r="O238" s="576" t="str">
        <f t="shared" si="102"/>
        <v/>
      </c>
      <c r="Q238" s="576" t="str">
        <f t="shared" si="83"/>
        <v/>
      </c>
      <c r="S238" s="576" t="str">
        <f t="shared" si="84"/>
        <v/>
      </c>
      <c r="U238" s="576" t="str">
        <f t="shared" si="85"/>
        <v/>
      </c>
      <c r="W238" s="576" t="str">
        <f t="shared" si="86"/>
        <v/>
      </c>
      <c r="Y238" s="576" t="str">
        <f t="shared" si="87"/>
        <v/>
      </c>
      <c r="AA238" s="576" t="str">
        <f t="shared" si="96"/>
        <v/>
      </c>
      <c r="AC238" s="576" t="str">
        <f t="shared" si="88"/>
        <v/>
      </c>
      <c r="AE238" s="576" t="str">
        <f t="shared" si="89"/>
        <v/>
      </c>
      <c r="AG238" s="576" t="str">
        <f t="shared" si="90"/>
        <v/>
      </c>
      <c r="AI238" s="576" t="str">
        <f t="shared" si="91"/>
        <v/>
      </c>
      <c r="AK238" s="576" t="str">
        <f t="shared" si="92"/>
        <v/>
      </c>
      <c r="AM238" s="576" t="str">
        <f t="shared" si="93"/>
        <v/>
      </c>
      <c r="AO238" s="576" t="str">
        <f t="shared" si="94"/>
        <v/>
      </c>
      <c r="AQ238" s="576" t="str">
        <f t="shared" si="95"/>
        <v/>
      </c>
    </row>
    <row r="239" spans="5:43" x14ac:dyDescent="0.2">
      <c r="E239" s="576" t="str">
        <f t="shared" si="101"/>
        <v/>
      </c>
      <c r="G239" s="576" t="str">
        <f t="shared" si="97"/>
        <v/>
      </c>
      <c r="I239" s="576" t="str">
        <f t="shared" si="98"/>
        <v/>
      </c>
      <c r="K239" s="576" t="str">
        <f t="shared" si="99"/>
        <v/>
      </c>
      <c r="M239" s="576" t="str">
        <f t="shared" si="100"/>
        <v/>
      </c>
      <c r="O239" s="576" t="str">
        <f t="shared" si="102"/>
        <v/>
      </c>
      <c r="Q239" s="576" t="str">
        <f t="shared" si="83"/>
        <v/>
      </c>
      <c r="S239" s="576" t="str">
        <f t="shared" si="84"/>
        <v/>
      </c>
      <c r="U239" s="576" t="str">
        <f t="shared" si="85"/>
        <v/>
      </c>
      <c r="W239" s="576" t="str">
        <f t="shared" si="86"/>
        <v/>
      </c>
      <c r="Y239" s="576" t="str">
        <f t="shared" si="87"/>
        <v/>
      </c>
      <c r="AA239" s="576" t="str">
        <f t="shared" si="96"/>
        <v/>
      </c>
      <c r="AC239" s="576" t="str">
        <f t="shared" si="88"/>
        <v/>
      </c>
      <c r="AE239" s="576" t="str">
        <f t="shared" si="89"/>
        <v/>
      </c>
      <c r="AG239" s="576" t="str">
        <f t="shared" si="90"/>
        <v/>
      </c>
      <c r="AI239" s="576" t="str">
        <f t="shared" si="91"/>
        <v/>
      </c>
      <c r="AK239" s="576" t="str">
        <f t="shared" si="92"/>
        <v/>
      </c>
      <c r="AM239" s="576" t="str">
        <f t="shared" si="93"/>
        <v/>
      </c>
      <c r="AO239" s="576" t="str">
        <f t="shared" si="94"/>
        <v/>
      </c>
      <c r="AQ239" s="576" t="str">
        <f t="shared" si="95"/>
        <v/>
      </c>
    </row>
    <row r="240" spans="5:43" x14ac:dyDescent="0.2">
      <c r="E240" s="576" t="str">
        <f t="shared" si="101"/>
        <v/>
      </c>
      <c r="G240" s="576" t="str">
        <f t="shared" si="97"/>
        <v/>
      </c>
      <c r="I240" s="576" t="str">
        <f t="shared" si="98"/>
        <v/>
      </c>
      <c r="K240" s="576" t="str">
        <f t="shared" si="99"/>
        <v/>
      </c>
      <c r="M240" s="576" t="str">
        <f t="shared" si="100"/>
        <v/>
      </c>
      <c r="O240" s="576" t="str">
        <f t="shared" si="102"/>
        <v/>
      </c>
      <c r="Q240" s="576" t="str">
        <f t="shared" si="83"/>
        <v/>
      </c>
      <c r="S240" s="576" t="str">
        <f t="shared" si="84"/>
        <v/>
      </c>
      <c r="U240" s="576" t="str">
        <f t="shared" si="85"/>
        <v/>
      </c>
      <c r="W240" s="576" t="str">
        <f t="shared" si="86"/>
        <v/>
      </c>
      <c r="Y240" s="576" t="str">
        <f t="shared" si="87"/>
        <v/>
      </c>
      <c r="AA240" s="576" t="str">
        <f t="shared" si="96"/>
        <v/>
      </c>
      <c r="AC240" s="576" t="str">
        <f t="shared" si="88"/>
        <v/>
      </c>
      <c r="AE240" s="576" t="str">
        <f t="shared" si="89"/>
        <v/>
      </c>
      <c r="AG240" s="576" t="str">
        <f t="shared" si="90"/>
        <v/>
      </c>
      <c r="AI240" s="576" t="str">
        <f t="shared" si="91"/>
        <v/>
      </c>
      <c r="AK240" s="576" t="str">
        <f t="shared" si="92"/>
        <v/>
      </c>
      <c r="AM240" s="576" t="str">
        <f t="shared" si="93"/>
        <v/>
      </c>
      <c r="AO240" s="576" t="str">
        <f t="shared" si="94"/>
        <v/>
      </c>
      <c r="AQ240" s="576" t="str">
        <f t="shared" si="95"/>
        <v/>
      </c>
    </row>
    <row r="241" spans="5:43" x14ac:dyDescent="0.2">
      <c r="E241" s="576" t="str">
        <f t="shared" si="101"/>
        <v/>
      </c>
      <c r="G241" s="576" t="str">
        <f t="shared" si="97"/>
        <v/>
      </c>
      <c r="I241" s="576" t="str">
        <f t="shared" si="98"/>
        <v/>
      </c>
      <c r="K241" s="576" t="str">
        <f t="shared" si="99"/>
        <v/>
      </c>
      <c r="M241" s="576" t="str">
        <f t="shared" si="100"/>
        <v/>
      </c>
      <c r="O241" s="576" t="str">
        <f t="shared" si="102"/>
        <v/>
      </c>
      <c r="Q241" s="576" t="str">
        <f t="shared" si="83"/>
        <v/>
      </c>
      <c r="S241" s="576" t="str">
        <f t="shared" si="84"/>
        <v/>
      </c>
      <c r="U241" s="576" t="str">
        <f t="shared" si="85"/>
        <v/>
      </c>
      <c r="W241" s="576" t="str">
        <f t="shared" si="86"/>
        <v/>
      </c>
      <c r="Y241" s="576" t="str">
        <f t="shared" si="87"/>
        <v/>
      </c>
      <c r="AA241" s="576" t="str">
        <f t="shared" si="96"/>
        <v/>
      </c>
      <c r="AC241" s="576" t="str">
        <f t="shared" si="88"/>
        <v/>
      </c>
      <c r="AE241" s="576" t="str">
        <f t="shared" si="89"/>
        <v/>
      </c>
      <c r="AG241" s="576" t="str">
        <f t="shared" si="90"/>
        <v/>
      </c>
      <c r="AI241" s="576" t="str">
        <f t="shared" si="91"/>
        <v/>
      </c>
      <c r="AK241" s="576" t="str">
        <f t="shared" si="92"/>
        <v/>
      </c>
      <c r="AM241" s="576" t="str">
        <f t="shared" si="93"/>
        <v/>
      </c>
      <c r="AO241" s="576" t="str">
        <f t="shared" si="94"/>
        <v/>
      </c>
      <c r="AQ241" s="576" t="str">
        <f t="shared" si="95"/>
        <v/>
      </c>
    </row>
    <row r="242" spans="5:43" x14ac:dyDescent="0.2">
      <c r="E242" s="576" t="str">
        <f t="shared" si="101"/>
        <v/>
      </c>
      <c r="G242" s="576" t="str">
        <f t="shared" si="97"/>
        <v/>
      </c>
      <c r="I242" s="576" t="str">
        <f t="shared" si="98"/>
        <v/>
      </c>
      <c r="K242" s="576" t="str">
        <f t="shared" si="99"/>
        <v/>
      </c>
      <c r="M242" s="576" t="str">
        <f t="shared" si="100"/>
        <v/>
      </c>
      <c r="O242" s="576" t="str">
        <f t="shared" si="102"/>
        <v/>
      </c>
      <c r="Q242" s="576" t="str">
        <f t="shared" si="83"/>
        <v/>
      </c>
      <c r="S242" s="576" t="str">
        <f t="shared" si="84"/>
        <v/>
      </c>
      <c r="U242" s="576" t="str">
        <f t="shared" si="85"/>
        <v/>
      </c>
      <c r="W242" s="576" t="str">
        <f t="shared" si="86"/>
        <v/>
      </c>
      <c r="Y242" s="576" t="str">
        <f t="shared" si="87"/>
        <v/>
      </c>
      <c r="AA242" s="576" t="str">
        <f t="shared" si="96"/>
        <v/>
      </c>
      <c r="AC242" s="576" t="str">
        <f t="shared" si="88"/>
        <v/>
      </c>
      <c r="AE242" s="576" t="str">
        <f t="shared" si="89"/>
        <v/>
      </c>
      <c r="AG242" s="576" t="str">
        <f t="shared" si="90"/>
        <v/>
      </c>
      <c r="AI242" s="576" t="str">
        <f t="shared" si="91"/>
        <v/>
      </c>
      <c r="AK242" s="576" t="str">
        <f t="shared" si="92"/>
        <v/>
      </c>
      <c r="AM242" s="576" t="str">
        <f t="shared" si="93"/>
        <v/>
      </c>
      <c r="AO242" s="576" t="str">
        <f t="shared" si="94"/>
        <v/>
      </c>
      <c r="AQ242" s="576" t="str">
        <f t="shared" si="95"/>
        <v/>
      </c>
    </row>
    <row r="243" spans="5:43" x14ac:dyDescent="0.2">
      <c r="E243" s="576" t="str">
        <f t="shared" si="101"/>
        <v/>
      </c>
      <c r="G243" s="576" t="str">
        <f t="shared" si="97"/>
        <v/>
      </c>
      <c r="I243" s="576" t="str">
        <f t="shared" si="98"/>
        <v/>
      </c>
      <c r="K243" s="576" t="str">
        <f t="shared" si="99"/>
        <v/>
      </c>
      <c r="M243" s="576" t="str">
        <f t="shared" si="100"/>
        <v/>
      </c>
      <c r="O243" s="576" t="str">
        <f t="shared" si="102"/>
        <v/>
      </c>
      <c r="Q243" s="576" t="str">
        <f t="shared" si="83"/>
        <v/>
      </c>
      <c r="S243" s="576" t="str">
        <f t="shared" si="84"/>
        <v/>
      </c>
      <c r="U243" s="576" t="str">
        <f t="shared" si="85"/>
        <v/>
      </c>
      <c r="W243" s="576" t="str">
        <f t="shared" si="86"/>
        <v/>
      </c>
      <c r="Y243" s="576" t="str">
        <f t="shared" si="87"/>
        <v/>
      </c>
      <c r="AA243" s="576" t="str">
        <f t="shared" si="96"/>
        <v/>
      </c>
      <c r="AC243" s="576" t="str">
        <f t="shared" si="88"/>
        <v/>
      </c>
      <c r="AE243" s="576" t="str">
        <f t="shared" si="89"/>
        <v/>
      </c>
      <c r="AG243" s="576" t="str">
        <f t="shared" si="90"/>
        <v/>
      </c>
      <c r="AI243" s="576" t="str">
        <f t="shared" si="91"/>
        <v/>
      </c>
      <c r="AK243" s="576" t="str">
        <f t="shared" si="92"/>
        <v/>
      </c>
      <c r="AM243" s="576" t="str">
        <f t="shared" si="93"/>
        <v/>
      </c>
      <c r="AO243" s="576" t="str">
        <f t="shared" si="94"/>
        <v/>
      </c>
      <c r="AQ243" s="576" t="str">
        <f t="shared" si="95"/>
        <v/>
      </c>
    </row>
    <row r="244" spans="5:43" x14ac:dyDescent="0.2">
      <c r="E244" s="576" t="str">
        <f t="shared" si="101"/>
        <v/>
      </c>
      <c r="G244" s="576" t="str">
        <f t="shared" si="97"/>
        <v/>
      </c>
      <c r="I244" s="576" t="str">
        <f t="shared" si="98"/>
        <v/>
      </c>
      <c r="K244" s="576" t="str">
        <f t="shared" si="99"/>
        <v/>
      </c>
      <c r="M244" s="576" t="str">
        <f t="shared" si="100"/>
        <v/>
      </c>
      <c r="O244" s="576" t="str">
        <f t="shared" si="102"/>
        <v/>
      </c>
      <c r="Q244" s="576" t="str">
        <f t="shared" si="83"/>
        <v/>
      </c>
      <c r="S244" s="576" t="str">
        <f t="shared" si="84"/>
        <v/>
      </c>
      <c r="U244" s="576" t="str">
        <f t="shared" si="85"/>
        <v/>
      </c>
      <c r="W244" s="576" t="str">
        <f t="shared" si="86"/>
        <v/>
      </c>
      <c r="Y244" s="576" t="str">
        <f t="shared" si="87"/>
        <v/>
      </c>
      <c r="AA244" s="576" t="str">
        <f t="shared" si="96"/>
        <v/>
      </c>
      <c r="AC244" s="576" t="str">
        <f t="shared" si="88"/>
        <v/>
      </c>
      <c r="AE244" s="576" t="str">
        <f t="shared" si="89"/>
        <v/>
      </c>
      <c r="AG244" s="576" t="str">
        <f t="shared" si="90"/>
        <v/>
      </c>
      <c r="AI244" s="576" t="str">
        <f t="shared" si="91"/>
        <v/>
      </c>
      <c r="AK244" s="576" t="str">
        <f t="shared" si="92"/>
        <v/>
      </c>
      <c r="AM244" s="576" t="str">
        <f t="shared" si="93"/>
        <v/>
      </c>
      <c r="AO244" s="576" t="str">
        <f t="shared" si="94"/>
        <v/>
      </c>
      <c r="AQ244" s="576" t="str">
        <f t="shared" si="95"/>
        <v/>
      </c>
    </row>
    <row r="245" spans="5:43" x14ac:dyDescent="0.2">
      <c r="E245" s="576" t="str">
        <f t="shared" si="101"/>
        <v/>
      </c>
      <c r="G245" s="576" t="str">
        <f t="shared" si="97"/>
        <v/>
      </c>
      <c r="I245" s="576" t="str">
        <f t="shared" si="98"/>
        <v/>
      </c>
      <c r="K245" s="576" t="str">
        <f t="shared" si="99"/>
        <v/>
      </c>
      <c r="M245" s="576" t="str">
        <f t="shared" si="100"/>
        <v/>
      </c>
      <c r="O245" s="576" t="str">
        <f t="shared" si="102"/>
        <v/>
      </c>
      <c r="Q245" s="576" t="str">
        <f t="shared" si="83"/>
        <v/>
      </c>
      <c r="S245" s="576" t="str">
        <f t="shared" si="84"/>
        <v/>
      </c>
      <c r="U245" s="576" t="str">
        <f t="shared" si="85"/>
        <v/>
      </c>
      <c r="W245" s="576" t="str">
        <f t="shared" si="86"/>
        <v/>
      </c>
      <c r="Y245" s="576" t="str">
        <f t="shared" si="87"/>
        <v/>
      </c>
      <c r="AA245" s="576" t="str">
        <f t="shared" si="96"/>
        <v/>
      </c>
      <c r="AC245" s="576" t="str">
        <f t="shared" si="88"/>
        <v/>
      </c>
      <c r="AE245" s="576" t="str">
        <f t="shared" si="89"/>
        <v/>
      </c>
      <c r="AG245" s="576" t="str">
        <f t="shared" si="90"/>
        <v/>
      </c>
      <c r="AI245" s="576" t="str">
        <f t="shared" si="91"/>
        <v/>
      </c>
      <c r="AK245" s="576" t="str">
        <f t="shared" si="92"/>
        <v/>
      </c>
      <c r="AM245" s="576" t="str">
        <f t="shared" si="93"/>
        <v/>
      </c>
      <c r="AO245" s="576" t="str">
        <f t="shared" si="94"/>
        <v/>
      </c>
      <c r="AQ245" s="576" t="str">
        <f t="shared" si="95"/>
        <v/>
      </c>
    </row>
    <row r="246" spans="5:43" x14ac:dyDescent="0.2">
      <c r="E246" s="576" t="str">
        <f t="shared" si="101"/>
        <v/>
      </c>
      <c r="G246" s="576" t="str">
        <f t="shared" si="97"/>
        <v/>
      </c>
      <c r="I246" s="576" t="str">
        <f t="shared" si="98"/>
        <v/>
      </c>
      <c r="K246" s="576" t="str">
        <f t="shared" si="99"/>
        <v/>
      </c>
      <c r="M246" s="576" t="str">
        <f t="shared" si="100"/>
        <v/>
      </c>
      <c r="O246" s="576" t="str">
        <f t="shared" si="102"/>
        <v/>
      </c>
      <c r="Q246" s="576" t="str">
        <f t="shared" si="83"/>
        <v/>
      </c>
      <c r="S246" s="576" t="str">
        <f t="shared" si="84"/>
        <v/>
      </c>
      <c r="U246" s="576" t="str">
        <f t="shared" si="85"/>
        <v/>
      </c>
      <c r="W246" s="576" t="str">
        <f t="shared" si="86"/>
        <v/>
      </c>
      <c r="Y246" s="576" t="str">
        <f t="shared" si="87"/>
        <v/>
      </c>
      <c r="AA246" s="576" t="str">
        <f t="shared" si="96"/>
        <v/>
      </c>
      <c r="AC246" s="576" t="str">
        <f t="shared" si="88"/>
        <v/>
      </c>
      <c r="AE246" s="576" t="str">
        <f t="shared" si="89"/>
        <v/>
      </c>
      <c r="AG246" s="576" t="str">
        <f t="shared" si="90"/>
        <v/>
      </c>
      <c r="AI246" s="576" t="str">
        <f t="shared" si="91"/>
        <v/>
      </c>
      <c r="AK246" s="576" t="str">
        <f t="shared" si="92"/>
        <v/>
      </c>
      <c r="AM246" s="576" t="str">
        <f t="shared" si="93"/>
        <v/>
      </c>
      <c r="AO246" s="576" t="str">
        <f t="shared" si="94"/>
        <v/>
      </c>
      <c r="AQ246" s="576" t="str">
        <f t="shared" si="95"/>
        <v/>
      </c>
    </row>
    <row r="247" spans="5:43" x14ac:dyDescent="0.2">
      <c r="E247" s="576" t="str">
        <f t="shared" si="101"/>
        <v/>
      </c>
      <c r="G247" s="576" t="str">
        <f t="shared" si="97"/>
        <v/>
      </c>
      <c r="I247" s="576" t="str">
        <f t="shared" si="98"/>
        <v/>
      </c>
      <c r="K247" s="576" t="str">
        <f t="shared" si="99"/>
        <v/>
      </c>
      <c r="M247" s="576" t="str">
        <f t="shared" si="100"/>
        <v/>
      </c>
      <c r="O247" s="576" t="str">
        <f t="shared" si="102"/>
        <v/>
      </c>
      <c r="Q247" s="576" t="str">
        <f t="shared" si="83"/>
        <v/>
      </c>
      <c r="S247" s="576" t="str">
        <f t="shared" si="84"/>
        <v/>
      </c>
      <c r="U247" s="576" t="str">
        <f t="shared" si="85"/>
        <v/>
      </c>
      <c r="W247" s="576" t="str">
        <f t="shared" si="86"/>
        <v/>
      </c>
      <c r="Y247" s="576" t="str">
        <f t="shared" si="87"/>
        <v/>
      </c>
      <c r="AA247" s="576" t="str">
        <f t="shared" si="96"/>
        <v/>
      </c>
      <c r="AC247" s="576" t="str">
        <f t="shared" si="88"/>
        <v/>
      </c>
      <c r="AE247" s="576" t="str">
        <f t="shared" si="89"/>
        <v/>
      </c>
      <c r="AG247" s="576" t="str">
        <f t="shared" si="90"/>
        <v/>
      </c>
      <c r="AI247" s="576" t="str">
        <f t="shared" si="91"/>
        <v/>
      </c>
      <c r="AK247" s="576" t="str">
        <f t="shared" si="92"/>
        <v/>
      </c>
      <c r="AM247" s="576" t="str">
        <f t="shared" si="93"/>
        <v/>
      </c>
      <c r="AO247" s="576" t="str">
        <f t="shared" si="94"/>
        <v/>
      </c>
      <c r="AQ247" s="576" t="str">
        <f t="shared" si="95"/>
        <v/>
      </c>
    </row>
    <row r="248" spans="5:43" x14ac:dyDescent="0.2">
      <c r="E248" s="576" t="str">
        <f t="shared" si="101"/>
        <v/>
      </c>
      <c r="G248" s="576" t="str">
        <f t="shared" si="97"/>
        <v/>
      </c>
      <c r="I248" s="576" t="str">
        <f t="shared" si="98"/>
        <v/>
      </c>
      <c r="K248" s="576" t="str">
        <f t="shared" si="99"/>
        <v/>
      </c>
      <c r="M248" s="576" t="str">
        <f t="shared" si="100"/>
        <v/>
      </c>
      <c r="O248" s="576" t="str">
        <f t="shared" si="102"/>
        <v/>
      </c>
      <c r="Q248" s="576" t="str">
        <f t="shared" si="83"/>
        <v/>
      </c>
      <c r="S248" s="576" t="str">
        <f t="shared" si="84"/>
        <v/>
      </c>
      <c r="U248" s="576" t="str">
        <f t="shared" si="85"/>
        <v/>
      </c>
      <c r="W248" s="576" t="str">
        <f t="shared" si="86"/>
        <v/>
      </c>
      <c r="Y248" s="576" t="str">
        <f t="shared" si="87"/>
        <v/>
      </c>
      <c r="AA248" s="576" t="str">
        <f t="shared" si="96"/>
        <v/>
      </c>
      <c r="AC248" s="576" t="str">
        <f t="shared" si="88"/>
        <v/>
      </c>
      <c r="AE248" s="576" t="str">
        <f t="shared" si="89"/>
        <v/>
      </c>
      <c r="AG248" s="576" t="str">
        <f t="shared" si="90"/>
        <v/>
      </c>
      <c r="AI248" s="576" t="str">
        <f t="shared" si="91"/>
        <v/>
      </c>
      <c r="AK248" s="576" t="str">
        <f t="shared" si="92"/>
        <v/>
      </c>
      <c r="AM248" s="576" t="str">
        <f t="shared" si="93"/>
        <v/>
      </c>
      <c r="AO248" s="576" t="str">
        <f t="shared" si="94"/>
        <v/>
      </c>
      <c r="AQ248" s="576" t="str">
        <f t="shared" si="95"/>
        <v/>
      </c>
    </row>
    <row r="249" spans="5:43" x14ac:dyDescent="0.2">
      <c r="E249" s="576" t="str">
        <f t="shared" si="101"/>
        <v/>
      </c>
      <c r="G249" s="576" t="str">
        <f t="shared" si="97"/>
        <v/>
      </c>
      <c r="I249" s="576" t="str">
        <f t="shared" si="98"/>
        <v/>
      </c>
      <c r="K249" s="576" t="str">
        <f t="shared" si="99"/>
        <v/>
      </c>
      <c r="M249" s="576" t="str">
        <f t="shared" si="100"/>
        <v/>
      </c>
      <c r="O249" s="576" t="str">
        <f t="shared" si="102"/>
        <v/>
      </c>
      <c r="Q249" s="576" t="str">
        <f t="shared" si="83"/>
        <v/>
      </c>
      <c r="S249" s="576" t="str">
        <f t="shared" si="84"/>
        <v/>
      </c>
      <c r="U249" s="576" t="str">
        <f t="shared" si="85"/>
        <v/>
      </c>
      <c r="W249" s="576" t="str">
        <f t="shared" si="86"/>
        <v/>
      </c>
      <c r="Y249" s="576" t="str">
        <f t="shared" si="87"/>
        <v/>
      </c>
      <c r="AA249" s="576" t="str">
        <f t="shared" si="96"/>
        <v/>
      </c>
      <c r="AC249" s="576" t="str">
        <f t="shared" si="88"/>
        <v/>
      </c>
      <c r="AE249" s="576" t="str">
        <f t="shared" si="89"/>
        <v/>
      </c>
      <c r="AG249" s="576" t="str">
        <f t="shared" si="90"/>
        <v/>
      </c>
      <c r="AI249" s="576" t="str">
        <f t="shared" si="91"/>
        <v/>
      </c>
      <c r="AK249" s="576" t="str">
        <f t="shared" si="92"/>
        <v/>
      </c>
      <c r="AM249" s="576" t="str">
        <f t="shared" si="93"/>
        <v/>
      </c>
      <c r="AO249" s="576" t="str">
        <f t="shared" si="94"/>
        <v/>
      </c>
      <c r="AQ249" s="576" t="str">
        <f t="shared" si="95"/>
        <v/>
      </c>
    </row>
    <row r="250" spans="5:43" x14ac:dyDescent="0.2">
      <c r="E250" s="576" t="str">
        <f t="shared" si="101"/>
        <v/>
      </c>
      <c r="G250" s="576" t="str">
        <f t="shared" si="97"/>
        <v/>
      </c>
      <c r="I250" s="576" t="str">
        <f t="shared" si="98"/>
        <v/>
      </c>
      <c r="K250" s="576" t="str">
        <f t="shared" si="99"/>
        <v/>
      </c>
      <c r="M250" s="576" t="str">
        <f t="shared" si="100"/>
        <v/>
      </c>
      <c r="O250" s="576" t="str">
        <f t="shared" si="102"/>
        <v/>
      </c>
      <c r="Q250" s="576" t="str">
        <f t="shared" si="83"/>
        <v/>
      </c>
      <c r="S250" s="576" t="str">
        <f t="shared" si="84"/>
        <v/>
      </c>
      <c r="U250" s="576" t="str">
        <f t="shared" si="85"/>
        <v/>
      </c>
      <c r="W250" s="576" t="str">
        <f t="shared" si="86"/>
        <v/>
      </c>
      <c r="Y250" s="576" t="str">
        <f t="shared" si="87"/>
        <v/>
      </c>
      <c r="AA250" s="576" t="str">
        <f t="shared" si="96"/>
        <v/>
      </c>
      <c r="AC250" s="576" t="str">
        <f t="shared" si="88"/>
        <v/>
      </c>
      <c r="AE250" s="576" t="str">
        <f t="shared" si="89"/>
        <v/>
      </c>
      <c r="AG250" s="576" t="str">
        <f t="shared" si="90"/>
        <v/>
      </c>
      <c r="AI250" s="576" t="str">
        <f t="shared" si="91"/>
        <v/>
      </c>
      <c r="AK250" s="576" t="str">
        <f t="shared" si="92"/>
        <v/>
      </c>
      <c r="AM250" s="576" t="str">
        <f t="shared" si="93"/>
        <v/>
      </c>
      <c r="AO250" s="576" t="str">
        <f t="shared" si="94"/>
        <v/>
      </c>
      <c r="AQ250" s="576" t="str">
        <f t="shared" si="95"/>
        <v/>
      </c>
    </row>
    <row r="251" spans="5:43" x14ac:dyDescent="0.2">
      <c r="E251" s="576" t="str">
        <f t="shared" si="101"/>
        <v/>
      </c>
      <c r="G251" s="576" t="str">
        <f t="shared" si="97"/>
        <v/>
      </c>
      <c r="I251" s="576" t="str">
        <f t="shared" si="98"/>
        <v/>
      </c>
      <c r="K251" s="576" t="str">
        <f t="shared" si="99"/>
        <v/>
      </c>
      <c r="M251" s="576" t="str">
        <f t="shared" si="100"/>
        <v/>
      </c>
      <c r="O251" s="576" t="str">
        <f t="shared" si="102"/>
        <v/>
      </c>
      <c r="Q251" s="576" t="str">
        <f t="shared" si="83"/>
        <v/>
      </c>
      <c r="S251" s="576" t="str">
        <f t="shared" si="84"/>
        <v/>
      </c>
      <c r="U251" s="576" t="str">
        <f t="shared" si="85"/>
        <v/>
      </c>
      <c r="W251" s="576" t="str">
        <f t="shared" si="86"/>
        <v/>
      </c>
      <c r="Y251" s="576" t="str">
        <f t="shared" si="87"/>
        <v/>
      </c>
      <c r="AA251" s="576" t="str">
        <f t="shared" si="96"/>
        <v/>
      </c>
      <c r="AC251" s="576" t="str">
        <f t="shared" si="88"/>
        <v/>
      </c>
      <c r="AE251" s="576" t="str">
        <f t="shared" si="89"/>
        <v/>
      </c>
      <c r="AG251" s="576" t="str">
        <f t="shared" si="90"/>
        <v/>
      </c>
      <c r="AI251" s="576" t="str">
        <f t="shared" si="91"/>
        <v/>
      </c>
      <c r="AK251" s="576" t="str">
        <f t="shared" si="92"/>
        <v/>
      </c>
      <c r="AM251" s="576" t="str">
        <f t="shared" si="93"/>
        <v/>
      </c>
      <c r="AO251" s="576" t="str">
        <f t="shared" si="94"/>
        <v/>
      </c>
      <c r="AQ251" s="576" t="str">
        <f t="shared" si="95"/>
        <v/>
      </c>
    </row>
    <row r="252" spans="5:43" x14ac:dyDescent="0.2">
      <c r="E252" s="576" t="str">
        <f t="shared" si="101"/>
        <v/>
      </c>
      <c r="G252" s="576" t="str">
        <f t="shared" si="97"/>
        <v/>
      </c>
      <c r="I252" s="576" t="str">
        <f t="shared" si="98"/>
        <v/>
      </c>
      <c r="K252" s="576" t="str">
        <f t="shared" si="99"/>
        <v/>
      </c>
      <c r="M252" s="576" t="str">
        <f t="shared" si="100"/>
        <v/>
      </c>
      <c r="O252" s="576" t="str">
        <f t="shared" si="102"/>
        <v/>
      </c>
      <c r="Q252" s="576" t="str">
        <f t="shared" si="83"/>
        <v/>
      </c>
      <c r="S252" s="576" t="str">
        <f t="shared" si="84"/>
        <v/>
      </c>
      <c r="U252" s="576" t="str">
        <f t="shared" si="85"/>
        <v/>
      </c>
      <c r="W252" s="576" t="str">
        <f t="shared" si="86"/>
        <v/>
      </c>
      <c r="Y252" s="576" t="str">
        <f t="shared" si="87"/>
        <v/>
      </c>
      <c r="AA252" s="576" t="str">
        <f t="shared" si="96"/>
        <v/>
      </c>
      <c r="AC252" s="576" t="str">
        <f t="shared" si="88"/>
        <v/>
      </c>
      <c r="AE252" s="576" t="str">
        <f t="shared" si="89"/>
        <v/>
      </c>
      <c r="AG252" s="576" t="str">
        <f t="shared" si="90"/>
        <v/>
      </c>
      <c r="AI252" s="576" t="str">
        <f t="shared" si="91"/>
        <v/>
      </c>
      <c r="AK252" s="576" t="str">
        <f t="shared" si="92"/>
        <v/>
      </c>
      <c r="AM252" s="576" t="str">
        <f t="shared" si="93"/>
        <v/>
      </c>
      <c r="AO252" s="576" t="str">
        <f t="shared" si="94"/>
        <v/>
      </c>
      <c r="AQ252" s="576" t="str">
        <f t="shared" si="95"/>
        <v/>
      </c>
    </row>
    <row r="253" spans="5:43" x14ac:dyDescent="0.2">
      <c r="E253" s="576" t="str">
        <f t="shared" si="101"/>
        <v/>
      </c>
      <c r="G253" s="576" t="str">
        <f t="shared" si="97"/>
        <v/>
      </c>
      <c r="I253" s="576" t="str">
        <f t="shared" si="98"/>
        <v/>
      </c>
      <c r="K253" s="576" t="str">
        <f t="shared" si="99"/>
        <v/>
      </c>
      <c r="M253" s="576" t="str">
        <f t="shared" si="100"/>
        <v/>
      </c>
      <c r="O253" s="576" t="str">
        <f t="shared" si="102"/>
        <v/>
      </c>
      <c r="Q253" s="576" t="str">
        <f t="shared" si="83"/>
        <v/>
      </c>
      <c r="S253" s="576" t="str">
        <f t="shared" si="84"/>
        <v/>
      </c>
      <c r="U253" s="576" t="str">
        <f t="shared" si="85"/>
        <v/>
      </c>
      <c r="W253" s="576" t="str">
        <f t="shared" si="86"/>
        <v/>
      </c>
      <c r="Y253" s="576" t="str">
        <f t="shared" si="87"/>
        <v/>
      </c>
      <c r="AA253" s="576" t="str">
        <f t="shared" si="96"/>
        <v/>
      </c>
      <c r="AC253" s="576" t="str">
        <f t="shared" si="88"/>
        <v/>
      </c>
      <c r="AE253" s="576" t="str">
        <f t="shared" si="89"/>
        <v/>
      </c>
      <c r="AG253" s="576" t="str">
        <f t="shared" si="90"/>
        <v/>
      </c>
      <c r="AI253" s="576" t="str">
        <f t="shared" si="91"/>
        <v/>
      </c>
      <c r="AK253" s="576" t="str">
        <f t="shared" si="92"/>
        <v/>
      </c>
      <c r="AM253" s="576" t="str">
        <f t="shared" si="93"/>
        <v/>
      </c>
      <c r="AO253" s="576" t="str">
        <f t="shared" si="94"/>
        <v/>
      </c>
      <c r="AQ253" s="576" t="str">
        <f t="shared" si="95"/>
        <v/>
      </c>
    </row>
    <row r="254" spans="5:43" x14ac:dyDescent="0.2">
      <c r="E254" s="576" t="str">
        <f t="shared" si="101"/>
        <v/>
      </c>
      <c r="G254" s="576" t="str">
        <f t="shared" si="97"/>
        <v/>
      </c>
      <c r="I254" s="576" t="str">
        <f t="shared" si="98"/>
        <v/>
      </c>
      <c r="K254" s="576" t="str">
        <f t="shared" si="99"/>
        <v/>
      </c>
      <c r="M254" s="576" t="str">
        <f t="shared" si="100"/>
        <v/>
      </c>
      <c r="O254" s="576" t="str">
        <f t="shared" si="102"/>
        <v/>
      </c>
      <c r="Q254" s="576" t="str">
        <f t="shared" si="83"/>
        <v/>
      </c>
      <c r="S254" s="576" t="str">
        <f t="shared" si="84"/>
        <v/>
      </c>
      <c r="U254" s="576" t="str">
        <f t="shared" si="85"/>
        <v/>
      </c>
      <c r="W254" s="576" t="str">
        <f t="shared" si="86"/>
        <v/>
      </c>
      <c r="Y254" s="576" t="str">
        <f t="shared" si="87"/>
        <v/>
      </c>
      <c r="AA254" s="576" t="str">
        <f t="shared" si="96"/>
        <v/>
      </c>
      <c r="AC254" s="576" t="str">
        <f t="shared" si="88"/>
        <v/>
      </c>
      <c r="AE254" s="576" t="str">
        <f t="shared" si="89"/>
        <v/>
      </c>
      <c r="AG254" s="576" t="str">
        <f t="shared" si="90"/>
        <v/>
      </c>
      <c r="AI254" s="576" t="str">
        <f t="shared" si="91"/>
        <v/>
      </c>
      <c r="AK254" s="576" t="str">
        <f t="shared" si="92"/>
        <v/>
      </c>
      <c r="AM254" s="576" t="str">
        <f t="shared" si="93"/>
        <v/>
      </c>
      <c r="AO254" s="576" t="str">
        <f t="shared" si="94"/>
        <v/>
      </c>
      <c r="AQ254" s="576" t="str">
        <f t="shared" si="95"/>
        <v/>
      </c>
    </row>
    <row r="255" spans="5:43" x14ac:dyDescent="0.2">
      <c r="E255" s="576" t="str">
        <f t="shared" si="101"/>
        <v/>
      </c>
      <c r="G255" s="576" t="str">
        <f t="shared" si="97"/>
        <v/>
      </c>
      <c r="I255" s="576" t="str">
        <f t="shared" si="98"/>
        <v/>
      </c>
      <c r="K255" s="576" t="str">
        <f t="shared" si="99"/>
        <v/>
      </c>
      <c r="M255" s="576" t="str">
        <f t="shared" si="100"/>
        <v/>
      </c>
      <c r="O255" s="576" t="str">
        <f t="shared" si="102"/>
        <v/>
      </c>
      <c r="Q255" s="576" t="str">
        <f t="shared" si="83"/>
        <v/>
      </c>
      <c r="S255" s="576" t="str">
        <f t="shared" si="84"/>
        <v/>
      </c>
      <c r="U255" s="576" t="str">
        <f t="shared" si="85"/>
        <v/>
      </c>
      <c r="W255" s="576" t="str">
        <f t="shared" si="86"/>
        <v/>
      </c>
      <c r="Y255" s="576" t="str">
        <f t="shared" si="87"/>
        <v/>
      </c>
      <c r="AA255" s="576" t="str">
        <f t="shared" si="96"/>
        <v/>
      </c>
      <c r="AC255" s="576" t="str">
        <f t="shared" si="88"/>
        <v/>
      </c>
      <c r="AE255" s="576" t="str">
        <f t="shared" si="89"/>
        <v/>
      </c>
      <c r="AG255" s="576" t="str">
        <f t="shared" si="90"/>
        <v/>
      </c>
      <c r="AI255" s="576" t="str">
        <f t="shared" si="91"/>
        <v/>
      </c>
      <c r="AK255" s="576" t="str">
        <f t="shared" si="92"/>
        <v/>
      </c>
      <c r="AM255" s="576" t="str">
        <f t="shared" si="93"/>
        <v/>
      </c>
      <c r="AO255" s="576" t="str">
        <f t="shared" si="94"/>
        <v/>
      </c>
      <c r="AQ255" s="576" t="str">
        <f t="shared" si="95"/>
        <v/>
      </c>
    </row>
    <row r="256" spans="5:43" x14ac:dyDescent="0.2">
      <c r="E256" s="576" t="str">
        <f t="shared" si="101"/>
        <v/>
      </c>
      <c r="G256" s="576" t="str">
        <f t="shared" si="97"/>
        <v/>
      </c>
      <c r="I256" s="576" t="str">
        <f t="shared" si="98"/>
        <v/>
      </c>
      <c r="K256" s="576" t="str">
        <f t="shared" si="99"/>
        <v/>
      </c>
      <c r="M256" s="576" t="str">
        <f t="shared" si="100"/>
        <v/>
      </c>
      <c r="O256" s="576" t="str">
        <f t="shared" si="102"/>
        <v/>
      </c>
      <c r="Q256" s="576" t="str">
        <f t="shared" si="83"/>
        <v/>
      </c>
      <c r="S256" s="576" t="str">
        <f t="shared" si="84"/>
        <v/>
      </c>
      <c r="U256" s="576" t="str">
        <f t="shared" si="85"/>
        <v/>
      </c>
      <c r="W256" s="576" t="str">
        <f t="shared" si="86"/>
        <v/>
      </c>
      <c r="Y256" s="576" t="str">
        <f t="shared" si="87"/>
        <v/>
      </c>
      <c r="AA256" s="576" t="str">
        <f t="shared" si="96"/>
        <v/>
      </c>
      <c r="AC256" s="576" t="str">
        <f t="shared" si="88"/>
        <v/>
      </c>
      <c r="AE256" s="576" t="str">
        <f t="shared" si="89"/>
        <v/>
      </c>
      <c r="AG256" s="576" t="str">
        <f t="shared" si="90"/>
        <v/>
      </c>
      <c r="AI256" s="576" t="str">
        <f t="shared" si="91"/>
        <v/>
      </c>
      <c r="AK256" s="576" t="str">
        <f t="shared" si="92"/>
        <v/>
      </c>
      <c r="AM256" s="576" t="str">
        <f t="shared" si="93"/>
        <v/>
      </c>
      <c r="AO256" s="576" t="str">
        <f t="shared" si="94"/>
        <v/>
      </c>
      <c r="AQ256" s="576" t="str">
        <f t="shared" si="95"/>
        <v/>
      </c>
    </row>
    <row r="257" spans="5:43" x14ac:dyDescent="0.2">
      <c r="E257" s="576" t="str">
        <f t="shared" si="101"/>
        <v/>
      </c>
      <c r="G257" s="576" t="str">
        <f t="shared" si="97"/>
        <v/>
      </c>
      <c r="I257" s="576" t="str">
        <f t="shared" si="98"/>
        <v/>
      </c>
      <c r="K257" s="576" t="str">
        <f t="shared" si="99"/>
        <v/>
      </c>
      <c r="M257" s="576" t="str">
        <f t="shared" si="100"/>
        <v/>
      </c>
      <c r="O257" s="576" t="str">
        <f t="shared" si="102"/>
        <v/>
      </c>
      <c r="Q257" s="576" t="str">
        <f t="shared" si="83"/>
        <v/>
      </c>
      <c r="S257" s="576" t="str">
        <f t="shared" si="84"/>
        <v/>
      </c>
      <c r="U257" s="576" t="str">
        <f t="shared" si="85"/>
        <v/>
      </c>
      <c r="W257" s="576" t="str">
        <f t="shared" si="86"/>
        <v/>
      </c>
      <c r="Y257" s="576" t="str">
        <f t="shared" si="87"/>
        <v/>
      </c>
      <c r="AA257" s="576" t="str">
        <f t="shared" si="96"/>
        <v/>
      </c>
      <c r="AC257" s="576" t="str">
        <f t="shared" si="88"/>
        <v/>
      </c>
      <c r="AE257" s="576" t="str">
        <f t="shared" si="89"/>
        <v/>
      </c>
      <c r="AG257" s="576" t="str">
        <f t="shared" si="90"/>
        <v/>
      </c>
      <c r="AI257" s="576" t="str">
        <f t="shared" si="91"/>
        <v/>
      </c>
      <c r="AK257" s="576" t="str">
        <f t="shared" si="92"/>
        <v/>
      </c>
      <c r="AM257" s="576" t="str">
        <f t="shared" si="93"/>
        <v/>
      </c>
      <c r="AO257" s="576" t="str">
        <f t="shared" si="94"/>
        <v/>
      </c>
      <c r="AQ257" s="576" t="str">
        <f t="shared" si="95"/>
        <v/>
      </c>
    </row>
    <row r="258" spans="5:43" x14ac:dyDescent="0.2">
      <c r="E258" s="576" t="str">
        <f t="shared" si="101"/>
        <v/>
      </c>
      <c r="G258" s="576" t="str">
        <f t="shared" si="97"/>
        <v/>
      </c>
      <c r="I258" s="576" t="str">
        <f t="shared" si="98"/>
        <v/>
      </c>
      <c r="K258" s="576" t="str">
        <f t="shared" si="99"/>
        <v/>
      </c>
      <c r="M258" s="576" t="str">
        <f t="shared" si="100"/>
        <v/>
      </c>
      <c r="O258" s="576" t="str">
        <f t="shared" si="102"/>
        <v/>
      </c>
      <c r="Q258" s="576" t="str">
        <f t="shared" si="83"/>
        <v/>
      </c>
      <c r="S258" s="576" t="str">
        <f t="shared" si="84"/>
        <v/>
      </c>
      <c r="U258" s="576" t="str">
        <f t="shared" si="85"/>
        <v/>
      </c>
      <c r="W258" s="576" t="str">
        <f t="shared" si="86"/>
        <v/>
      </c>
      <c r="Y258" s="576" t="str">
        <f t="shared" si="87"/>
        <v/>
      </c>
      <c r="AA258" s="576" t="str">
        <f t="shared" si="96"/>
        <v/>
      </c>
      <c r="AC258" s="576" t="str">
        <f t="shared" si="88"/>
        <v/>
      </c>
      <c r="AE258" s="576" t="str">
        <f t="shared" si="89"/>
        <v/>
      </c>
      <c r="AG258" s="576" t="str">
        <f t="shared" si="90"/>
        <v/>
      </c>
      <c r="AI258" s="576" t="str">
        <f t="shared" si="91"/>
        <v/>
      </c>
      <c r="AK258" s="576" t="str">
        <f t="shared" si="92"/>
        <v/>
      </c>
      <c r="AM258" s="576" t="str">
        <f t="shared" si="93"/>
        <v/>
      </c>
      <c r="AO258" s="576" t="str">
        <f t="shared" si="94"/>
        <v/>
      </c>
      <c r="AQ258" s="576" t="str">
        <f t="shared" si="95"/>
        <v/>
      </c>
    </row>
    <row r="259" spans="5:43" x14ac:dyDescent="0.2">
      <c r="E259" s="576" t="str">
        <f t="shared" si="101"/>
        <v/>
      </c>
      <c r="G259" s="576" t="str">
        <f t="shared" si="97"/>
        <v/>
      </c>
      <c r="I259" s="576" t="str">
        <f t="shared" si="98"/>
        <v/>
      </c>
      <c r="K259" s="576" t="str">
        <f t="shared" si="99"/>
        <v/>
      </c>
      <c r="M259" s="576" t="str">
        <f t="shared" si="100"/>
        <v/>
      </c>
      <c r="O259" s="576" t="str">
        <f t="shared" si="102"/>
        <v/>
      </c>
      <c r="Q259" s="576" t="str">
        <f t="shared" si="83"/>
        <v/>
      </c>
      <c r="S259" s="576" t="str">
        <f t="shared" si="84"/>
        <v/>
      </c>
      <c r="U259" s="576" t="str">
        <f t="shared" si="85"/>
        <v/>
      </c>
      <c r="W259" s="576" t="str">
        <f t="shared" si="86"/>
        <v/>
      </c>
      <c r="Y259" s="576" t="str">
        <f t="shared" si="87"/>
        <v/>
      </c>
      <c r="AA259" s="576" t="str">
        <f t="shared" si="96"/>
        <v/>
      </c>
      <c r="AC259" s="576" t="str">
        <f t="shared" si="88"/>
        <v/>
      </c>
      <c r="AE259" s="576" t="str">
        <f t="shared" si="89"/>
        <v/>
      </c>
      <c r="AG259" s="576" t="str">
        <f t="shared" si="90"/>
        <v/>
      </c>
      <c r="AI259" s="576" t="str">
        <f t="shared" si="91"/>
        <v/>
      </c>
      <c r="AK259" s="576" t="str">
        <f t="shared" si="92"/>
        <v/>
      </c>
      <c r="AM259" s="576" t="str">
        <f t="shared" si="93"/>
        <v/>
      </c>
      <c r="AO259" s="576" t="str">
        <f t="shared" si="94"/>
        <v/>
      </c>
      <c r="AQ259" s="576" t="str">
        <f t="shared" si="95"/>
        <v/>
      </c>
    </row>
    <row r="260" spans="5:43" x14ac:dyDescent="0.2">
      <c r="E260" s="576" t="str">
        <f t="shared" si="101"/>
        <v/>
      </c>
      <c r="G260" s="576" t="str">
        <f t="shared" si="97"/>
        <v/>
      </c>
      <c r="I260" s="576" t="str">
        <f t="shared" si="98"/>
        <v/>
      </c>
      <c r="K260" s="576" t="str">
        <f t="shared" si="99"/>
        <v/>
      </c>
      <c r="M260" s="576" t="str">
        <f t="shared" si="100"/>
        <v/>
      </c>
      <c r="O260" s="576" t="str">
        <f t="shared" si="102"/>
        <v/>
      </c>
      <c r="Q260" s="576" t="str">
        <f t="shared" si="83"/>
        <v/>
      </c>
      <c r="S260" s="576" t="str">
        <f t="shared" si="84"/>
        <v/>
      </c>
      <c r="U260" s="576" t="str">
        <f t="shared" si="85"/>
        <v/>
      </c>
      <c r="W260" s="576" t="str">
        <f t="shared" si="86"/>
        <v/>
      </c>
      <c r="Y260" s="576" t="str">
        <f t="shared" si="87"/>
        <v/>
      </c>
      <c r="AA260" s="576" t="str">
        <f t="shared" si="96"/>
        <v/>
      </c>
      <c r="AC260" s="576" t="str">
        <f t="shared" si="88"/>
        <v/>
      </c>
      <c r="AE260" s="576" t="str">
        <f t="shared" si="89"/>
        <v/>
      </c>
      <c r="AG260" s="576" t="str">
        <f t="shared" si="90"/>
        <v/>
      </c>
      <c r="AI260" s="576" t="str">
        <f t="shared" si="91"/>
        <v/>
      </c>
      <c r="AK260" s="576" t="str">
        <f t="shared" si="92"/>
        <v/>
      </c>
      <c r="AM260" s="576" t="str">
        <f t="shared" si="93"/>
        <v/>
      </c>
      <c r="AO260" s="576" t="str">
        <f t="shared" si="94"/>
        <v/>
      </c>
      <c r="AQ260" s="576" t="str">
        <f t="shared" si="95"/>
        <v/>
      </c>
    </row>
    <row r="261" spans="5:43" x14ac:dyDescent="0.2">
      <c r="E261" s="576" t="str">
        <f t="shared" si="101"/>
        <v/>
      </c>
      <c r="G261" s="576" t="str">
        <f t="shared" si="97"/>
        <v/>
      </c>
      <c r="I261" s="576" t="str">
        <f t="shared" si="98"/>
        <v/>
      </c>
      <c r="K261" s="576" t="str">
        <f t="shared" si="99"/>
        <v/>
      </c>
      <c r="M261" s="576" t="str">
        <f t="shared" si="100"/>
        <v/>
      </c>
      <c r="O261" s="576" t="str">
        <f t="shared" si="102"/>
        <v/>
      </c>
      <c r="Q261" s="576" t="str">
        <f t="shared" si="83"/>
        <v/>
      </c>
      <c r="S261" s="576" t="str">
        <f t="shared" si="84"/>
        <v/>
      </c>
      <c r="U261" s="576" t="str">
        <f t="shared" si="85"/>
        <v/>
      </c>
      <c r="W261" s="576" t="str">
        <f t="shared" si="86"/>
        <v/>
      </c>
      <c r="Y261" s="576" t="str">
        <f t="shared" si="87"/>
        <v/>
      </c>
      <c r="AA261" s="576" t="str">
        <f t="shared" si="96"/>
        <v/>
      </c>
      <c r="AC261" s="576" t="str">
        <f t="shared" si="88"/>
        <v/>
      </c>
      <c r="AE261" s="576" t="str">
        <f t="shared" si="89"/>
        <v/>
      </c>
      <c r="AG261" s="576" t="str">
        <f t="shared" si="90"/>
        <v/>
      </c>
      <c r="AI261" s="576" t="str">
        <f t="shared" si="91"/>
        <v/>
      </c>
      <c r="AK261" s="576" t="str">
        <f t="shared" si="92"/>
        <v/>
      </c>
      <c r="AM261" s="576" t="str">
        <f t="shared" si="93"/>
        <v/>
      </c>
      <c r="AO261" s="576" t="str">
        <f t="shared" si="94"/>
        <v/>
      </c>
      <c r="AQ261" s="576" t="str">
        <f t="shared" si="95"/>
        <v/>
      </c>
    </row>
    <row r="262" spans="5:43" x14ac:dyDescent="0.2">
      <c r="E262" s="576" t="str">
        <f t="shared" si="101"/>
        <v/>
      </c>
      <c r="G262" s="576" t="str">
        <f t="shared" si="97"/>
        <v/>
      </c>
      <c r="I262" s="576" t="str">
        <f t="shared" si="98"/>
        <v/>
      </c>
      <c r="K262" s="576" t="str">
        <f t="shared" si="99"/>
        <v/>
      </c>
      <c r="M262" s="576" t="str">
        <f t="shared" si="100"/>
        <v/>
      </c>
      <c r="O262" s="576" t="str">
        <f t="shared" si="102"/>
        <v/>
      </c>
      <c r="Q262" s="576" t="str">
        <f t="shared" si="83"/>
        <v/>
      </c>
      <c r="S262" s="576" t="str">
        <f t="shared" si="84"/>
        <v/>
      </c>
      <c r="U262" s="576" t="str">
        <f t="shared" si="85"/>
        <v/>
      </c>
      <c r="W262" s="576" t="str">
        <f t="shared" si="86"/>
        <v/>
      </c>
      <c r="Y262" s="576" t="str">
        <f t="shared" si="87"/>
        <v/>
      </c>
      <c r="AA262" s="576" t="str">
        <f t="shared" si="96"/>
        <v/>
      </c>
      <c r="AC262" s="576" t="str">
        <f t="shared" si="88"/>
        <v/>
      </c>
      <c r="AE262" s="576" t="str">
        <f t="shared" si="89"/>
        <v/>
      </c>
      <c r="AG262" s="576" t="str">
        <f t="shared" si="90"/>
        <v/>
      </c>
      <c r="AI262" s="576" t="str">
        <f t="shared" si="91"/>
        <v/>
      </c>
      <c r="AK262" s="576" t="str">
        <f t="shared" si="92"/>
        <v/>
      </c>
      <c r="AM262" s="576" t="str">
        <f t="shared" si="93"/>
        <v/>
      </c>
      <c r="AO262" s="576" t="str">
        <f t="shared" si="94"/>
        <v/>
      </c>
      <c r="AQ262" s="576" t="str">
        <f t="shared" si="95"/>
        <v/>
      </c>
    </row>
    <row r="263" spans="5:43" x14ac:dyDescent="0.2">
      <c r="E263" s="576" t="str">
        <f t="shared" si="101"/>
        <v/>
      </c>
      <c r="G263" s="576" t="str">
        <f t="shared" si="97"/>
        <v/>
      </c>
      <c r="I263" s="576" t="str">
        <f t="shared" si="98"/>
        <v/>
      </c>
      <c r="K263" s="576" t="str">
        <f t="shared" si="99"/>
        <v/>
      </c>
      <c r="M263" s="576" t="str">
        <f t="shared" si="100"/>
        <v/>
      </c>
      <c r="O263" s="576" t="str">
        <f t="shared" si="102"/>
        <v/>
      </c>
      <c r="Q263" s="576" t="str">
        <f t="shared" si="83"/>
        <v/>
      </c>
      <c r="S263" s="576" t="str">
        <f t="shared" si="84"/>
        <v/>
      </c>
      <c r="U263" s="576" t="str">
        <f t="shared" si="85"/>
        <v/>
      </c>
      <c r="W263" s="576" t="str">
        <f t="shared" si="86"/>
        <v/>
      </c>
      <c r="Y263" s="576" t="str">
        <f t="shared" si="87"/>
        <v/>
      </c>
      <c r="AA263" s="576" t="str">
        <f t="shared" si="96"/>
        <v/>
      </c>
      <c r="AC263" s="576" t="str">
        <f t="shared" si="88"/>
        <v/>
      </c>
      <c r="AE263" s="576" t="str">
        <f t="shared" si="89"/>
        <v/>
      </c>
      <c r="AG263" s="576" t="str">
        <f t="shared" si="90"/>
        <v/>
      </c>
      <c r="AI263" s="576" t="str">
        <f t="shared" si="91"/>
        <v/>
      </c>
      <c r="AK263" s="576" t="str">
        <f t="shared" si="92"/>
        <v/>
      </c>
      <c r="AM263" s="576" t="str">
        <f t="shared" si="93"/>
        <v/>
      </c>
      <c r="AO263" s="576" t="str">
        <f t="shared" si="94"/>
        <v/>
      </c>
      <c r="AQ263" s="576" t="str">
        <f t="shared" si="95"/>
        <v/>
      </c>
    </row>
    <row r="264" spans="5:43" x14ac:dyDescent="0.2">
      <c r="E264" s="576" t="str">
        <f t="shared" si="101"/>
        <v/>
      </c>
      <c r="G264" s="576" t="str">
        <f t="shared" si="97"/>
        <v/>
      </c>
      <c r="I264" s="576" t="str">
        <f t="shared" si="98"/>
        <v/>
      </c>
      <c r="K264" s="576" t="str">
        <f t="shared" si="99"/>
        <v/>
      </c>
      <c r="M264" s="576" t="str">
        <f t="shared" si="100"/>
        <v/>
      </c>
      <c r="O264" s="576" t="str">
        <f t="shared" si="102"/>
        <v/>
      </c>
      <c r="Q264" s="576" t="str">
        <f t="shared" si="83"/>
        <v/>
      </c>
      <c r="S264" s="576" t="str">
        <f t="shared" si="84"/>
        <v/>
      </c>
      <c r="U264" s="576" t="str">
        <f t="shared" si="85"/>
        <v/>
      </c>
      <c r="W264" s="576" t="str">
        <f t="shared" si="86"/>
        <v/>
      </c>
      <c r="Y264" s="576" t="str">
        <f t="shared" si="87"/>
        <v/>
      </c>
      <c r="AA264" s="576" t="str">
        <f t="shared" si="96"/>
        <v/>
      </c>
      <c r="AC264" s="576" t="str">
        <f t="shared" si="88"/>
        <v/>
      </c>
      <c r="AE264" s="576" t="str">
        <f t="shared" si="89"/>
        <v/>
      </c>
      <c r="AG264" s="576" t="str">
        <f t="shared" si="90"/>
        <v/>
      </c>
      <c r="AI264" s="576" t="str">
        <f t="shared" si="91"/>
        <v/>
      </c>
      <c r="AK264" s="576" t="str">
        <f t="shared" si="92"/>
        <v/>
      </c>
      <c r="AM264" s="576" t="str">
        <f t="shared" si="93"/>
        <v/>
      </c>
      <c r="AO264" s="576" t="str">
        <f t="shared" si="94"/>
        <v/>
      </c>
      <c r="AQ264" s="576" t="str">
        <f t="shared" si="95"/>
        <v/>
      </c>
    </row>
    <row r="265" spans="5:43" x14ac:dyDescent="0.2">
      <c r="E265" s="576" t="str">
        <f t="shared" si="101"/>
        <v/>
      </c>
      <c r="G265" s="576" t="str">
        <f t="shared" si="97"/>
        <v/>
      </c>
      <c r="I265" s="576" t="str">
        <f t="shared" si="98"/>
        <v/>
      </c>
      <c r="K265" s="576" t="str">
        <f t="shared" si="99"/>
        <v/>
      </c>
      <c r="M265" s="576" t="str">
        <f t="shared" si="100"/>
        <v/>
      </c>
      <c r="O265" s="576" t="str">
        <f t="shared" si="102"/>
        <v/>
      </c>
      <c r="Q265" s="576" t="str">
        <f t="shared" si="83"/>
        <v/>
      </c>
      <c r="S265" s="576" t="str">
        <f t="shared" si="84"/>
        <v/>
      </c>
      <c r="U265" s="576" t="str">
        <f t="shared" si="85"/>
        <v/>
      </c>
      <c r="W265" s="576" t="str">
        <f t="shared" si="86"/>
        <v/>
      </c>
      <c r="Y265" s="576" t="str">
        <f t="shared" si="87"/>
        <v/>
      </c>
      <c r="AA265" s="576" t="str">
        <f t="shared" si="96"/>
        <v/>
      </c>
      <c r="AC265" s="576" t="str">
        <f t="shared" si="88"/>
        <v/>
      </c>
      <c r="AE265" s="576" t="str">
        <f t="shared" si="89"/>
        <v/>
      </c>
      <c r="AG265" s="576" t="str">
        <f t="shared" si="90"/>
        <v/>
      </c>
      <c r="AI265" s="576" t="str">
        <f t="shared" si="91"/>
        <v/>
      </c>
      <c r="AK265" s="576" t="str">
        <f t="shared" si="92"/>
        <v/>
      </c>
      <c r="AM265" s="576" t="str">
        <f t="shared" si="93"/>
        <v/>
      </c>
      <c r="AO265" s="576" t="str">
        <f t="shared" si="94"/>
        <v/>
      </c>
      <c r="AQ265" s="576" t="str">
        <f t="shared" si="95"/>
        <v/>
      </c>
    </row>
    <row r="266" spans="5:43" x14ac:dyDescent="0.2">
      <c r="E266" s="576" t="str">
        <f t="shared" si="101"/>
        <v/>
      </c>
      <c r="G266" s="576" t="str">
        <f t="shared" si="97"/>
        <v/>
      </c>
      <c r="I266" s="576" t="str">
        <f t="shared" si="98"/>
        <v/>
      </c>
      <c r="K266" s="576" t="str">
        <f t="shared" si="99"/>
        <v/>
      </c>
      <c r="M266" s="576" t="str">
        <f t="shared" si="100"/>
        <v/>
      </c>
      <c r="O266" s="576" t="str">
        <f t="shared" si="102"/>
        <v/>
      </c>
      <c r="Q266" s="576" t="str">
        <f t="shared" si="83"/>
        <v/>
      </c>
      <c r="S266" s="576" t="str">
        <f t="shared" si="84"/>
        <v/>
      </c>
      <c r="U266" s="576" t="str">
        <f t="shared" si="85"/>
        <v/>
      </c>
      <c r="W266" s="576" t="str">
        <f t="shared" si="86"/>
        <v/>
      </c>
      <c r="Y266" s="576" t="str">
        <f t="shared" si="87"/>
        <v/>
      </c>
      <c r="AA266" s="576" t="str">
        <f t="shared" si="96"/>
        <v/>
      </c>
      <c r="AC266" s="576" t="str">
        <f t="shared" si="88"/>
        <v/>
      </c>
      <c r="AE266" s="576" t="str">
        <f t="shared" si="89"/>
        <v/>
      </c>
      <c r="AG266" s="576" t="str">
        <f t="shared" si="90"/>
        <v/>
      </c>
      <c r="AI266" s="576" t="str">
        <f t="shared" si="91"/>
        <v/>
      </c>
      <c r="AK266" s="576" t="str">
        <f t="shared" si="92"/>
        <v/>
      </c>
      <c r="AM266" s="576" t="str">
        <f t="shared" si="93"/>
        <v/>
      </c>
      <c r="AO266" s="576" t="str">
        <f t="shared" si="94"/>
        <v/>
      </c>
      <c r="AQ266" s="576" t="str">
        <f t="shared" si="95"/>
        <v/>
      </c>
    </row>
    <row r="267" spans="5:43" x14ac:dyDescent="0.2">
      <c r="E267" s="576" t="str">
        <f t="shared" si="101"/>
        <v/>
      </c>
      <c r="G267" s="576" t="str">
        <f t="shared" si="97"/>
        <v/>
      </c>
      <c r="I267" s="576" t="str">
        <f t="shared" si="98"/>
        <v/>
      </c>
      <c r="K267" s="576" t="str">
        <f t="shared" si="99"/>
        <v/>
      </c>
      <c r="M267" s="576" t="str">
        <f t="shared" si="100"/>
        <v/>
      </c>
      <c r="O267" s="576" t="str">
        <f t="shared" si="102"/>
        <v/>
      </c>
      <c r="Q267" s="576" t="str">
        <f t="shared" si="83"/>
        <v/>
      </c>
      <c r="S267" s="576" t="str">
        <f t="shared" si="84"/>
        <v/>
      </c>
      <c r="U267" s="576" t="str">
        <f t="shared" si="85"/>
        <v/>
      </c>
      <c r="W267" s="576" t="str">
        <f t="shared" si="86"/>
        <v/>
      </c>
      <c r="Y267" s="576" t="str">
        <f t="shared" si="87"/>
        <v/>
      </c>
      <c r="AA267" s="576" t="str">
        <f t="shared" si="96"/>
        <v/>
      </c>
      <c r="AC267" s="576" t="str">
        <f t="shared" si="88"/>
        <v/>
      </c>
      <c r="AE267" s="576" t="str">
        <f t="shared" si="89"/>
        <v/>
      </c>
      <c r="AG267" s="576" t="str">
        <f t="shared" si="90"/>
        <v/>
      </c>
      <c r="AI267" s="576" t="str">
        <f t="shared" si="91"/>
        <v/>
      </c>
      <c r="AK267" s="576" t="str">
        <f t="shared" si="92"/>
        <v/>
      </c>
      <c r="AM267" s="576" t="str">
        <f t="shared" si="93"/>
        <v/>
      </c>
      <c r="AO267" s="576" t="str">
        <f t="shared" si="94"/>
        <v/>
      </c>
      <c r="AQ267" s="576" t="str">
        <f t="shared" si="95"/>
        <v/>
      </c>
    </row>
    <row r="268" spans="5:43" x14ac:dyDescent="0.2">
      <c r="E268" s="576" t="str">
        <f t="shared" si="101"/>
        <v/>
      </c>
      <c r="G268" s="576" t="str">
        <f t="shared" si="97"/>
        <v/>
      </c>
      <c r="I268" s="576" t="str">
        <f t="shared" si="98"/>
        <v/>
      </c>
      <c r="K268" s="576" t="str">
        <f t="shared" si="99"/>
        <v/>
      </c>
      <c r="M268" s="576" t="str">
        <f t="shared" si="100"/>
        <v/>
      </c>
      <c r="O268" s="576" t="str">
        <f t="shared" si="102"/>
        <v/>
      </c>
      <c r="Q268" s="576" t="str">
        <f t="shared" si="83"/>
        <v/>
      </c>
      <c r="S268" s="576" t="str">
        <f t="shared" si="84"/>
        <v/>
      </c>
      <c r="U268" s="576" t="str">
        <f t="shared" si="85"/>
        <v/>
      </c>
      <c r="W268" s="576" t="str">
        <f t="shared" si="86"/>
        <v/>
      </c>
      <c r="Y268" s="576" t="str">
        <f t="shared" si="87"/>
        <v/>
      </c>
      <c r="AA268" s="576" t="str">
        <f t="shared" si="96"/>
        <v/>
      </c>
      <c r="AC268" s="576" t="str">
        <f t="shared" si="88"/>
        <v/>
      </c>
      <c r="AE268" s="576" t="str">
        <f t="shared" si="89"/>
        <v/>
      </c>
      <c r="AG268" s="576" t="str">
        <f t="shared" si="90"/>
        <v/>
      </c>
      <c r="AI268" s="576" t="str">
        <f t="shared" si="91"/>
        <v/>
      </c>
      <c r="AK268" s="576" t="str">
        <f t="shared" si="92"/>
        <v/>
      </c>
      <c r="AM268" s="576" t="str">
        <f t="shared" si="93"/>
        <v/>
      </c>
      <c r="AO268" s="576" t="str">
        <f t="shared" si="94"/>
        <v/>
      </c>
      <c r="AQ268" s="576" t="str">
        <f t="shared" si="95"/>
        <v/>
      </c>
    </row>
    <row r="269" spans="5:43" x14ac:dyDescent="0.2">
      <c r="E269" s="576" t="str">
        <f t="shared" si="101"/>
        <v/>
      </c>
      <c r="G269" s="576" t="str">
        <f t="shared" si="97"/>
        <v/>
      </c>
      <c r="I269" s="576" t="str">
        <f t="shared" si="98"/>
        <v/>
      </c>
      <c r="K269" s="576" t="str">
        <f t="shared" si="99"/>
        <v/>
      </c>
      <c r="M269" s="576" t="str">
        <f t="shared" si="100"/>
        <v/>
      </c>
      <c r="O269" s="576" t="str">
        <f t="shared" si="102"/>
        <v/>
      </c>
      <c r="Q269" s="576" t="str">
        <f t="shared" si="83"/>
        <v/>
      </c>
      <c r="S269" s="576" t="str">
        <f t="shared" si="84"/>
        <v/>
      </c>
      <c r="U269" s="576" t="str">
        <f t="shared" si="85"/>
        <v/>
      </c>
      <c r="W269" s="576" t="str">
        <f t="shared" si="86"/>
        <v/>
      </c>
      <c r="Y269" s="576" t="str">
        <f t="shared" si="87"/>
        <v/>
      </c>
      <c r="AA269" s="576" t="str">
        <f t="shared" si="96"/>
        <v/>
      </c>
      <c r="AC269" s="576" t="str">
        <f t="shared" si="88"/>
        <v/>
      </c>
      <c r="AE269" s="576" t="str">
        <f t="shared" si="89"/>
        <v/>
      </c>
      <c r="AG269" s="576" t="str">
        <f t="shared" si="90"/>
        <v/>
      </c>
      <c r="AI269" s="576" t="str">
        <f t="shared" si="91"/>
        <v/>
      </c>
      <c r="AK269" s="576" t="str">
        <f t="shared" si="92"/>
        <v/>
      </c>
      <c r="AM269" s="576" t="str">
        <f t="shared" si="93"/>
        <v/>
      </c>
      <c r="AO269" s="576" t="str">
        <f t="shared" si="94"/>
        <v/>
      </c>
      <c r="AQ269" s="576" t="str">
        <f t="shared" si="95"/>
        <v/>
      </c>
    </row>
    <row r="270" spans="5:43" x14ac:dyDescent="0.2">
      <c r="E270" s="576" t="str">
        <f t="shared" si="101"/>
        <v/>
      </c>
      <c r="G270" s="576" t="str">
        <f t="shared" si="97"/>
        <v/>
      </c>
      <c r="I270" s="576" t="str">
        <f t="shared" si="98"/>
        <v/>
      </c>
      <c r="K270" s="576" t="str">
        <f t="shared" si="99"/>
        <v/>
      </c>
      <c r="M270" s="576" t="str">
        <f t="shared" si="100"/>
        <v/>
      </c>
      <c r="O270" s="576" t="str">
        <f t="shared" si="102"/>
        <v/>
      </c>
      <c r="Q270" s="576" t="str">
        <f t="shared" si="83"/>
        <v/>
      </c>
      <c r="S270" s="576" t="str">
        <f t="shared" si="84"/>
        <v/>
      </c>
      <c r="U270" s="576" t="str">
        <f t="shared" si="85"/>
        <v/>
      </c>
      <c r="W270" s="576" t="str">
        <f t="shared" si="86"/>
        <v/>
      </c>
      <c r="Y270" s="576" t="str">
        <f t="shared" si="87"/>
        <v/>
      </c>
      <c r="AA270" s="576" t="str">
        <f t="shared" si="96"/>
        <v/>
      </c>
      <c r="AC270" s="576" t="str">
        <f t="shared" si="88"/>
        <v/>
      </c>
      <c r="AE270" s="576" t="str">
        <f t="shared" si="89"/>
        <v/>
      </c>
      <c r="AG270" s="576" t="str">
        <f t="shared" si="90"/>
        <v/>
      </c>
      <c r="AI270" s="576" t="str">
        <f t="shared" si="91"/>
        <v/>
      </c>
      <c r="AK270" s="576" t="str">
        <f t="shared" si="92"/>
        <v/>
      </c>
      <c r="AM270" s="576" t="str">
        <f t="shared" si="93"/>
        <v/>
      </c>
      <c r="AO270" s="576" t="str">
        <f t="shared" si="94"/>
        <v/>
      </c>
      <c r="AQ270" s="576" t="str">
        <f t="shared" si="95"/>
        <v/>
      </c>
    </row>
    <row r="271" spans="5:43" x14ac:dyDescent="0.2">
      <c r="E271" s="576" t="str">
        <f t="shared" si="101"/>
        <v/>
      </c>
      <c r="G271" s="576" t="str">
        <f t="shared" si="97"/>
        <v/>
      </c>
      <c r="I271" s="576" t="str">
        <f t="shared" si="98"/>
        <v/>
      </c>
      <c r="K271" s="576" t="str">
        <f t="shared" si="99"/>
        <v/>
      </c>
      <c r="M271" s="576" t="str">
        <f t="shared" si="100"/>
        <v/>
      </c>
      <c r="O271" s="576" t="str">
        <f t="shared" si="102"/>
        <v/>
      </c>
      <c r="Q271" s="576" t="str">
        <f t="shared" si="83"/>
        <v/>
      </c>
      <c r="S271" s="576" t="str">
        <f t="shared" si="84"/>
        <v/>
      </c>
      <c r="U271" s="576" t="str">
        <f t="shared" si="85"/>
        <v/>
      </c>
      <c r="W271" s="576" t="str">
        <f t="shared" si="86"/>
        <v/>
      </c>
      <c r="Y271" s="576" t="str">
        <f t="shared" si="87"/>
        <v/>
      </c>
      <c r="AA271" s="576" t="str">
        <f t="shared" si="96"/>
        <v/>
      </c>
      <c r="AC271" s="576" t="str">
        <f t="shared" si="88"/>
        <v/>
      </c>
      <c r="AE271" s="576" t="str">
        <f t="shared" si="89"/>
        <v/>
      </c>
      <c r="AG271" s="576" t="str">
        <f t="shared" si="90"/>
        <v/>
      </c>
      <c r="AI271" s="576" t="str">
        <f t="shared" si="91"/>
        <v/>
      </c>
      <c r="AK271" s="576" t="str">
        <f t="shared" si="92"/>
        <v/>
      </c>
      <c r="AM271" s="576" t="str">
        <f t="shared" si="93"/>
        <v/>
      </c>
      <c r="AO271" s="576" t="str">
        <f t="shared" si="94"/>
        <v/>
      </c>
      <c r="AQ271" s="576" t="str">
        <f t="shared" si="95"/>
        <v/>
      </c>
    </row>
    <row r="272" spans="5:43" x14ac:dyDescent="0.2">
      <c r="E272" s="576" t="str">
        <f t="shared" si="101"/>
        <v/>
      </c>
      <c r="G272" s="576" t="str">
        <f t="shared" si="97"/>
        <v/>
      </c>
      <c r="I272" s="576" t="str">
        <f t="shared" si="98"/>
        <v/>
      </c>
      <c r="K272" s="576" t="str">
        <f t="shared" si="99"/>
        <v/>
      </c>
      <c r="M272" s="576" t="str">
        <f t="shared" si="100"/>
        <v/>
      </c>
      <c r="O272" s="576" t="str">
        <f t="shared" si="102"/>
        <v/>
      </c>
      <c r="Q272" s="576" t="str">
        <f t="shared" si="83"/>
        <v/>
      </c>
      <c r="S272" s="576" t="str">
        <f t="shared" si="84"/>
        <v/>
      </c>
      <c r="U272" s="576" t="str">
        <f t="shared" si="85"/>
        <v/>
      </c>
      <c r="W272" s="576" t="str">
        <f t="shared" si="86"/>
        <v/>
      </c>
      <c r="Y272" s="576" t="str">
        <f t="shared" si="87"/>
        <v/>
      </c>
      <c r="AA272" s="576" t="str">
        <f t="shared" si="96"/>
        <v/>
      </c>
      <c r="AC272" s="576" t="str">
        <f t="shared" si="88"/>
        <v/>
      </c>
      <c r="AE272" s="576" t="str">
        <f t="shared" si="89"/>
        <v/>
      </c>
      <c r="AG272" s="576" t="str">
        <f t="shared" si="90"/>
        <v/>
      </c>
      <c r="AI272" s="576" t="str">
        <f t="shared" si="91"/>
        <v/>
      </c>
      <c r="AK272" s="576" t="str">
        <f t="shared" si="92"/>
        <v/>
      </c>
      <c r="AM272" s="576" t="str">
        <f t="shared" si="93"/>
        <v/>
      </c>
      <c r="AO272" s="576" t="str">
        <f t="shared" si="94"/>
        <v/>
      </c>
      <c r="AQ272" s="576" t="str">
        <f t="shared" si="95"/>
        <v/>
      </c>
    </row>
    <row r="273" spans="5:43" x14ac:dyDescent="0.2">
      <c r="E273" s="576" t="str">
        <f t="shared" si="101"/>
        <v/>
      </c>
      <c r="G273" s="576" t="str">
        <f t="shared" si="97"/>
        <v/>
      </c>
      <c r="I273" s="576" t="str">
        <f t="shared" si="98"/>
        <v/>
      </c>
      <c r="K273" s="576" t="str">
        <f t="shared" si="99"/>
        <v/>
      </c>
      <c r="M273" s="576" t="str">
        <f t="shared" si="100"/>
        <v/>
      </c>
      <c r="O273" s="576" t="str">
        <f t="shared" si="102"/>
        <v/>
      </c>
      <c r="Q273" s="576" t="str">
        <f t="shared" si="83"/>
        <v/>
      </c>
      <c r="S273" s="576" t="str">
        <f t="shared" si="84"/>
        <v/>
      </c>
      <c r="U273" s="576" t="str">
        <f t="shared" si="85"/>
        <v/>
      </c>
      <c r="W273" s="576" t="str">
        <f t="shared" si="86"/>
        <v/>
      </c>
      <c r="Y273" s="576" t="str">
        <f t="shared" si="87"/>
        <v/>
      </c>
      <c r="AA273" s="576" t="str">
        <f t="shared" si="96"/>
        <v/>
      </c>
      <c r="AC273" s="576" t="str">
        <f t="shared" si="88"/>
        <v/>
      </c>
      <c r="AE273" s="576" t="str">
        <f t="shared" si="89"/>
        <v/>
      </c>
      <c r="AG273" s="576" t="str">
        <f t="shared" si="90"/>
        <v/>
      </c>
      <c r="AI273" s="576" t="str">
        <f t="shared" si="91"/>
        <v/>
      </c>
      <c r="AK273" s="576" t="str">
        <f t="shared" si="92"/>
        <v/>
      </c>
      <c r="AM273" s="576" t="str">
        <f t="shared" si="93"/>
        <v/>
      </c>
      <c r="AO273" s="576" t="str">
        <f t="shared" si="94"/>
        <v/>
      </c>
      <c r="AQ273" s="576" t="str">
        <f t="shared" si="95"/>
        <v/>
      </c>
    </row>
    <row r="274" spans="5:43" x14ac:dyDescent="0.2">
      <c r="E274" s="576" t="str">
        <f t="shared" si="101"/>
        <v/>
      </c>
      <c r="G274" s="576" t="str">
        <f t="shared" si="97"/>
        <v/>
      </c>
      <c r="I274" s="576" t="str">
        <f t="shared" si="98"/>
        <v/>
      </c>
      <c r="K274" s="576" t="str">
        <f t="shared" si="99"/>
        <v/>
      </c>
      <c r="M274" s="576" t="str">
        <f t="shared" si="100"/>
        <v/>
      </c>
      <c r="O274" s="576" t="str">
        <f t="shared" si="102"/>
        <v/>
      </c>
      <c r="Q274" s="576" t="str">
        <f t="shared" si="83"/>
        <v/>
      </c>
      <c r="S274" s="576" t="str">
        <f t="shared" si="84"/>
        <v/>
      </c>
      <c r="U274" s="576" t="str">
        <f t="shared" si="85"/>
        <v/>
      </c>
      <c r="W274" s="576" t="str">
        <f t="shared" si="86"/>
        <v/>
      </c>
      <c r="Y274" s="576" t="str">
        <f t="shared" si="87"/>
        <v/>
      </c>
      <c r="AA274" s="576" t="str">
        <f t="shared" si="96"/>
        <v/>
      </c>
      <c r="AC274" s="576" t="str">
        <f t="shared" si="88"/>
        <v/>
      </c>
      <c r="AE274" s="576" t="str">
        <f t="shared" si="89"/>
        <v/>
      </c>
      <c r="AG274" s="576" t="str">
        <f t="shared" si="90"/>
        <v/>
      </c>
      <c r="AI274" s="576" t="str">
        <f t="shared" si="91"/>
        <v/>
      </c>
      <c r="AK274" s="576" t="str">
        <f t="shared" si="92"/>
        <v/>
      </c>
      <c r="AM274" s="576" t="str">
        <f t="shared" si="93"/>
        <v/>
      </c>
      <c r="AO274" s="576" t="str">
        <f t="shared" si="94"/>
        <v/>
      </c>
      <c r="AQ274" s="576" t="str">
        <f t="shared" si="95"/>
        <v/>
      </c>
    </row>
    <row r="275" spans="5:43" x14ac:dyDescent="0.2">
      <c r="E275" s="576" t="str">
        <f t="shared" si="101"/>
        <v/>
      </c>
      <c r="G275" s="576" t="str">
        <f t="shared" si="97"/>
        <v/>
      </c>
      <c r="I275" s="576" t="str">
        <f t="shared" si="98"/>
        <v/>
      </c>
      <c r="K275" s="576" t="str">
        <f t="shared" si="99"/>
        <v/>
      </c>
      <c r="M275" s="576" t="str">
        <f t="shared" si="100"/>
        <v/>
      </c>
      <c r="O275" s="576" t="str">
        <f t="shared" si="102"/>
        <v/>
      </c>
      <c r="Q275" s="576" t="str">
        <f t="shared" si="83"/>
        <v/>
      </c>
      <c r="S275" s="576" t="str">
        <f t="shared" si="84"/>
        <v/>
      </c>
      <c r="U275" s="576" t="str">
        <f t="shared" si="85"/>
        <v/>
      </c>
      <c r="W275" s="576" t="str">
        <f t="shared" si="86"/>
        <v/>
      </c>
      <c r="Y275" s="576" t="str">
        <f t="shared" si="87"/>
        <v/>
      </c>
      <c r="AA275" s="576" t="str">
        <f t="shared" si="96"/>
        <v/>
      </c>
      <c r="AC275" s="576" t="str">
        <f t="shared" si="88"/>
        <v/>
      </c>
      <c r="AE275" s="576" t="str">
        <f t="shared" si="89"/>
        <v/>
      </c>
      <c r="AG275" s="576" t="str">
        <f t="shared" si="90"/>
        <v/>
      </c>
      <c r="AI275" s="576" t="str">
        <f t="shared" si="91"/>
        <v/>
      </c>
      <c r="AK275" s="576" t="str">
        <f t="shared" si="92"/>
        <v/>
      </c>
      <c r="AM275" s="576" t="str">
        <f t="shared" si="93"/>
        <v/>
      </c>
      <c r="AO275" s="576" t="str">
        <f t="shared" si="94"/>
        <v/>
      </c>
      <c r="AQ275" s="576" t="str">
        <f t="shared" si="95"/>
        <v/>
      </c>
    </row>
    <row r="276" spans="5:43" x14ac:dyDescent="0.2">
      <c r="E276" s="576" t="str">
        <f t="shared" si="101"/>
        <v/>
      </c>
      <c r="G276" s="576" t="str">
        <f t="shared" si="97"/>
        <v/>
      </c>
      <c r="I276" s="576" t="str">
        <f t="shared" si="98"/>
        <v/>
      </c>
      <c r="K276" s="576" t="str">
        <f t="shared" si="99"/>
        <v/>
      </c>
      <c r="M276" s="576" t="str">
        <f t="shared" si="100"/>
        <v/>
      </c>
      <c r="O276" s="576" t="str">
        <f t="shared" si="102"/>
        <v/>
      </c>
      <c r="Q276" s="576" t="str">
        <f t="shared" si="83"/>
        <v/>
      </c>
      <c r="S276" s="576" t="str">
        <f t="shared" si="84"/>
        <v/>
      </c>
      <c r="U276" s="576" t="str">
        <f t="shared" si="85"/>
        <v/>
      </c>
      <c r="W276" s="576" t="str">
        <f t="shared" si="86"/>
        <v/>
      </c>
      <c r="Y276" s="576" t="str">
        <f t="shared" si="87"/>
        <v/>
      </c>
      <c r="AA276" s="576" t="str">
        <f t="shared" si="96"/>
        <v/>
      </c>
      <c r="AC276" s="576" t="str">
        <f t="shared" si="88"/>
        <v/>
      </c>
      <c r="AE276" s="576" t="str">
        <f t="shared" si="89"/>
        <v/>
      </c>
      <c r="AG276" s="576" t="str">
        <f t="shared" si="90"/>
        <v/>
      </c>
      <c r="AI276" s="576" t="str">
        <f t="shared" si="91"/>
        <v/>
      </c>
      <c r="AK276" s="576" t="str">
        <f t="shared" si="92"/>
        <v/>
      </c>
      <c r="AM276" s="576" t="str">
        <f t="shared" si="93"/>
        <v/>
      </c>
      <c r="AO276" s="576" t="str">
        <f t="shared" si="94"/>
        <v/>
      </c>
      <c r="AQ276" s="576" t="str">
        <f t="shared" si="95"/>
        <v/>
      </c>
    </row>
    <row r="277" spans="5:43" x14ac:dyDescent="0.2">
      <c r="E277" s="576" t="str">
        <f t="shared" si="101"/>
        <v/>
      </c>
      <c r="G277" s="576" t="str">
        <f t="shared" si="97"/>
        <v/>
      </c>
      <c r="I277" s="576" t="str">
        <f t="shared" si="98"/>
        <v/>
      </c>
      <c r="K277" s="576" t="str">
        <f t="shared" si="99"/>
        <v/>
      </c>
      <c r="M277" s="576" t="str">
        <f t="shared" si="100"/>
        <v/>
      </c>
      <c r="O277" s="576" t="str">
        <f t="shared" si="102"/>
        <v/>
      </c>
      <c r="Q277" s="576" t="str">
        <f t="shared" si="83"/>
        <v/>
      </c>
      <c r="S277" s="576" t="str">
        <f t="shared" si="84"/>
        <v/>
      </c>
      <c r="U277" s="576" t="str">
        <f t="shared" si="85"/>
        <v/>
      </c>
      <c r="W277" s="576" t="str">
        <f t="shared" si="86"/>
        <v/>
      </c>
      <c r="Y277" s="576" t="str">
        <f t="shared" si="87"/>
        <v/>
      </c>
      <c r="AA277" s="576" t="str">
        <f t="shared" si="96"/>
        <v/>
      </c>
      <c r="AC277" s="576" t="str">
        <f t="shared" si="88"/>
        <v/>
      </c>
      <c r="AE277" s="576" t="str">
        <f t="shared" si="89"/>
        <v/>
      </c>
      <c r="AG277" s="576" t="str">
        <f t="shared" si="90"/>
        <v/>
      </c>
      <c r="AI277" s="576" t="str">
        <f t="shared" si="91"/>
        <v/>
      </c>
      <c r="AK277" s="576" t="str">
        <f t="shared" si="92"/>
        <v/>
      </c>
      <c r="AM277" s="576" t="str">
        <f t="shared" si="93"/>
        <v/>
      </c>
      <c r="AO277" s="576" t="str">
        <f t="shared" si="94"/>
        <v/>
      </c>
      <c r="AQ277" s="576" t="str">
        <f t="shared" si="95"/>
        <v/>
      </c>
    </row>
    <row r="278" spans="5:43" x14ac:dyDescent="0.2">
      <c r="E278" s="576" t="str">
        <f t="shared" si="101"/>
        <v/>
      </c>
      <c r="G278" s="576" t="str">
        <f t="shared" si="97"/>
        <v/>
      </c>
      <c r="I278" s="576" t="str">
        <f t="shared" si="98"/>
        <v/>
      </c>
      <c r="K278" s="576" t="str">
        <f t="shared" si="99"/>
        <v/>
      </c>
      <c r="M278" s="576" t="str">
        <f t="shared" si="100"/>
        <v/>
      </c>
      <c r="O278" s="576" t="str">
        <f t="shared" si="102"/>
        <v/>
      </c>
      <c r="Q278" s="576" t="str">
        <f t="shared" si="83"/>
        <v/>
      </c>
      <c r="S278" s="576" t="str">
        <f t="shared" si="84"/>
        <v/>
      </c>
      <c r="U278" s="576" t="str">
        <f t="shared" si="85"/>
        <v/>
      </c>
      <c r="W278" s="576" t="str">
        <f t="shared" si="86"/>
        <v/>
      </c>
      <c r="Y278" s="576" t="str">
        <f t="shared" si="87"/>
        <v/>
      </c>
      <c r="AA278" s="576" t="str">
        <f t="shared" si="96"/>
        <v/>
      </c>
      <c r="AC278" s="576" t="str">
        <f t="shared" si="88"/>
        <v/>
      </c>
      <c r="AE278" s="576" t="str">
        <f t="shared" si="89"/>
        <v/>
      </c>
      <c r="AG278" s="576" t="str">
        <f t="shared" si="90"/>
        <v/>
      </c>
      <c r="AI278" s="576" t="str">
        <f t="shared" si="91"/>
        <v/>
      </c>
      <c r="AK278" s="576" t="str">
        <f t="shared" si="92"/>
        <v/>
      </c>
      <c r="AM278" s="576" t="str">
        <f t="shared" si="93"/>
        <v/>
      </c>
      <c r="AO278" s="576" t="str">
        <f t="shared" si="94"/>
        <v/>
      </c>
      <c r="AQ278" s="576" t="str">
        <f t="shared" si="95"/>
        <v/>
      </c>
    </row>
    <row r="279" spans="5:43" x14ac:dyDescent="0.2">
      <c r="E279" s="576" t="str">
        <f t="shared" si="101"/>
        <v/>
      </c>
      <c r="G279" s="576" t="str">
        <f t="shared" si="97"/>
        <v/>
      </c>
      <c r="I279" s="576" t="str">
        <f t="shared" si="98"/>
        <v/>
      </c>
      <c r="K279" s="576" t="str">
        <f t="shared" si="99"/>
        <v/>
      </c>
      <c r="M279" s="576" t="str">
        <f t="shared" si="100"/>
        <v/>
      </c>
      <c r="O279" s="576" t="str">
        <f t="shared" si="102"/>
        <v/>
      </c>
      <c r="Q279" s="576" t="str">
        <f t="shared" si="83"/>
        <v/>
      </c>
      <c r="S279" s="576" t="str">
        <f t="shared" si="84"/>
        <v/>
      </c>
      <c r="U279" s="576" t="str">
        <f t="shared" si="85"/>
        <v/>
      </c>
      <c r="W279" s="576" t="str">
        <f t="shared" si="86"/>
        <v/>
      </c>
      <c r="Y279" s="576" t="str">
        <f t="shared" si="87"/>
        <v/>
      </c>
      <c r="AA279" s="576" t="str">
        <f t="shared" si="96"/>
        <v/>
      </c>
      <c r="AC279" s="576" t="str">
        <f t="shared" si="88"/>
        <v/>
      </c>
      <c r="AE279" s="576" t="str">
        <f t="shared" si="89"/>
        <v/>
      </c>
      <c r="AG279" s="576" t="str">
        <f t="shared" si="90"/>
        <v/>
      </c>
      <c r="AI279" s="576" t="str">
        <f t="shared" si="91"/>
        <v/>
      </c>
      <c r="AK279" s="576" t="str">
        <f t="shared" si="92"/>
        <v/>
      </c>
      <c r="AM279" s="576" t="str">
        <f t="shared" si="93"/>
        <v/>
      </c>
      <c r="AO279" s="576" t="str">
        <f t="shared" si="94"/>
        <v/>
      </c>
      <c r="AQ279" s="576" t="str">
        <f t="shared" si="95"/>
        <v/>
      </c>
    </row>
    <row r="280" spans="5:43" x14ac:dyDescent="0.2">
      <c r="E280" s="576" t="str">
        <f t="shared" si="101"/>
        <v/>
      </c>
      <c r="G280" s="576" t="str">
        <f t="shared" si="97"/>
        <v/>
      </c>
      <c r="I280" s="576" t="str">
        <f t="shared" si="98"/>
        <v/>
      </c>
      <c r="K280" s="576" t="str">
        <f t="shared" si="99"/>
        <v/>
      </c>
      <c r="M280" s="576" t="str">
        <f t="shared" si="100"/>
        <v/>
      </c>
      <c r="O280" s="576" t="str">
        <f t="shared" si="102"/>
        <v/>
      </c>
      <c r="Q280" s="576" t="str">
        <f t="shared" si="83"/>
        <v/>
      </c>
      <c r="S280" s="576" t="str">
        <f t="shared" si="84"/>
        <v/>
      </c>
      <c r="U280" s="576" t="str">
        <f t="shared" si="85"/>
        <v/>
      </c>
      <c r="W280" s="576" t="str">
        <f t="shared" si="86"/>
        <v/>
      </c>
      <c r="Y280" s="576" t="str">
        <f t="shared" si="87"/>
        <v/>
      </c>
      <c r="AA280" s="576" t="str">
        <f t="shared" si="96"/>
        <v/>
      </c>
      <c r="AC280" s="576" t="str">
        <f t="shared" si="88"/>
        <v/>
      </c>
      <c r="AE280" s="576" t="str">
        <f t="shared" si="89"/>
        <v/>
      </c>
      <c r="AG280" s="576" t="str">
        <f t="shared" si="90"/>
        <v/>
      </c>
      <c r="AI280" s="576" t="str">
        <f t="shared" si="91"/>
        <v/>
      </c>
      <c r="AK280" s="576" t="str">
        <f t="shared" si="92"/>
        <v/>
      </c>
      <c r="AM280" s="576" t="str">
        <f t="shared" si="93"/>
        <v/>
      </c>
      <c r="AO280" s="576" t="str">
        <f t="shared" si="94"/>
        <v/>
      </c>
      <c r="AQ280" s="576" t="str">
        <f t="shared" si="95"/>
        <v/>
      </c>
    </row>
    <row r="281" spans="5:43" x14ac:dyDescent="0.2">
      <c r="E281" s="576" t="str">
        <f t="shared" si="101"/>
        <v/>
      </c>
      <c r="G281" s="576" t="str">
        <f t="shared" si="97"/>
        <v/>
      </c>
      <c r="I281" s="576" t="str">
        <f t="shared" si="98"/>
        <v/>
      </c>
      <c r="K281" s="576" t="str">
        <f t="shared" si="99"/>
        <v/>
      </c>
      <c r="M281" s="576" t="str">
        <f t="shared" si="100"/>
        <v/>
      </c>
      <c r="O281" s="576" t="str">
        <f t="shared" si="102"/>
        <v/>
      </c>
      <c r="Q281" s="576" t="str">
        <f t="shared" si="83"/>
        <v/>
      </c>
      <c r="S281" s="576" t="str">
        <f t="shared" si="84"/>
        <v/>
      </c>
      <c r="U281" s="576" t="str">
        <f t="shared" si="85"/>
        <v/>
      </c>
      <c r="W281" s="576" t="str">
        <f t="shared" si="86"/>
        <v/>
      </c>
      <c r="Y281" s="576" t="str">
        <f t="shared" si="87"/>
        <v/>
      </c>
      <c r="AA281" s="576" t="str">
        <f t="shared" si="96"/>
        <v/>
      </c>
      <c r="AC281" s="576" t="str">
        <f t="shared" si="88"/>
        <v/>
      </c>
      <c r="AE281" s="576" t="str">
        <f t="shared" si="89"/>
        <v/>
      </c>
      <c r="AG281" s="576" t="str">
        <f t="shared" si="90"/>
        <v/>
      </c>
      <c r="AI281" s="576" t="str">
        <f t="shared" si="91"/>
        <v/>
      </c>
      <c r="AK281" s="576" t="str">
        <f t="shared" si="92"/>
        <v/>
      </c>
      <c r="AM281" s="576" t="str">
        <f t="shared" si="93"/>
        <v/>
      </c>
      <c r="AO281" s="576" t="str">
        <f t="shared" si="94"/>
        <v/>
      </c>
      <c r="AQ281" s="576" t="str">
        <f t="shared" si="95"/>
        <v/>
      </c>
    </row>
    <row r="282" spans="5:43" x14ac:dyDescent="0.2">
      <c r="E282" s="576" t="str">
        <f t="shared" si="101"/>
        <v/>
      </c>
      <c r="G282" s="576" t="str">
        <f t="shared" si="97"/>
        <v/>
      </c>
      <c r="I282" s="576" t="str">
        <f t="shared" si="98"/>
        <v/>
      </c>
      <c r="K282" s="576" t="str">
        <f t="shared" si="99"/>
        <v/>
      </c>
      <c r="M282" s="576" t="str">
        <f t="shared" si="100"/>
        <v/>
      </c>
      <c r="O282" s="576" t="str">
        <f t="shared" si="102"/>
        <v/>
      </c>
      <c r="Q282" s="576" t="str">
        <f t="shared" si="83"/>
        <v/>
      </c>
      <c r="S282" s="576" t="str">
        <f t="shared" si="84"/>
        <v/>
      </c>
      <c r="U282" s="576" t="str">
        <f t="shared" si="85"/>
        <v/>
      </c>
      <c r="W282" s="576" t="str">
        <f t="shared" si="86"/>
        <v/>
      </c>
      <c r="Y282" s="576" t="str">
        <f t="shared" si="87"/>
        <v/>
      </c>
      <c r="AA282" s="576" t="str">
        <f t="shared" si="96"/>
        <v/>
      </c>
      <c r="AC282" s="576" t="str">
        <f t="shared" si="88"/>
        <v/>
      </c>
      <c r="AE282" s="576" t="str">
        <f t="shared" si="89"/>
        <v/>
      </c>
      <c r="AG282" s="576" t="str">
        <f t="shared" si="90"/>
        <v/>
      </c>
      <c r="AI282" s="576" t="str">
        <f t="shared" si="91"/>
        <v/>
      </c>
      <c r="AK282" s="576" t="str">
        <f t="shared" si="92"/>
        <v/>
      </c>
      <c r="AM282" s="576" t="str">
        <f t="shared" si="93"/>
        <v/>
      </c>
      <c r="AO282" s="576" t="str">
        <f t="shared" si="94"/>
        <v/>
      </c>
      <c r="AQ282" s="576" t="str">
        <f t="shared" si="95"/>
        <v/>
      </c>
    </row>
    <row r="283" spans="5:43" x14ac:dyDescent="0.2">
      <c r="E283" s="576" t="str">
        <f t="shared" si="101"/>
        <v/>
      </c>
      <c r="G283" s="576" t="str">
        <f t="shared" si="97"/>
        <v/>
      </c>
      <c r="I283" s="576" t="str">
        <f t="shared" si="98"/>
        <v/>
      </c>
      <c r="K283" s="576" t="str">
        <f t="shared" si="99"/>
        <v/>
      </c>
      <c r="M283" s="576" t="str">
        <f t="shared" si="100"/>
        <v/>
      </c>
      <c r="O283" s="576" t="str">
        <f t="shared" si="102"/>
        <v/>
      </c>
      <c r="Q283" s="576" t="str">
        <f t="shared" si="83"/>
        <v/>
      </c>
      <c r="S283" s="576" t="str">
        <f t="shared" si="84"/>
        <v/>
      </c>
      <c r="U283" s="576" t="str">
        <f t="shared" si="85"/>
        <v/>
      </c>
      <c r="W283" s="576" t="str">
        <f t="shared" si="86"/>
        <v/>
      </c>
      <c r="Y283" s="576" t="str">
        <f t="shared" si="87"/>
        <v/>
      </c>
      <c r="AA283" s="576" t="str">
        <f t="shared" si="96"/>
        <v/>
      </c>
      <c r="AC283" s="576" t="str">
        <f t="shared" si="88"/>
        <v/>
      </c>
      <c r="AE283" s="576" t="str">
        <f t="shared" si="89"/>
        <v/>
      </c>
      <c r="AG283" s="576" t="str">
        <f t="shared" si="90"/>
        <v/>
      </c>
      <c r="AI283" s="576" t="str">
        <f t="shared" si="91"/>
        <v/>
      </c>
      <c r="AK283" s="576" t="str">
        <f t="shared" si="92"/>
        <v/>
      </c>
      <c r="AM283" s="576" t="str">
        <f t="shared" si="93"/>
        <v/>
      </c>
      <c r="AO283" s="576" t="str">
        <f t="shared" si="94"/>
        <v/>
      </c>
      <c r="AQ283" s="576" t="str">
        <f t="shared" si="95"/>
        <v/>
      </c>
    </row>
    <row r="284" spans="5:43" x14ac:dyDescent="0.2">
      <c r="E284" s="576" t="str">
        <f t="shared" si="101"/>
        <v/>
      </c>
      <c r="G284" s="576" t="str">
        <f t="shared" si="97"/>
        <v/>
      </c>
      <c r="I284" s="576" t="str">
        <f t="shared" si="98"/>
        <v/>
      </c>
      <c r="K284" s="576" t="str">
        <f t="shared" si="99"/>
        <v/>
      </c>
      <c r="M284" s="576" t="str">
        <f t="shared" si="100"/>
        <v/>
      </c>
      <c r="O284" s="576" t="str">
        <f t="shared" si="102"/>
        <v/>
      </c>
      <c r="Q284" s="576" t="str">
        <f t="shared" si="83"/>
        <v/>
      </c>
      <c r="S284" s="576" t="str">
        <f t="shared" si="84"/>
        <v/>
      </c>
      <c r="U284" s="576" t="str">
        <f t="shared" si="85"/>
        <v/>
      </c>
      <c r="W284" s="576" t="str">
        <f t="shared" si="86"/>
        <v/>
      </c>
      <c r="Y284" s="576" t="str">
        <f t="shared" si="87"/>
        <v/>
      </c>
      <c r="AA284" s="576" t="str">
        <f t="shared" si="96"/>
        <v/>
      </c>
      <c r="AC284" s="576" t="str">
        <f t="shared" si="88"/>
        <v/>
      </c>
      <c r="AE284" s="576" t="str">
        <f t="shared" si="89"/>
        <v/>
      </c>
      <c r="AG284" s="576" t="str">
        <f t="shared" si="90"/>
        <v/>
      </c>
      <c r="AI284" s="576" t="str">
        <f t="shared" si="91"/>
        <v/>
      </c>
      <c r="AK284" s="576" t="str">
        <f t="shared" si="92"/>
        <v/>
      </c>
      <c r="AM284" s="576" t="str">
        <f t="shared" si="93"/>
        <v/>
      </c>
      <c r="AO284" s="576" t="str">
        <f t="shared" si="94"/>
        <v/>
      </c>
      <c r="AQ284" s="576" t="str">
        <f t="shared" si="95"/>
        <v/>
      </c>
    </row>
    <row r="285" spans="5:43" x14ac:dyDescent="0.2">
      <c r="E285" s="576" t="str">
        <f t="shared" si="101"/>
        <v/>
      </c>
      <c r="G285" s="576" t="str">
        <f t="shared" si="97"/>
        <v/>
      </c>
      <c r="I285" s="576" t="str">
        <f t="shared" si="98"/>
        <v/>
      </c>
      <c r="K285" s="576" t="str">
        <f t="shared" si="99"/>
        <v/>
      </c>
      <c r="M285" s="576" t="str">
        <f t="shared" si="100"/>
        <v/>
      </c>
      <c r="O285" s="576" t="str">
        <f t="shared" si="102"/>
        <v/>
      </c>
      <c r="Q285" s="576" t="str">
        <f t="shared" si="83"/>
        <v/>
      </c>
      <c r="S285" s="576" t="str">
        <f t="shared" si="84"/>
        <v/>
      </c>
      <c r="U285" s="576" t="str">
        <f t="shared" si="85"/>
        <v/>
      </c>
      <c r="W285" s="576" t="str">
        <f t="shared" si="86"/>
        <v/>
      </c>
      <c r="Y285" s="576" t="str">
        <f t="shared" si="87"/>
        <v/>
      </c>
      <c r="AA285" s="576" t="str">
        <f t="shared" si="96"/>
        <v/>
      </c>
      <c r="AC285" s="576" t="str">
        <f t="shared" si="88"/>
        <v/>
      </c>
      <c r="AE285" s="576" t="str">
        <f t="shared" si="89"/>
        <v/>
      </c>
      <c r="AG285" s="576" t="str">
        <f t="shared" si="90"/>
        <v/>
      </c>
      <c r="AI285" s="576" t="str">
        <f t="shared" si="91"/>
        <v/>
      </c>
      <c r="AK285" s="576" t="str">
        <f t="shared" si="92"/>
        <v/>
      </c>
      <c r="AM285" s="576" t="str">
        <f t="shared" si="93"/>
        <v/>
      </c>
      <c r="AO285" s="576" t="str">
        <f t="shared" si="94"/>
        <v/>
      </c>
      <c r="AQ285" s="576" t="str">
        <f t="shared" si="95"/>
        <v/>
      </c>
    </row>
    <row r="286" spans="5:43" x14ac:dyDescent="0.2">
      <c r="E286" s="576" t="str">
        <f t="shared" si="101"/>
        <v/>
      </c>
      <c r="G286" s="576" t="str">
        <f t="shared" si="97"/>
        <v/>
      </c>
      <c r="I286" s="576" t="str">
        <f t="shared" si="98"/>
        <v/>
      </c>
      <c r="K286" s="576" t="str">
        <f t="shared" si="99"/>
        <v/>
      </c>
      <c r="M286" s="576" t="str">
        <f t="shared" si="100"/>
        <v/>
      </c>
      <c r="O286" s="576" t="str">
        <f t="shared" si="102"/>
        <v/>
      </c>
      <c r="Q286" s="576" t="str">
        <f t="shared" si="83"/>
        <v/>
      </c>
      <c r="S286" s="576" t="str">
        <f t="shared" si="84"/>
        <v/>
      </c>
      <c r="U286" s="576" t="str">
        <f t="shared" si="85"/>
        <v/>
      </c>
      <c r="W286" s="576" t="str">
        <f t="shared" si="86"/>
        <v/>
      </c>
      <c r="Y286" s="576" t="str">
        <f t="shared" si="87"/>
        <v/>
      </c>
      <c r="AA286" s="576" t="str">
        <f t="shared" si="96"/>
        <v/>
      </c>
      <c r="AC286" s="576" t="str">
        <f t="shared" si="88"/>
        <v/>
      </c>
      <c r="AE286" s="576" t="str">
        <f t="shared" si="89"/>
        <v/>
      </c>
      <c r="AG286" s="576" t="str">
        <f t="shared" si="90"/>
        <v/>
      </c>
      <c r="AI286" s="576" t="str">
        <f t="shared" si="91"/>
        <v/>
      </c>
      <c r="AK286" s="576" t="str">
        <f t="shared" si="92"/>
        <v/>
      </c>
      <c r="AM286" s="576" t="str">
        <f t="shared" si="93"/>
        <v/>
      </c>
      <c r="AO286" s="576" t="str">
        <f t="shared" si="94"/>
        <v/>
      </c>
      <c r="AQ286" s="576" t="str">
        <f t="shared" si="95"/>
        <v/>
      </c>
    </row>
    <row r="287" spans="5:43" x14ac:dyDescent="0.2">
      <c r="E287" s="576" t="str">
        <f t="shared" si="101"/>
        <v/>
      </c>
      <c r="G287" s="576" t="str">
        <f t="shared" si="97"/>
        <v/>
      </c>
      <c r="I287" s="576" t="str">
        <f t="shared" si="98"/>
        <v/>
      </c>
      <c r="K287" s="576" t="str">
        <f t="shared" si="99"/>
        <v/>
      </c>
      <c r="M287" s="576" t="str">
        <f t="shared" si="100"/>
        <v/>
      </c>
      <c r="O287" s="576" t="str">
        <f t="shared" si="102"/>
        <v/>
      </c>
      <c r="Q287" s="576" t="str">
        <f t="shared" ref="Q287:Q301" si="103">IF(OR($B286=0,P287=0),"",P287/$B286)</f>
        <v/>
      </c>
      <c r="S287" s="576" t="str">
        <f t="shared" ref="S287:S301" si="104">IF(OR($B286=0,R287=0),"",R287/$B286)</f>
        <v/>
      </c>
      <c r="U287" s="576" t="str">
        <f t="shared" ref="U287:U301" si="105">IF(OR($B286=0,T287=0),"",T287/$B286)</f>
        <v/>
      </c>
      <c r="W287" s="576" t="str">
        <f t="shared" ref="W287:W301" si="106">IF(OR($B286=0,V287=0),"",V287/$B286)</f>
        <v/>
      </c>
      <c r="Y287" s="576" t="str">
        <f t="shared" ref="Y287:Y301" si="107">IF(OR($B286=0,X287=0),"",X287/$B286)</f>
        <v/>
      </c>
      <c r="AA287" s="576" t="str">
        <f t="shared" si="96"/>
        <v/>
      </c>
      <c r="AC287" s="576" t="str">
        <f t="shared" ref="AC287:AC301" si="108">IF(OR($B286=0,AB287=0),"",AB287/$B286)</f>
        <v/>
      </c>
      <c r="AE287" s="576" t="str">
        <f t="shared" ref="AE287:AE301" si="109">IF(OR($B286=0,AD287=0),"",AD287/$B286)</f>
        <v/>
      </c>
      <c r="AG287" s="576" t="str">
        <f t="shared" ref="AG287:AG301" si="110">IF(OR($B286=0,AF287=0),"",AF287/$B286)</f>
        <v/>
      </c>
      <c r="AI287" s="576" t="str">
        <f t="shared" ref="AI287:AI301" si="111">IF(OR($B286=0,AH287=0),"",AH287/$B286)</f>
        <v/>
      </c>
      <c r="AK287" s="576" t="str">
        <f t="shared" ref="AK287:AK301" si="112">IF(OR($B286=0,AJ287=0),"",AJ287/$B286)</f>
        <v/>
      </c>
      <c r="AM287" s="576" t="str">
        <f t="shared" ref="AM287:AM301" si="113">IF(OR($B286=0,AL287=0),"",AL287/$B286)</f>
        <v/>
      </c>
      <c r="AO287" s="576" t="str">
        <f t="shared" ref="AO287:AO301" si="114">IF(OR($B286=0,AN287=0),"",AN287/$B286)</f>
        <v/>
      </c>
      <c r="AQ287" s="576" t="str">
        <f t="shared" ref="AQ287:AQ301" si="115">IF(OR($B286=0,AP287=0),"",AP287/$B286)</f>
        <v/>
      </c>
    </row>
    <row r="288" spans="5:43" x14ac:dyDescent="0.2">
      <c r="E288" s="576" t="str">
        <f t="shared" si="101"/>
        <v/>
      </c>
      <c r="G288" s="576" t="str">
        <f t="shared" si="97"/>
        <v/>
      </c>
      <c r="I288" s="576" t="str">
        <f t="shared" si="98"/>
        <v/>
      </c>
      <c r="K288" s="576" t="str">
        <f t="shared" si="99"/>
        <v/>
      </c>
      <c r="M288" s="576" t="str">
        <f t="shared" si="100"/>
        <v/>
      </c>
      <c r="O288" s="576" t="str">
        <f t="shared" si="102"/>
        <v/>
      </c>
      <c r="Q288" s="576" t="str">
        <f t="shared" si="103"/>
        <v/>
      </c>
      <c r="S288" s="576" t="str">
        <f t="shared" si="104"/>
        <v/>
      </c>
      <c r="U288" s="576" t="str">
        <f t="shared" si="105"/>
        <v/>
      </c>
      <c r="W288" s="576" t="str">
        <f t="shared" si="106"/>
        <v/>
      </c>
      <c r="Y288" s="576" t="str">
        <f t="shared" si="107"/>
        <v/>
      </c>
      <c r="AA288" s="576" t="str">
        <f t="shared" ref="AA288:AA301" si="116">IF(OR($B287=0,Z288=0),"",Z288/$B287)</f>
        <v/>
      </c>
      <c r="AC288" s="576" t="str">
        <f t="shared" si="108"/>
        <v/>
      </c>
      <c r="AE288" s="576" t="str">
        <f t="shared" si="109"/>
        <v/>
      </c>
      <c r="AG288" s="576" t="str">
        <f t="shared" si="110"/>
        <v/>
      </c>
      <c r="AI288" s="576" t="str">
        <f t="shared" si="111"/>
        <v/>
      </c>
      <c r="AK288" s="576" t="str">
        <f t="shared" si="112"/>
        <v/>
      </c>
      <c r="AM288" s="576" t="str">
        <f t="shared" si="113"/>
        <v/>
      </c>
      <c r="AO288" s="576" t="str">
        <f t="shared" si="114"/>
        <v/>
      </c>
      <c r="AQ288" s="576" t="str">
        <f t="shared" si="115"/>
        <v/>
      </c>
    </row>
    <row r="289" spans="5:43" x14ac:dyDescent="0.2">
      <c r="E289" s="576" t="str">
        <f t="shared" si="101"/>
        <v/>
      </c>
      <c r="G289" s="576" t="str">
        <f t="shared" si="97"/>
        <v/>
      </c>
      <c r="I289" s="576" t="str">
        <f t="shared" si="98"/>
        <v/>
      </c>
      <c r="K289" s="576" t="str">
        <f t="shared" si="99"/>
        <v/>
      </c>
      <c r="M289" s="576" t="str">
        <f t="shared" si="100"/>
        <v/>
      </c>
      <c r="O289" s="576" t="str">
        <f t="shared" si="102"/>
        <v/>
      </c>
      <c r="Q289" s="576" t="str">
        <f t="shared" si="103"/>
        <v/>
      </c>
      <c r="S289" s="576" t="str">
        <f t="shared" si="104"/>
        <v/>
      </c>
      <c r="U289" s="576" t="str">
        <f t="shared" si="105"/>
        <v/>
      </c>
      <c r="W289" s="576" t="str">
        <f t="shared" si="106"/>
        <v/>
      </c>
      <c r="Y289" s="576" t="str">
        <f t="shared" si="107"/>
        <v/>
      </c>
      <c r="AA289" s="576" t="str">
        <f t="shared" si="116"/>
        <v/>
      </c>
      <c r="AC289" s="576" t="str">
        <f t="shared" si="108"/>
        <v/>
      </c>
      <c r="AE289" s="576" t="str">
        <f t="shared" si="109"/>
        <v/>
      </c>
      <c r="AG289" s="576" t="str">
        <f t="shared" si="110"/>
        <v/>
      </c>
      <c r="AI289" s="576" t="str">
        <f t="shared" si="111"/>
        <v/>
      </c>
      <c r="AK289" s="576" t="str">
        <f t="shared" si="112"/>
        <v/>
      </c>
      <c r="AM289" s="576" t="str">
        <f t="shared" si="113"/>
        <v/>
      </c>
      <c r="AO289" s="576" t="str">
        <f t="shared" si="114"/>
        <v/>
      </c>
      <c r="AQ289" s="576" t="str">
        <f t="shared" si="115"/>
        <v/>
      </c>
    </row>
    <row r="290" spans="5:43" x14ac:dyDescent="0.2">
      <c r="E290" s="576" t="str">
        <f t="shared" si="101"/>
        <v/>
      </c>
      <c r="G290" s="576" t="str">
        <f t="shared" ref="G290:G301" si="117">IF(OR($B289=0,F290=0),"",F290/$B289)</f>
        <v/>
      </c>
      <c r="I290" s="576" t="str">
        <f t="shared" ref="I290:I301" si="118">IF(OR($B289=0,H290=0),"",H290/$B289)</f>
        <v/>
      </c>
      <c r="K290" s="576" t="str">
        <f t="shared" ref="K290:K301" si="119">IF(OR($B289=0,J290=0),"",J290/$B289)</f>
        <v/>
      </c>
      <c r="M290" s="576" t="str">
        <f t="shared" ref="M290:M301" si="120">IF(OR($B289=0,L290=0),"",L290/$B289)</f>
        <v/>
      </c>
      <c r="O290" s="576" t="str">
        <f t="shared" si="102"/>
        <v/>
      </c>
      <c r="Q290" s="576" t="str">
        <f t="shared" si="103"/>
        <v/>
      </c>
      <c r="S290" s="576" t="str">
        <f t="shared" si="104"/>
        <v/>
      </c>
      <c r="U290" s="576" t="str">
        <f t="shared" si="105"/>
        <v/>
      </c>
      <c r="W290" s="576" t="str">
        <f t="shared" si="106"/>
        <v/>
      </c>
      <c r="Y290" s="576" t="str">
        <f t="shared" si="107"/>
        <v/>
      </c>
      <c r="AA290" s="576" t="str">
        <f t="shared" si="116"/>
        <v/>
      </c>
      <c r="AC290" s="576" t="str">
        <f t="shared" si="108"/>
        <v/>
      </c>
      <c r="AE290" s="576" t="str">
        <f t="shared" si="109"/>
        <v/>
      </c>
      <c r="AG290" s="576" t="str">
        <f t="shared" si="110"/>
        <v/>
      </c>
      <c r="AI290" s="576" t="str">
        <f t="shared" si="111"/>
        <v/>
      </c>
      <c r="AK290" s="576" t="str">
        <f t="shared" si="112"/>
        <v/>
      </c>
      <c r="AM290" s="576" t="str">
        <f t="shared" si="113"/>
        <v/>
      </c>
      <c r="AO290" s="576" t="str">
        <f t="shared" si="114"/>
        <v/>
      </c>
      <c r="AQ290" s="576" t="str">
        <f t="shared" si="115"/>
        <v/>
      </c>
    </row>
    <row r="291" spans="5:43" x14ac:dyDescent="0.2">
      <c r="E291" s="576" t="str">
        <f t="shared" ref="E291:E301" si="121">IF(OR($B290=0,D291=0),"",D291/$B290)</f>
        <v/>
      </c>
      <c r="G291" s="576" t="str">
        <f t="shared" si="117"/>
        <v/>
      </c>
      <c r="I291" s="576" t="str">
        <f t="shared" si="118"/>
        <v/>
      </c>
      <c r="K291" s="576" t="str">
        <f t="shared" si="119"/>
        <v/>
      </c>
      <c r="M291" s="576" t="str">
        <f t="shared" si="120"/>
        <v/>
      </c>
      <c r="O291" s="576" t="str">
        <f t="shared" ref="O291:O301" si="122">IF(OR($B290=0,N291=0),"",N291/$B290)</f>
        <v/>
      </c>
      <c r="Q291" s="576" t="str">
        <f t="shared" si="103"/>
        <v/>
      </c>
      <c r="S291" s="576" t="str">
        <f t="shared" si="104"/>
        <v/>
      </c>
      <c r="U291" s="576" t="str">
        <f t="shared" si="105"/>
        <v/>
      </c>
      <c r="W291" s="576" t="str">
        <f t="shared" si="106"/>
        <v/>
      </c>
      <c r="Y291" s="576" t="str">
        <f t="shared" si="107"/>
        <v/>
      </c>
      <c r="AA291" s="576" t="str">
        <f t="shared" si="116"/>
        <v/>
      </c>
      <c r="AC291" s="576" t="str">
        <f t="shared" si="108"/>
        <v/>
      </c>
      <c r="AE291" s="576" t="str">
        <f t="shared" si="109"/>
        <v/>
      </c>
      <c r="AG291" s="576" t="str">
        <f t="shared" si="110"/>
        <v/>
      </c>
      <c r="AI291" s="576" t="str">
        <f t="shared" si="111"/>
        <v/>
      </c>
      <c r="AK291" s="576" t="str">
        <f t="shared" si="112"/>
        <v/>
      </c>
      <c r="AM291" s="576" t="str">
        <f t="shared" si="113"/>
        <v/>
      </c>
      <c r="AO291" s="576" t="str">
        <f t="shared" si="114"/>
        <v/>
      </c>
      <c r="AQ291" s="576" t="str">
        <f t="shared" si="115"/>
        <v/>
      </c>
    </row>
    <row r="292" spans="5:43" x14ac:dyDescent="0.2">
      <c r="E292" s="576" t="str">
        <f t="shared" si="121"/>
        <v/>
      </c>
      <c r="G292" s="576" t="str">
        <f t="shared" si="117"/>
        <v/>
      </c>
      <c r="I292" s="576" t="str">
        <f t="shared" si="118"/>
        <v/>
      </c>
      <c r="K292" s="576" t="str">
        <f t="shared" si="119"/>
        <v/>
      </c>
      <c r="M292" s="576" t="str">
        <f t="shared" si="120"/>
        <v/>
      </c>
      <c r="O292" s="576" t="str">
        <f t="shared" si="122"/>
        <v/>
      </c>
      <c r="Q292" s="576" t="str">
        <f t="shared" si="103"/>
        <v/>
      </c>
      <c r="S292" s="576" t="str">
        <f t="shared" si="104"/>
        <v/>
      </c>
      <c r="U292" s="576" t="str">
        <f t="shared" si="105"/>
        <v/>
      </c>
      <c r="W292" s="576" t="str">
        <f t="shared" si="106"/>
        <v/>
      </c>
      <c r="Y292" s="576" t="str">
        <f t="shared" si="107"/>
        <v/>
      </c>
      <c r="AA292" s="576" t="str">
        <f t="shared" si="116"/>
        <v/>
      </c>
      <c r="AC292" s="576" t="str">
        <f t="shared" si="108"/>
        <v/>
      </c>
      <c r="AE292" s="576" t="str">
        <f t="shared" si="109"/>
        <v/>
      </c>
      <c r="AG292" s="576" t="str">
        <f t="shared" si="110"/>
        <v/>
      </c>
      <c r="AI292" s="576" t="str">
        <f t="shared" si="111"/>
        <v/>
      </c>
      <c r="AK292" s="576" t="str">
        <f t="shared" si="112"/>
        <v/>
      </c>
      <c r="AM292" s="576" t="str">
        <f t="shared" si="113"/>
        <v/>
      </c>
      <c r="AO292" s="576" t="str">
        <f t="shared" si="114"/>
        <v/>
      </c>
      <c r="AQ292" s="576" t="str">
        <f t="shared" si="115"/>
        <v/>
      </c>
    </row>
    <row r="293" spans="5:43" x14ac:dyDescent="0.2">
      <c r="E293" s="576" t="str">
        <f t="shared" si="121"/>
        <v/>
      </c>
      <c r="G293" s="576" t="str">
        <f t="shared" si="117"/>
        <v/>
      </c>
      <c r="I293" s="576" t="str">
        <f t="shared" si="118"/>
        <v/>
      </c>
      <c r="K293" s="576" t="str">
        <f t="shared" si="119"/>
        <v/>
      </c>
      <c r="M293" s="576" t="str">
        <f t="shared" si="120"/>
        <v/>
      </c>
      <c r="O293" s="576" t="str">
        <f t="shared" si="122"/>
        <v/>
      </c>
      <c r="Q293" s="576" t="str">
        <f t="shared" si="103"/>
        <v/>
      </c>
      <c r="S293" s="576" t="str">
        <f t="shared" si="104"/>
        <v/>
      </c>
      <c r="U293" s="576" t="str">
        <f t="shared" si="105"/>
        <v/>
      </c>
      <c r="W293" s="576" t="str">
        <f t="shared" si="106"/>
        <v/>
      </c>
      <c r="Y293" s="576" t="str">
        <f t="shared" si="107"/>
        <v/>
      </c>
      <c r="AA293" s="576" t="str">
        <f t="shared" si="116"/>
        <v/>
      </c>
      <c r="AC293" s="576" t="str">
        <f t="shared" si="108"/>
        <v/>
      </c>
      <c r="AE293" s="576" t="str">
        <f t="shared" si="109"/>
        <v/>
      </c>
      <c r="AG293" s="576" t="str">
        <f t="shared" si="110"/>
        <v/>
      </c>
      <c r="AI293" s="576" t="str">
        <f t="shared" si="111"/>
        <v/>
      </c>
      <c r="AK293" s="576" t="str">
        <f t="shared" si="112"/>
        <v/>
      </c>
      <c r="AM293" s="576" t="str">
        <f t="shared" si="113"/>
        <v/>
      </c>
      <c r="AO293" s="576" t="str">
        <f t="shared" si="114"/>
        <v/>
      </c>
      <c r="AQ293" s="576" t="str">
        <f t="shared" si="115"/>
        <v/>
      </c>
    </row>
    <row r="294" spans="5:43" x14ac:dyDescent="0.2">
      <c r="E294" s="576" t="str">
        <f t="shared" si="121"/>
        <v/>
      </c>
      <c r="G294" s="576" t="str">
        <f t="shared" si="117"/>
        <v/>
      </c>
      <c r="I294" s="576" t="str">
        <f t="shared" si="118"/>
        <v/>
      </c>
      <c r="K294" s="576" t="str">
        <f t="shared" si="119"/>
        <v/>
      </c>
      <c r="M294" s="576" t="str">
        <f t="shared" si="120"/>
        <v/>
      </c>
      <c r="O294" s="576" t="str">
        <f t="shared" si="122"/>
        <v/>
      </c>
      <c r="Q294" s="576" t="str">
        <f t="shared" si="103"/>
        <v/>
      </c>
      <c r="S294" s="576" t="str">
        <f t="shared" si="104"/>
        <v/>
      </c>
      <c r="U294" s="576" t="str">
        <f t="shared" si="105"/>
        <v/>
      </c>
      <c r="W294" s="576" t="str">
        <f t="shared" si="106"/>
        <v/>
      </c>
      <c r="Y294" s="576" t="str">
        <f t="shared" si="107"/>
        <v/>
      </c>
      <c r="AA294" s="576" t="str">
        <f t="shared" si="116"/>
        <v/>
      </c>
      <c r="AC294" s="576" t="str">
        <f t="shared" si="108"/>
        <v/>
      </c>
      <c r="AE294" s="576" t="str">
        <f t="shared" si="109"/>
        <v/>
      </c>
      <c r="AG294" s="576" t="str">
        <f t="shared" si="110"/>
        <v/>
      </c>
      <c r="AI294" s="576" t="str">
        <f t="shared" si="111"/>
        <v/>
      </c>
      <c r="AK294" s="576" t="str">
        <f t="shared" si="112"/>
        <v/>
      </c>
      <c r="AM294" s="576" t="str">
        <f t="shared" si="113"/>
        <v/>
      </c>
      <c r="AO294" s="576" t="str">
        <f t="shared" si="114"/>
        <v/>
      </c>
      <c r="AQ294" s="576" t="str">
        <f t="shared" si="115"/>
        <v/>
      </c>
    </row>
    <row r="295" spans="5:43" x14ac:dyDescent="0.2">
      <c r="E295" s="576" t="str">
        <f t="shared" si="121"/>
        <v/>
      </c>
      <c r="G295" s="576" t="str">
        <f t="shared" si="117"/>
        <v/>
      </c>
      <c r="I295" s="576" t="str">
        <f t="shared" si="118"/>
        <v/>
      </c>
      <c r="K295" s="576" t="str">
        <f t="shared" si="119"/>
        <v/>
      </c>
      <c r="M295" s="576" t="str">
        <f t="shared" si="120"/>
        <v/>
      </c>
      <c r="O295" s="576" t="str">
        <f t="shared" si="122"/>
        <v/>
      </c>
      <c r="Q295" s="576" t="str">
        <f t="shared" si="103"/>
        <v/>
      </c>
      <c r="S295" s="576" t="str">
        <f t="shared" si="104"/>
        <v/>
      </c>
      <c r="U295" s="576" t="str">
        <f t="shared" si="105"/>
        <v/>
      </c>
      <c r="W295" s="576" t="str">
        <f t="shared" si="106"/>
        <v/>
      </c>
      <c r="Y295" s="576" t="str">
        <f t="shared" si="107"/>
        <v/>
      </c>
      <c r="AA295" s="576" t="str">
        <f t="shared" si="116"/>
        <v/>
      </c>
      <c r="AC295" s="576" t="str">
        <f t="shared" si="108"/>
        <v/>
      </c>
      <c r="AE295" s="576" t="str">
        <f t="shared" si="109"/>
        <v/>
      </c>
      <c r="AG295" s="576" t="str">
        <f t="shared" si="110"/>
        <v/>
      </c>
      <c r="AI295" s="576" t="str">
        <f t="shared" si="111"/>
        <v/>
      </c>
      <c r="AK295" s="576" t="str">
        <f t="shared" si="112"/>
        <v/>
      </c>
      <c r="AM295" s="576" t="str">
        <f t="shared" si="113"/>
        <v/>
      </c>
      <c r="AO295" s="576" t="str">
        <f t="shared" si="114"/>
        <v/>
      </c>
      <c r="AQ295" s="576" t="str">
        <f t="shared" si="115"/>
        <v/>
      </c>
    </row>
    <row r="296" spans="5:43" x14ac:dyDescent="0.2">
      <c r="E296" s="576" t="str">
        <f t="shared" si="121"/>
        <v/>
      </c>
      <c r="G296" s="576" t="str">
        <f t="shared" si="117"/>
        <v/>
      </c>
      <c r="I296" s="576" t="str">
        <f t="shared" si="118"/>
        <v/>
      </c>
      <c r="K296" s="576" t="str">
        <f t="shared" si="119"/>
        <v/>
      </c>
      <c r="M296" s="576" t="str">
        <f t="shared" si="120"/>
        <v/>
      </c>
      <c r="O296" s="576" t="str">
        <f t="shared" si="122"/>
        <v/>
      </c>
      <c r="Q296" s="576" t="str">
        <f t="shared" si="103"/>
        <v/>
      </c>
      <c r="S296" s="576" t="str">
        <f t="shared" si="104"/>
        <v/>
      </c>
      <c r="U296" s="576" t="str">
        <f t="shared" si="105"/>
        <v/>
      </c>
      <c r="W296" s="576" t="str">
        <f t="shared" si="106"/>
        <v/>
      </c>
      <c r="Y296" s="576" t="str">
        <f t="shared" si="107"/>
        <v/>
      </c>
      <c r="AA296" s="576" t="str">
        <f t="shared" si="116"/>
        <v/>
      </c>
      <c r="AC296" s="576" t="str">
        <f t="shared" si="108"/>
        <v/>
      </c>
      <c r="AE296" s="576" t="str">
        <f t="shared" si="109"/>
        <v/>
      </c>
      <c r="AG296" s="576" t="str">
        <f t="shared" si="110"/>
        <v/>
      </c>
      <c r="AI296" s="576" t="str">
        <f t="shared" si="111"/>
        <v/>
      </c>
      <c r="AK296" s="576" t="str">
        <f t="shared" si="112"/>
        <v/>
      </c>
      <c r="AM296" s="576" t="str">
        <f t="shared" si="113"/>
        <v/>
      </c>
      <c r="AO296" s="576" t="str">
        <f t="shared" si="114"/>
        <v/>
      </c>
      <c r="AQ296" s="576" t="str">
        <f t="shared" si="115"/>
        <v/>
      </c>
    </row>
    <row r="297" spans="5:43" x14ac:dyDescent="0.2">
      <c r="E297" s="576" t="str">
        <f t="shared" si="121"/>
        <v/>
      </c>
      <c r="G297" s="576" t="str">
        <f t="shared" si="117"/>
        <v/>
      </c>
      <c r="I297" s="576" t="str">
        <f t="shared" si="118"/>
        <v/>
      </c>
      <c r="K297" s="576" t="str">
        <f t="shared" si="119"/>
        <v/>
      </c>
      <c r="M297" s="576" t="str">
        <f t="shared" si="120"/>
        <v/>
      </c>
      <c r="O297" s="576" t="str">
        <f t="shared" si="122"/>
        <v/>
      </c>
      <c r="Q297" s="576" t="str">
        <f t="shared" si="103"/>
        <v/>
      </c>
      <c r="S297" s="576" t="str">
        <f t="shared" si="104"/>
        <v/>
      </c>
      <c r="U297" s="576" t="str">
        <f t="shared" si="105"/>
        <v/>
      </c>
      <c r="W297" s="576" t="str">
        <f t="shared" si="106"/>
        <v/>
      </c>
      <c r="Y297" s="576" t="str">
        <f t="shared" si="107"/>
        <v/>
      </c>
      <c r="AA297" s="576" t="str">
        <f t="shared" si="116"/>
        <v/>
      </c>
      <c r="AC297" s="576" t="str">
        <f t="shared" si="108"/>
        <v/>
      </c>
      <c r="AE297" s="576" t="str">
        <f t="shared" si="109"/>
        <v/>
      </c>
      <c r="AG297" s="576" t="str">
        <f t="shared" si="110"/>
        <v/>
      </c>
      <c r="AI297" s="576" t="str">
        <f t="shared" si="111"/>
        <v/>
      </c>
      <c r="AK297" s="576" t="str">
        <f t="shared" si="112"/>
        <v/>
      </c>
      <c r="AM297" s="576" t="str">
        <f t="shared" si="113"/>
        <v/>
      </c>
      <c r="AO297" s="576" t="str">
        <f t="shared" si="114"/>
        <v/>
      </c>
      <c r="AQ297" s="576" t="str">
        <f t="shared" si="115"/>
        <v/>
      </c>
    </row>
    <row r="298" spans="5:43" x14ac:dyDescent="0.2">
      <c r="E298" s="576" t="str">
        <f t="shared" si="121"/>
        <v/>
      </c>
      <c r="G298" s="576" t="str">
        <f t="shared" si="117"/>
        <v/>
      </c>
      <c r="I298" s="576" t="str">
        <f t="shared" si="118"/>
        <v/>
      </c>
      <c r="K298" s="576" t="str">
        <f t="shared" si="119"/>
        <v/>
      </c>
      <c r="M298" s="576" t="str">
        <f t="shared" si="120"/>
        <v/>
      </c>
      <c r="O298" s="576" t="str">
        <f t="shared" si="122"/>
        <v/>
      </c>
      <c r="Q298" s="576" t="str">
        <f t="shared" si="103"/>
        <v/>
      </c>
      <c r="S298" s="576" t="str">
        <f t="shared" si="104"/>
        <v/>
      </c>
      <c r="U298" s="576" t="str">
        <f t="shared" si="105"/>
        <v/>
      </c>
      <c r="W298" s="576" t="str">
        <f t="shared" si="106"/>
        <v/>
      </c>
      <c r="Y298" s="576" t="str">
        <f t="shared" si="107"/>
        <v/>
      </c>
      <c r="AA298" s="576" t="str">
        <f t="shared" si="116"/>
        <v/>
      </c>
      <c r="AC298" s="576" t="str">
        <f t="shared" si="108"/>
        <v/>
      </c>
      <c r="AE298" s="576" t="str">
        <f t="shared" si="109"/>
        <v/>
      </c>
      <c r="AG298" s="576" t="str">
        <f t="shared" si="110"/>
        <v/>
      </c>
      <c r="AI298" s="576" t="str">
        <f t="shared" si="111"/>
        <v/>
      </c>
      <c r="AK298" s="576" t="str">
        <f t="shared" si="112"/>
        <v/>
      </c>
      <c r="AM298" s="576" t="str">
        <f t="shared" si="113"/>
        <v/>
      </c>
      <c r="AO298" s="576" t="str">
        <f t="shared" si="114"/>
        <v/>
      </c>
      <c r="AQ298" s="576" t="str">
        <f t="shared" si="115"/>
        <v/>
      </c>
    </row>
    <row r="299" spans="5:43" x14ac:dyDescent="0.2">
      <c r="E299" s="576" t="str">
        <f t="shared" si="121"/>
        <v/>
      </c>
      <c r="G299" s="576" t="str">
        <f t="shared" si="117"/>
        <v/>
      </c>
      <c r="I299" s="576" t="str">
        <f t="shared" si="118"/>
        <v/>
      </c>
      <c r="K299" s="576" t="str">
        <f t="shared" si="119"/>
        <v/>
      </c>
      <c r="M299" s="576" t="str">
        <f t="shared" si="120"/>
        <v/>
      </c>
      <c r="O299" s="576" t="str">
        <f t="shared" si="122"/>
        <v/>
      </c>
      <c r="Q299" s="576" t="str">
        <f t="shared" si="103"/>
        <v/>
      </c>
      <c r="S299" s="576" t="str">
        <f t="shared" si="104"/>
        <v/>
      </c>
      <c r="U299" s="576" t="str">
        <f t="shared" si="105"/>
        <v/>
      </c>
      <c r="W299" s="576" t="str">
        <f t="shared" si="106"/>
        <v/>
      </c>
      <c r="Y299" s="576" t="str">
        <f t="shared" si="107"/>
        <v/>
      </c>
      <c r="AA299" s="576" t="str">
        <f t="shared" si="116"/>
        <v/>
      </c>
      <c r="AC299" s="576" t="str">
        <f t="shared" si="108"/>
        <v/>
      </c>
      <c r="AE299" s="576" t="str">
        <f t="shared" si="109"/>
        <v/>
      </c>
      <c r="AG299" s="576" t="str">
        <f t="shared" si="110"/>
        <v/>
      </c>
      <c r="AI299" s="576" t="str">
        <f t="shared" si="111"/>
        <v/>
      </c>
      <c r="AK299" s="576" t="str">
        <f t="shared" si="112"/>
        <v/>
      </c>
      <c r="AM299" s="576" t="str">
        <f t="shared" si="113"/>
        <v/>
      </c>
      <c r="AO299" s="576" t="str">
        <f t="shared" si="114"/>
        <v/>
      </c>
      <c r="AQ299" s="576" t="str">
        <f t="shared" si="115"/>
        <v/>
      </c>
    </row>
    <row r="300" spans="5:43" x14ac:dyDescent="0.2">
      <c r="E300" s="576" t="str">
        <f t="shared" si="121"/>
        <v/>
      </c>
      <c r="G300" s="576" t="str">
        <f t="shared" si="117"/>
        <v/>
      </c>
      <c r="I300" s="576" t="str">
        <f t="shared" si="118"/>
        <v/>
      </c>
      <c r="K300" s="576" t="str">
        <f t="shared" si="119"/>
        <v/>
      </c>
      <c r="M300" s="576" t="str">
        <f t="shared" si="120"/>
        <v/>
      </c>
      <c r="O300" s="576" t="str">
        <f t="shared" si="122"/>
        <v/>
      </c>
      <c r="Q300" s="576" t="str">
        <f t="shared" si="103"/>
        <v/>
      </c>
      <c r="S300" s="576" t="str">
        <f t="shared" si="104"/>
        <v/>
      </c>
      <c r="U300" s="576" t="str">
        <f t="shared" si="105"/>
        <v/>
      </c>
      <c r="W300" s="576" t="str">
        <f t="shared" si="106"/>
        <v/>
      </c>
      <c r="Y300" s="576" t="str">
        <f t="shared" si="107"/>
        <v/>
      </c>
      <c r="AA300" s="576" t="str">
        <f t="shared" si="116"/>
        <v/>
      </c>
      <c r="AC300" s="576" t="str">
        <f t="shared" si="108"/>
        <v/>
      </c>
      <c r="AE300" s="576" t="str">
        <f t="shared" si="109"/>
        <v/>
      </c>
      <c r="AG300" s="576" t="str">
        <f t="shared" si="110"/>
        <v/>
      </c>
      <c r="AI300" s="576" t="str">
        <f t="shared" si="111"/>
        <v/>
      </c>
      <c r="AK300" s="576" t="str">
        <f t="shared" si="112"/>
        <v/>
      </c>
      <c r="AM300" s="576" t="str">
        <f t="shared" si="113"/>
        <v/>
      </c>
      <c r="AO300" s="576" t="str">
        <f t="shared" si="114"/>
        <v/>
      </c>
      <c r="AQ300" s="576" t="str">
        <f t="shared" si="115"/>
        <v/>
      </c>
    </row>
    <row r="301" spans="5:43" x14ac:dyDescent="0.2">
      <c r="E301" s="576" t="str">
        <f t="shared" si="121"/>
        <v/>
      </c>
      <c r="G301" s="576" t="str">
        <f t="shared" si="117"/>
        <v/>
      </c>
      <c r="I301" s="576" t="str">
        <f t="shared" si="118"/>
        <v/>
      </c>
      <c r="K301" s="576" t="str">
        <f t="shared" si="119"/>
        <v/>
      </c>
      <c r="M301" s="576" t="str">
        <f t="shared" si="120"/>
        <v/>
      </c>
      <c r="O301" s="576" t="str">
        <f t="shared" si="122"/>
        <v/>
      </c>
      <c r="Q301" s="576" t="str">
        <f t="shared" si="103"/>
        <v/>
      </c>
      <c r="S301" s="576" t="str">
        <f t="shared" si="104"/>
        <v/>
      </c>
      <c r="U301" s="576" t="str">
        <f t="shared" si="105"/>
        <v/>
      </c>
      <c r="W301" s="576" t="str">
        <f t="shared" si="106"/>
        <v/>
      </c>
      <c r="Y301" s="576" t="str">
        <f t="shared" si="107"/>
        <v/>
      </c>
      <c r="AA301" s="576" t="str">
        <f t="shared" si="116"/>
        <v/>
      </c>
      <c r="AC301" s="576" t="str">
        <f t="shared" si="108"/>
        <v/>
      </c>
      <c r="AE301" s="576" t="str">
        <f t="shared" si="109"/>
        <v/>
      </c>
      <c r="AG301" s="576" t="str">
        <f t="shared" si="110"/>
        <v/>
      </c>
      <c r="AI301" s="576" t="str">
        <f t="shared" si="111"/>
        <v/>
      </c>
      <c r="AK301" s="576" t="str">
        <f t="shared" si="112"/>
        <v/>
      </c>
      <c r="AM301" s="576" t="str">
        <f t="shared" si="113"/>
        <v/>
      </c>
      <c r="AO301" s="576" t="str">
        <f t="shared" si="114"/>
        <v/>
      </c>
      <c r="AQ301" s="576" t="str">
        <f t="shared" si="115"/>
        <v/>
      </c>
    </row>
  </sheetData>
  <mergeCells count="1">
    <mergeCell ref="A3:A6"/>
  </mergeCells>
  <conditionalFormatting sqref="E12:E29">
    <cfRule type="expression" dxfId="3" priority="2">
      <formula>AND(LEN(E12)&gt;0,OR(E12&lt;E$2,E12&gt;E$3))</formula>
    </cfRule>
  </conditionalFormatting>
  <conditionalFormatting sqref="E35:E301">
    <cfRule type="expression" dxfId="2" priority="4">
      <formula>AND(LEN(E35)&gt;0,OR(E35&lt;E$2,E35&gt;E$3))</formula>
    </cfRule>
  </conditionalFormatting>
  <conditionalFormatting sqref="G12:G301 I12:I301 K12:K301 M12:M301">
    <cfRule type="expression" dxfId="1" priority="1">
      <formula>AND(LEN(G12)&gt;0,OR(G12&lt;G$2,G12&gt;G$3))</formula>
    </cfRule>
  </conditionalFormatting>
  <conditionalFormatting sqref="O12:O301 Q12:Q301 S12:S301 U12:U301 W12:W301 Y12:Y301 AA12:AA301 AC12:AC301 AE12:AE301 AG12:AG301 AI12:AI301 AK12:AK301 AM12:AM301 AO12:AO301 AQ12:AQ301">
    <cfRule type="expression" dxfId="0" priority="3">
      <formula>AND(LEN(O12)&gt;0,OR(O12&lt;O$2,O12&gt;O$3))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79447-5A0A-4C30-9F1D-CBD8B0FD4F88}">
  <sheetPr>
    <pageSetUpPr fitToPage="1"/>
  </sheetPr>
  <dimension ref="B1:H59"/>
  <sheetViews>
    <sheetView showGridLines="0" zoomScale="50" zoomScaleNormal="50" workbookViewId="0">
      <selection activeCell="V51" sqref="V51"/>
    </sheetView>
  </sheetViews>
  <sheetFormatPr defaultRowHeight="26.25" x14ac:dyDescent="0.4"/>
  <cols>
    <col min="1" max="1" width="4.875" style="766" customWidth="1"/>
    <col min="2" max="2" width="68.875" style="766" customWidth="1"/>
    <col min="3" max="3" width="22.625" style="766" customWidth="1"/>
    <col min="4" max="4" width="62.625" style="766" customWidth="1"/>
    <col min="5" max="5" width="60.5" style="768" customWidth="1"/>
    <col min="6" max="6" width="40.375" style="768" customWidth="1"/>
    <col min="7" max="7" width="25.5" style="766" hidden="1" customWidth="1"/>
    <col min="8" max="8" width="11.625" style="766" hidden="1" customWidth="1"/>
    <col min="9" max="9" width="0" style="766" hidden="1" customWidth="1"/>
    <col min="10" max="230" width="9" style="766"/>
    <col min="231" max="231" width="4.875" style="766" customWidth="1"/>
    <col min="232" max="232" width="50.75" style="766" customWidth="1"/>
    <col min="233" max="233" width="21.125" style="766" customWidth="1"/>
    <col min="234" max="235" width="0" style="766" hidden="1" customWidth="1"/>
    <col min="236" max="236" width="53.75" style="766" customWidth="1"/>
    <col min="237" max="237" width="54.375" style="766" customWidth="1"/>
    <col min="238" max="241" width="0" style="766" hidden="1" customWidth="1"/>
    <col min="242" max="486" width="9" style="766"/>
    <col min="487" max="487" width="4.875" style="766" customWidth="1"/>
    <col min="488" max="488" width="50.75" style="766" customWidth="1"/>
    <col min="489" max="489" width="21.125" style="766" customWidth="1"/>
    <col min="490" max="491" width="0" style="766" hidden="1" customWidth="1"/>
    <col min="492" max="492" width="53.75" style="766" customWidth="1"/>
    <col min="493" max="493" width="54.375" style="766" customWidth="1"/>
    <col min="494" max="497" width="0" style="766" hidden="1" customWidth="1"/>
    <col min="498" max="742" width="9" style="766"/>
    <col min="743" max="743" width="4.875" style="766" customWidth="1"/>
    <col min="744" max="744" width="50.75" style="766" customWidth="1"/>
    <col min="745" max="745" width="21.125" style="766" customWidth="1"/>
    <col min="746" max="747" width="0" style="766" hidden="1" customWidth="1"/>
    <col min="748" max="748" width="53.75" style="766" customWidth="1"/>
    <col min="749" max="749" width="54.375" style="766" customWidth="1"/>
    <col min="750" max="753" width="0" style="766" hidden="1" customWidth="1"/>
    <col min="754" max="998" width="9" style="766"/>
    <col min="999" max="999" width="4.875" style="766" customWidth="1"/>
    <col min="1000" max="1000" width="50.75" style="766" customWidth="1"/>
    <col min="1001" max="1001" width="21.125" style="766" customWidth="1"/>
    <col min="1002" max="1003" width="0" style="766" hidden="1" customWidth="1"/>
    <col min="1004" max="1004" width="53.75" style="766" customWidth="1"/>
    <col min="1005" max="1005" width="54.375" style="766" customWidth="1"/>
    <col min="1006" max="1009" width="0" style="766" hidden="1" customWidth="1"/>
    <col min="1010" max="1254" width="9" style="766"/>
    <col min="1255" max="1255" width="4.875" style="766" customWidth="1"/>
    <col min="1256" max="1256" width="50.75" style="766" customWidth="1"/>
    <col min="1257" max="1257" width="21.125" style="766" customWidth="1"/>
    <col min="1258" max="1259" width="0" style="766" hidden="1" customWidth="1"/>
    <col min="1260" max="1260" width="53.75" style="766" customWidth="1"/>
    <col min="1261" max="1261" width="54.375" style="766" customWidth="1"/>
    <col min="1262" max="1265" width="0" style="766" hidden="1" customWidth="1"/>
    <col min="1266" max="1510" width="9" style="766"/>
    <col min="1511" max="1511" width="4.875" style="766" customWidth="1"/>
    <col min="1512" max="1512" width="50.75" style="766" customWidth="1"/>
    <col min="1513" max="1513" width="21.125" style="766" customWidth="1"/>
    <col min="1514" max="1515" width="0" style="766" hidden="1" customWidth="1"/>
    <col min="1516" max="1516" width="53.75" style="766" customWidth="1"/>
    <col min="1517" max="1517" width="54.375" style="766" customWidth="1"/>
    <col min="1518" max="1521" width="0" style="766" hidden="1" customWidth="1"/>
    <col min="1522" max="1766" width="9" style="766"/>
    <col min="1767" max="1767" width="4.875" style="766" customWidth="1"/>
    <col min="1768" max="1768" width="50.75" style="766" customWidth="1"/>
    <col min="1769" max="1769" width="21.125" style="766" customWidth="1"/>
    <col min="1770" max="1771" width="0" style="766" hidden="1" customWidth="1"/>
    <col min="1772" max="1772" width="53.75" style="766" customWidth="1"/>
    <col min="1773" max="1773" width="54.375" style="766" customWidth="1"/>
    <col min="1774" max="1777" width="0" style="766" hidden="1" customWidth="1"/>
    <col min="1778" max="2022" width="9" style="766"/>
    <col min="2023" max="2023" width="4.875" style="766" customWidth="1"/>
    <col min="2024" max="2024" width="50.75" style="766" customWidth="1"/>
    <col min="2025" max="2025" width="21.125" style="766" customWidth="1"/>
    <col min="2026" max="2027" width="0" style="766" hidden="1" customWidth="1"/>
    <col min="2028" max="2028" width="53.75" style="766" customWidth="1"/>
    <col min="2029" max="2029" width="54.375" style="766" customWidth="1"/>
    <col min="2030" max="2033" width="0" style="766" hidden="1" customWidth="1"/>
    <col min="2034" max="2278" width="9" style="766"/>
    <col min="2279" max="2279" width="4.875" style="766" customWidth="1"/>
    <col min="2280" max="2280" width="50.75" style="766" customWidth="1"/>
    <col min="2281" max="2281" width="21.125" style="766" customWidth="1"/>
    <col min="2282" max="2283" width="0" style="766" hidden="1" customWidth="1"/>
    <col min="2284" max="2284" width="53.75" style="766" customWidth="1"/>
    <col min="2285" max="2285" width="54.375" style="766" customWidth="1"/>
    <col min="2286" max="2289" width="0" style="766" hidden="1" customWidth="1"/>
    <col min="2290" max="2534" width="9" style="766"/>
    <col min="2535" max="2535" width="4.875" style="766" customWidth="1"/>
    <col min="2536" max="2536" width="50.75" style="766" customWidth="1"/>
    <col min="2537" max="2537" width="21.125" style="766" customWidth="1"/>
    <col min="2538" max="2539" width="0" style="766" hidden="1" customWidth="1"/>
    <col min="2540" max="2540" width="53.75" style="766" customWidth="1"/>
    <col min="2541" max="2541" width="54.375" style="766" customWidth="1"/>
    <col min="2542" max="2545" width="0" style="766" hidden="1" customWidth="1"/>
    <col min="2546" max="2790" width="9" style="766"/>
    <col min="2791" max="2791" width="4.875" style="766" customWidth="1"/>
    <col min="2792" max="2792" width="50.75" style="766" customWidth="1"/>
    <col min="2793" max="2793" width="21.125" style="766" customWidth="1"/>
    <col min="2794" max="2795" width="0" style="766" hidden="1" customWidth="1"/>
    <col min="2796" max="2796" width="53.75" style="766" customWidth="1"/>
    <col min="2797" max="2797" width="54.375" style="766" customWidth="1"/>
    <col min="2798" max="2801" width="0" style="766" hidden="1" customWidth="1"/>
    <col min="2802" max="3046" width="9" style="766"/>
    <col min="3047" max="3047" width="4.875" style="766" customWidth="1"/>
    <col min="3048" max="3048" width="50.75" style="766" customWidth="1"/>
    <col min="3049" max="3049" width="21.125" style="766" customWidth="1"/>
    <col min="3050" max="3051" width="0" style="766" hidden="1" customWidth="1"/>
    <col min="3052" max="3052" width="53.75" style="766" customWidth="1"/>
    <col min="3053" max="3053" width="54.375" style="766" customWidth="1"/>
    <col min="3054" max="3057" width="0" style="766" hidden="1" customWidth="1"/>
    <col min="3058" max="3302" width="9" style="766"/>
    <col min="3303" max="3303" width="4.875" style="766" customWidth="1"/>
    <col min="3304" max="3304" width="50.75" style="766" customWidth="1"/>
    <col min="3305" max="3305" width="21.125" style="766" customWidth="1"/>
    <col min="3306" max="3307" width="0" style="766" hidden="1" customWidth="1"/>
    <col min="3308" max="3308" width="53.75" style="766" customWidth="1"/>
    <col min="3309" max="3309" width="54.375" style="766" customWidth="1"/>
    <col min="3310" max="3313" width="0" style="766" hidden="1" customWidth="1"/>
    <col min="3314" max="3558" width="9" style="766"/>
    <col min="3559" max="3559" width="4.875" style="766" customWidth="1"/>
    <col min="3560" max="3560" width="50.75" style="766" customWidth="1"/>
    <col min="3561" max="3561" width="21.125" style="766" customWidth="1"/>
    <col min="3562" max="3563" width="0" style="766" hidden="1" customWidth="1"/>
    <col min="3564" max="3564" width="53.75" style="766" customWidth="1"/>
    <col min="3565" max="3565" width="54.375" style="766" customWidth="1"/>
    <col min="3566" max="3569" width="0" style="766" hidden="1" customWidth="1"/>
    <col min="3570" max="3814" width="9" style="766"/>
    <col min="3815" max="3815" width="4.875" style="766" customWidth="1"/>
    <col min="3816" max="3816" width="50.75" style="766" customWidth="1"/>
    <col min="3817" max="3817" width="21.125" style="766" customWidth="1"/>
    <col min="3818" max="3819" width="0" style="766" hidden="1" customWidth="1"/>
    <col min="3820" max="3820" width="53.75" style="766" customWidth="1"/>
    <col min="3821" max="3821" width="54.375" style="766" customWidth="1"/>
    <col min="3822" max="3825" width="0" style="766" hidden="1" customWidth="1"/>
    <col min="3826" max="4070" width="9" style="766"/>
    <col min="4071" max="4071" width="4.875" style="766" customWidth="1"/>
    <col min="4072" max="4072" width="50.75" style="766" customWidth="1"/>
    <col min="4073" max="4073" width="21.125" style="766" customWidth="1"/>
    <col min="4074" max="4075" width="0" style="766" hidden="1" customWidth="1"/>
    <col min="4076" max="4076" width="53.75" style="766" customWidth="1"/>
    <col min="4077" max="4077" width="54.375" style="766" customWidth="1"/>
    <col min="4078" max="4081" width="0" style="766" hidden="1" customWidth="1"/>
    <col min="4082" max="4326" width="9" style="766"/>
    <col min="4327" max="4327" width="4.875" style="766" customWidth="1"/>
    <col min="4328" max="4328" width="50.75" style="766" customWidth="1"/>
    <col min="4329" max="4329" width="21.125" style="766" customWidth="1"/>
    <col min="4330" max="4331" width="0" style="766" hidden="1" customWidth="1"/>
    <col min="4332" max="4332" width="53.75" style="766" customWidth="1"/>
    <col min="4333" max="4333" width="54.375" style="766" customWidth="1"/>
    <col min="4334" max="4337" width="0" style="766" hidden="1" customWidth="1"/>
    <col min="4338" max="4582" width="9" style="766"/>
    <col min="4583" max="4583" width="4.875" style="766" customWidth="1"/>
    <col min="4584" max="4584" width="50.75" style="766" customWidth="1"/>
    <col min="4585" max="4585" width="21.125" style="766" customWidth="1"/>
    <col min="4586" max="4587" width="0" style="766" hidden="1" customWidth="1"/>
    <col min="4588" max="4588" width="53.75" style="766" customWidth="1"/>
    <col min="4589" max="4589" width="54.375" style="766" customWidth="1"/>
    <col min="4590" max="4593" width="0" style="766" hidden="1" customWidth="1"/>
    <col min="4594" max="4838" width="9" style="766"/>
    <col min="4839" max="4839" width="4.875" style="766" customWidth="1"/>
    <col min="4840" max="4840" width="50.75" style="766" customWidth="1"/>
    <col min="4841" max="4841" width="21.125" style="766" customWidth="1"/>
    <col min="4842" max="4843" width="0" style="766" hidden="1" customWidth="1"/>
    <col min="4844" max="4844" width="53.75" style="766" customWidth="1"/>
    <col min="4845" max="4845" width="54.375" style="766" customWidth="1"/>
    <col min="4846" max="4849" width="0" style="766" hidden="1" customWidth="1"/>
    <col min="4850" max="5094" width="9" style="766"/>
    <col min="5095" max="5095" width="4.875" style="766" customWidth="1"/>
    <col min="5096" max="5096" width="50.75" style="766" customWidth="1"/>
    <col min="5097" max="5097" width="21.125" style="766" customWidth="1"/>
    <col min="5098" max="5099" width="0" style="766" hidden="1" customWidth="1"/>
    <col min="5100" max="5100" width="53.75" style="766" customWidth="1"/>
    <col min="5101" max="5101" width="54.375" style="766" customWidth="1"/>
    <col min="5102" max="5105" width="0" style="766" hidden="1" customWidth="1"/>
    <col min="5106" max="5350" width="9" style="766"/>
    <col min="5351" max="5351" width="4.875" style="766" customWidth="1"/>
    <col min="5352" max="5352" width="50.75" style="766" customWidth="1"/>
    <col min="5353" max="5353" width="21.125" style="766" customWidth="1"/>
    <col min="5354" max="5355" width="0" style="766" hidden="1" customWidth="1"/>
    <col min="5356" max="5356" width="53.75" style="766" customWidth="1"/>
    <col min="5357" max="5357" width="54.375" style="766" customWidth="1"/>
    <col min="5358" max="5361" width="0" style="766" hidden="1" customWidth="1"/>
    <col min="5362" max="5606" width="9" style="766"/>
    <col min="5607" max="5607" width="4.875" style="766" customWidth="1"/>
    <col min="5608" max="5608" width="50.75" style="766" customWidth="1"/>
    <col min="5609" max="5609" width="21.125" style="766" customWidth="1"/>
    <col min="5610" max="5611" width="0" style="766" hidden="1" customWidth="1"/>
    <col min="5612" max="5612" width="53.75" style="766" customWidth="1"/>
    <col min="5613" max="5613" width="54.375" style="766" customWidth="1"/>
    <col min="5614" max="5617" width="0" style="766" hidden="1" customWidth="1"/>
    <col min="5618" max="5862" width="9" style="766"/>
    <col min="5863" max="5863" width="4.875" style="766" customWidth="1"/>
    <col min="5864" max="5864" width="50.75" style="766" customWidth="1"/>
    <col min="5865" max="5865" width="21.125" style="766" customWidth="1"/>
    <col min="5866" max="5867" width="0" style="766" hidden="1" customWidth="1"/>
    <col min="5868" max="5868" width="53.75" style="766" customWidth="1"/>
    <col min="5869" max="5869" width="54.375" style="766" customWidth="1"/>
    <col min="5870" max="5873" width="0" style="766" hidden="1" customWidth="1"/>
    <col min="5874" max="6118" width="9" style="766"/>
    <col min="6119" max="6119" width="4.875" style="766" customWidth="1"/>
    <col min="6120" max="6120" width="50.75" style="766" customWidth="1"/>
    <col min="6121" max="6121" width="21.125" style="766" customWidth="1"/>
    <col min="6122" max="6123" width="0" style="766" hidden="1" customWidth="1"/>
    <col min="6124" max="6124" width="53.75" style="766" customWidth="1"/>
    <col min="6125" max="6125" width="54.375" style="766" customWidth="1"/>
    <col min="6126" max="6129" width="0" style="766" hidden="1" customWidth="1"/>
    <col min="6130" max="6374" width="9" style="766"/>
    <col min="6375" max="6375" width="4.875" style="766" customWidth="1"/>
    <col min="6376" max="6376" width="50.75" style="766" customWidth="1"/>
    <col min="6377" max="6377" width="21.125" style="766" customWidth="1"/>
    <col min="6378" max="6379" width="0" style="766" hidden="1" customWidth="1"/>
    <col min="6380" max="6380" width="53.75" style="766" customWidth="1"/>
    <col min="6381" max="6381" width="54.375" style="766" customWidth="1"/>
    <col min="6382" max="6385" width="0" style="766" hidden="1" customWidth="1"/>
    <col min="6386" max="6630" width="9" style="766"/>
    <col min="6631" max="6631" width="4.875" style="766" customWidth="1"/>
    <col min="6632" max="6632" width="50.75" style="766" customWidth="1"/>
    <col min="6633" max="6633" width="21.125" style="766" customWidth="1"/>
    <col min="6634" max="6635" width="0" style="766" hidden="1" customWidth="1"/>
    <col min="6636" max="6636" width="53.75" style="766" customWidth="1"/>
    <col min="6637" max="6637" width="54.375" style="766" customWidth="1"/>
    <col min="6638" max="6641" width="0" style="766" hidden="1" customWidth="1"/>
    <col min="6642" max="6886" width="9" style="766"/>
    <col min="6887" max="6887" width="4.875" style="766" customWidth="1"/>
    <col min="6888" max="6888" width="50.75" style="766" customWidth="1"/>
    <col min="6889" max="6889" width="21.125" style="766" customWidth="1"/>
    <col min="6890" max="6891" width="0" style="766" hidden="1" customWidth="1"/>
    <col min="6892" max="6892" width="53.75" style="766" customWidth="1"/>
    <col min="6893" max="6893" width="54.375" style="766" customWidth="1"/>
    <col min="6894" max="6897" width="0" style="766" hidden="1" customWidth="1"/>
    <col min="6898" max="7142" width="9" style="766"/>
    <col min="7143" max="7143" width="4.875" style="766" customWidth="1"/>
    <col min="7144" max="7144" width="50.75" style="766" customWidth="1"/>
    <col min="7145" max="7145" width="21.125" style="766" customWidth="1"/>
    <col min="7146" max="7147" width="0" style="766" hidden="1" customWidth="1"/>
    <col min="7148" max="7148" width="53.75" style="766" customWidth="1"/>
    <col min="7149" max="7149" width="54.375" style="766" customWidth="1"/>
    <col min="7150" max="7153" width="0" style="766" hidden="1" customWidth="1"/>
    <col min="7154" max="7398" width="9" style="766"/>
    <col min="7399" max="7399" width="4.875" style="766" customWidth="1"/>
    <col min="7400" max="7400" width="50.75" style="766" customWidth="1"/>
    <col min="7401" max="7401" width="21.125" style="766" customWidth="1"/>
    <col min="7402" max="7403" width="0" style="766" hidden="1" customWidth="1"/>
    <col min="7404" max="7404" width="53.75" style="766" customWidth="1"/>
    <col min="7405" max="7405" width="54.375" style="766" customWidth="1"/>
    <col min="7406" max="7409" width="0" style="766" hidden="1" customWidth="1"/>
    <col min="7410" max="7654" width="9" style="766"/>
    <col min="7655" max="7655" width="4.875" style="766" customWidth="1"/>
    <col min="7656" max="7656" width="50.75" style="766" customWidth="1"/>
    <col min="7657" max="7657" width="21.125" style="766" customWidth="1"/>
    <col min="7658" max="7659" width="0" style="766" hidden="1" customWidth="1"/>
    <col min="7660" max="7660" width="53.75" style="766" customWidth="1"/>
    <col min="7661" max="7661" width="54.375" style="766" customWidth="1"/>
    <col min="7662" max="7665" width="0" style="766" hidden="1" customWidth="1"/>
    <col min="7666" max="7910" width="9" style="766"/>
    <col min="7911" max="7911" width="4.875" style="766" customWidth="1"/>
    <col min="7912" max="7912" width="50.75" style="766" customWidth="1"/>
    <col min="7913" max="7913" width="21.125" style="766" customWidth="1"/>
    <col min="7914" max="7915" width="0" style="766" hidden="1" customWidth="1"/>
    <col min="7916" max="7916" width="53.75" style="766" customWidth="1"/>
    <col min="7917" max="7917" width="54.375" style="766" customWidth="1"/>
    <col min="7918" max="7921" width="0" style="766" hidden="1" customWidth="1"/>
    <col min="7922" max="8166" width="9" style="766"/>
    <col min="8167" max="8167" width="4.875" style="766" customWidth="1"/>
    <col min="8168" max="8168" width="50.75" style="766" customWidth="1"/>
    <col min="8169" max="8169" width="21.125" style="766" customWidth="1"/>
    <col min="8170" max="8171" width="0" style="766" hidden="1" customWidth="1"/>
    <col min="8172" max="8172" width="53.75" style="766" customWidth="1"/>
    <col min="8173" max="8173" width="54.375" style="766" customWidth="1"/>
    <col min="8174" max="8177" width="0" style="766" hidden="1" customWidth="1"/>
    <col min="8178" max="8422" width="9" style="766"/>
    <col min="8423" max="8423" width="4.875" style="766" customWidth="1"/>
    <col min="8424" max="8424" width="50.75" style="766" customWidth="1"/>
    <col min="8425" max="8425" width="21.125" style="766" customWidth="1"/>
    <col min="8426" max="8427" width="0" style="766" hidden="1" customWidth="1"/>
    <col min="8428" max="8428" width="53.75" style="766" customWidth="1"/>
    <col min="8429" max="8429" width="54.375" style="766" customWidth="1"/>
    <col min="8430" max="8433" width="0" style="766" hidden="1" customWidth="1"/>
    <col min="8434" max="8678" width="9" style="766"/>
    <col min="8679" max="8679" width="4.875" style="766" customWidth="1"/>
    <col min="8680" max="8680" width="50.75" style="766" customWidth="1"/>
    <col min="8681" max="8681" width="21.125" style="766" customWidth="1"/>
    <col min="8682" max="8683" width="0" style="766" hidden="1" customWidth="1"/>
    <col min="8684" max="8684" width="53.75" style="766" customWidth="1"/>
    <col min="8685" max="8685" width="54.375" style="766" customWidth="1"/>
    <col min="8686" max="8689" width="0" style="766" hidden="1" customWidth="1"/>
    <col min="8690" max="8934" width="9" style="766"/>
    <col min="8935" max="8935" width="4.875" style="766" customWidth="1"/>
    <col min="8936" max="8936" width="50.75" style="766" customWidth="1"/>
    <col min="8937" max="8937" width="21.125" style="766" customWidth="1"/>
    <col min="8938" max="8939" width="0" style="766" hidden="1" customWidth="1"/>
    <col min="8940" max="8940" width="53.75" style="766" customWidth="1"/>
    <col min="8941" max="8941" width="54.375" style="766" customWidth="1"/>
    <col min="8942" max="8945" width="0" style="766" hidden="1" customWidth="1"/>
    <col min="8946" max="9190" width="9" style="766"/>
    <col min="9191" max="9191" width="4.875" style="766" customWidth="1"/>
    <col min="9192" max="9192" width="50.75" style="766" customWidth="1"/>
    <col min="9193" max="9193" width="21.125" style="766" customWidth="1"/>
    <col min="9194" max="9195" width="0" style="766" hidden="1" customWidth="1"/>
    <col min="9196" max="9196" width="53.75" style="766" customWidth="1"/>
    <col min="9197" max="9197" width="54.375" style="766" customWidth="1"/>
    <col min="9198" max="9201" width="0" style="766" hidden="1" customWidth="1"/>
    <col min="9202" max="9446" width="9" style="766"/>
    <col min="9447" max="9447" width="4.875" style="766" customWidth="1"/>
    <col min="9448" max="9448" width="50.75" style="766" customWidth="1"/>
    <col min="9449" max="9449" width="21.125" style="766" customWidth="1"/>
    <col min="9450" max="9451" width="0" style="766" hidden="1" customWidth="1"/>
    <col min="9452" max="9452" width="53.75" style="766" customWidth="1"/>
    <col min="9453" max="9453" width="54.375" style="766" customWidth="1"/>
    <col min="9454" max="9457" width="0" style="766" hidden="1" customWidth="1"/>
    <col min="9458" max="9702" width="9" style="766"/>
    <col min="9703" max="9703" width="4.875" style="766" customWidth="1"/>
    <col min="9704" max="9704" width="50.75" style="766" customWidth="1"/>
    <col min="9705" max="9705" width="21.125" style="766" customWidth="1"/>
    <col min="9706" max="9707" width="0" style="766" hidden="1" customWidth="1"/>
    <col min="9708" max="9708" width="53.75" style="766" customWidth="1"/>
    <col min="9709" max="9709" width="54.375" style="766" customWidth="1"/>
    <col min="9710" max="9713" width="0" style="766" hidden="1" customWidth="1"/>
    <col min="9714" max="9958" width="9" style="766"/>
    <col min="9959" max="9959" width="4.875" style="766" customWidth="1"/>
    <col min="9960" max="9960" width="50.75" style="766" customWidth="1"/>
    <col min="9961" max="9961" width="21.125" style="766" customWidth="1"/>
    <col min="9962" max="9963" width="0" style="766" hidden="1" customWidth="1"/>
    <col min="9964" max="9964" width="53.75" style="766" customWidth="1"/>
    <col min="9965" max="9965" width="54.375" style="766" customWidth="1"/>
    <col min="9966" max="9969" width="0" style="766" hidden="1" customWidth="1"/>
    <col min="9970" max="10214" width="9" style="766"/>
    <col min="10215" max="10215" width="4.875" style="766" customWidth="1"/>
    <col min="10216" max="10216" width="50.75" style="766" customWidth="1"/>
    <col min="10217" max="10217" width="21.125" style="766" customWidth="1"/>
    <col min="10218" max="10219" width="0" style="766" hidden="1" customWidth="1"/>
    <col min="10220" max="10220" width="53.75" style="766" customWidth="1"/>
    <col min="10221" max="10221" width="54.375" style="766" customWidth="1"/>
    <col min="10222" max="10225" width="0" style="766" hidden="1" customWidth="1"/>
    <col min="10226" max="10470" width="9" style="766"/>
    <col min="10471" max="10471" width="4.875" style="766" customWidth="1"/>
    <col min="10472" max="10472" width="50.75" style="766" customWidth="1"/>
    <col min="10473" max="10473" width="21.125" style="766" customWidth="1"/>
    <col min="10474" max="10475" width="0" style="766" hidden="1" customWidth="1"/>
    <col min="10476" max="10476" width="53.75" style="766" customWidth="1"/>
    <col min="10477" max="10477" width="54.375" style="766" customWidth="1"/>
    <col min="10478" max="10481" width="0" style="766" hidden="1" customWidth="1"/>
    <col min="10482" max="10726" width="9" style="766"/>
    <col min="10727" max="10727" width="4.875" style="766" customWidth="1"/>
    <col min="10728" max="10728" width="50.75" style="766" customWidth="1"/>
    <col min="10729" max="10729" width="21.125" style="766" customWidth="1"/>
    <col min="10730" max="10731" width="0" style="766" hidden="1" customWidth="1"/>
    <col min="10732" max="10732" width="53.75" style="766" customWidth="1"/>
    <col min="10733" max="10733" width="54.375" style="766" customWidth="1"/>
    <col min="10734" max="10737" width="0" style="766" hidden="1" customWidth="1"/>
    <col min="10738" max="10982" width="9" style="766"/>
    <col min="10983" max="10983" width="4.875" style="766" customWidth="1"/>
    <col min="10984" max="10984" width="50.75" style="766" customWidth="1"/>
    <col min="10985" max="10985" width="21.125" style="766" customWidth="1"/>
    <col min="10986" max="10987" width="0" style="766" hidden="1" customWidth="1"/>
    <col min="10988" max="10988" width="53.75" style="766" customWidth="1"/>
    <col min="10989" max="10989" width="54.375" style="766" customWidth="1"/>
    <col min="10990" max="10993" width="0" style="766" hidden="1" customWidth="1"/>
    <col min="10994" max="11238" width="9" style="766"/>
    <col min="11239" max="11239" width="4.875" style="766" customWidth="1"/>
    <col min="11240" max="11240" width="50.75" style="766" customWidth="1"/>
    <col min="11241" max="11241" width="21.125" style="766" customWidth="1"/>
    <col min="11242" max="11243" width="0" style="766" hidden="1" customWidth="1"/>
    <col min="11244" max="11244" width="53.75" style="766" customWidth="1"/>
    <col min="11245" max="11245" width="54.375" style="766" customWidth="1"/>
    <col min="11246" max="11249" width="0" style="766" hidden="1" customWidth="1"/>
    <col min="11250" max="11494" width="9" style="766"/>
    <col min="11495" max="11495" width="4.875" style="766" customWidth="1"/>
    <col min="11496" max="11496" width="50.75" style="766" customWidth="1"/>
    <col min="11497" max="11497" width="21.125" style="766" customWidth="1"/>
    <col min="11498" max="11499" width="0" style="766" hidden="1" customWidth="1"/>
    <col min="11500" max="11500" width="53.75" style="766" customWidth="1"/>
    <col min="11501" max="11501" width="54.375" style="766" customWidth="1"/>
    <col min="11502" max="11505" width="0" style="766" hidden="1" customWidth="1"/>
    <col min="11506" max="11750" width="9" style="766"/>
    <col min="11751" max="11751" width="4.875" style="766" customWidth="1"/>
    <col min="11752" max="11752" width="50.75" style="766" customWidth="1"/>
    <col min="11753" max="11753" width="21.125" style="766" customWidth="1"/>
    <col min="11754" max="11755" width="0" style="766" hidden="1" customWidth="1"/>
    <col min="11756" max="11756" width="53.75" style="766" customWidth="1"/>
    <col min="11757" max="11757" width="54.375" style="766" customWidth="1"/>
    <col min="11758" max="11761" width="0" style="766" hidden="1" customWidth="1"/>
    <col min="11762" max="12006" width="9" style="766"/>
    <col min="12007" max="12007" width="4.875" style="766" customWidth="1"/>
    <col min="12008" max="12008" width="50.75" style="766" customWidth="1"/>
    <col min="12009" max="12009" width="21.125" style="766" customWidth="1"/>
    <col min="12010" max="12011" width="0" style="766" hidden="1" customWidth="1"/>
    <col min="12012" max="12012" width="53.75" style="766" customWidth="1"/>
    <col min="12013" max="12013" width="54.375" style="766" customWidth="1"/>
    <col min="12014" max="12017" width="0" style="766" hidden="1" customWidth="1"/>
    <col min="12018" max="12262" width="9" style="766"/>
    <col min="12263" max="12263" width="4.875" style="766" customWidth="1"/>
    <col min="12264" max="12264" width="50.75" style="766" customWidth="1"/>
    <col min="12265" max="12265" width="21.125" style="766" customWidth="1"/>
    <col min="12266" max="12267" width="0" style="766" hidden="1" customWidth="1"/>
    <col min="12268" max="12268" width="53.75" style="766" customWidth="1"/>
    <col min="12269" max="12269" width="54.375" style="766" customWidth="1"/>
    <col min="12270" max="12273" width="0" style="766" hidden="1" customWidth="1"/>
    <col min="12274" max="12518" width="9" style="766"/>
    <col min="12519" max="12519" width="4.875" style="766" customWidth="1"/>
    <col min="12520" max="12520" width="50.75" style="766" customWidth="1"/>
    <col min="12521" max="12521" width="21.125" style="766" customWidth="1"/>
    <col min="12522" max="12523" width="0" style="766" hidden="1" customWidth="1"/>
    <col min="12524" max="12524" width="53.75" style="766" customWidth="1"/>
    <col min="12525" max="12525" width="54.375" style="766" customWidth="1"/>
    <col min="12526" max="12529" width="0" style="766" hidden="1" customWidth="1"/>
    <col min="12530" max="12774" width="9" style="766"/>
    <col min="12775" max="12775" width="4.875" style="766" customWidth="1"/>
    <col min="12776" max="12776" width="50.75" style="766" customWidth="1"/>
    <col min="12777" max="12777" width="21.125" style="766" customWidth="1"/>
    <col min="12778" max="12779" width="0" style="766" hidden="1" customWidth="1"/>
    <col min="12780" max="12780" width="53.75" style="766" customWidth="1"/>
    <col min="12781" max="12781" width="54.375" style="766" customWidth="1"/>
    <col min="12782" max="12785" width="0" style="766" hidden="1" customWidth="1"/>
    <col min="12786" max="13030" width="9" style="766"/>
    <col min="13031" max="13031" width="4.875" style="766" customWidth="1"/>
    <col min="13032" max="13032" width="50.75" style="766" customWidth="1"/>
    <col min="13033" max="13033" width="21.125" style="766" customWidth="1"/>
    <col min="13034" max="13035" width="0" style="766" hidden="1" customWidth="1"/>
    <col min="13036" max="13036" width="53.75" style="766" customWidth="1"/>
    <col min="13037" max="13037" width="54.375" style="766" customWidth="1"/>
    <col min="13038" max="13041" width="0" style="766" hidden="1" customWidth="1"/>
    <col min="13042" max="13286" width="9" style="766"/>
    <col min="13287" max="13287" width="4.875" style="766" customWidth="1"/>
    <col min="13288" max="13288" width="50.75" style="766" customWidth="1"/>
    <col min="13289" max="13289" width="21.125" style="766" customWidth="1"/>
    <col min="13290" max="13291" width="0" style="766" hidden="1" customWidth="1"/>
    <col min="13292" max="13292" width="53.75" style="766" customWidth="1"/>
    <col min="13293" max="13293" width="54.375" style="766" customWidth="1"/>
    <col min="13294" max="13297" width="0" style="766" hidden="1" customWidth="1"/>
    <col min="13298" max="13542" width="9" style="766"/>
    <col min="13543" max="13543" width="4.875" style="766" customWidth="1"/>
    <col min="13544" max="13544" width="50.75" style="766" customWidth="1"/>
    <col min="13545" max="13545" width="21.125" style="766" customWidth="1"/>
    <col min="13546" max="13547" width="0" style="766" hidden="1" customWidth="1"/>
    <col min="13548" max="13548" width="53.75" style="766" customWidth="1"/>
    <col min="13549" max="13549" width="54.375" style="766" customWidth="1"/>
    <col min="13550" max="13553" width="0" style="766" hidden="1" customWidth="1"/>
    <col min="13554" max="13798" width="9" style="766"/>
    <col min="13799" max="13799" width="4.875" style="766" customWidth="1"/>
    <col min="13800" max="13800" width="50.75" style="766" customWidth="1"/>
    <col min="13801" max="13801" width="21.125" style="766" customWidth="1"/>
    <col min="13802" max="13803" width="0" style="766" hidden="1" customWidth="1"/>
    <col min="13804" max="13804" width="53.75" style="766" customWidth="1"/>
    <col min="13805" max="13805" width="54.375" style="766" customWidth="1"/>
    <col min="13806" max="13809" width="0" style="766" hidden="1" customWidth="1"/>
    <col min="13810" max="14054" width="9" style="766"/>
    <col min="14055" max="14055" width="4.875" style="766" customWidth="1"/>
    <col min="14056" max="14056" width="50.75" style="766" customWidth="1"/>
    <col min="14057" max="14057" width="21.125" style="766" customWidth="1"/>
    <col min="14058" max="14059" width="0" style="766" hidden="1" customWidth="1"/>
    <col min="14060" max="14060" width="53.75" style="766" customWidth="1"/>
    <col min="14061" max="14061" width="54.375" style="766" customWidth="1"/>
    <col min="14062" max="14065" width="0" style="766" hidden="1" customWidth="1"/>
    <col min="14066" max="14310" width="9" style="766"/>
    <col min="14311" max="14311" width="4.875" style="766" customWidth="1"/>
    <col min="14312" max="14312" width="50.75" style="766" customWidth="1"/>
    <col min="14313" max="14313" width="21.125" style="766" customWidth="1"/>
    <col min="14314" max="14315" width="0" style="766" hidden="1" customWidth="1"/>
    <col min="14316" max="14316" width="53.75" style="766" customWidth="1"/>
    <col min="14317" max="14317" width="54.375" style="766" customWidth="1"/>
    <col min="14318" max="14321" width="0" style="766" hidden="1" customWidth="1"/>
    <col min="14322" max="14566" width="9" style="766"/>
    <col min="14567" max="14567" width="4.875" style="766" customWidth="1"/>
    <col min="14568" max="14568" width="50.75" style="766" customWidth="1"/>
    <col min="14569" max="14569" width="21.125" style="766" customWidth="1"/>
    <col min="14570" max="14571" width="0" style="766" hidden="1" customWidth="1"/>
    <col min="14572" max="14572" width="53.75" style="766" customWidth="1"/>
    <col min="14573" max="14573" width="54.375" style="766" customWidth="1"/>
    <col min="14574" max="14577" width="0" style="766" hidden="1" customWidth="1"/>
    <col min="14578" max="14822" width="9" style="766"/>
    <col min="14823" max="14823" width="4.875" style="766" customWidth="1"/>
    <col min="14824" max="14824" width="50.75" style="766" customWidth="1"/>
    <col min="14825" max="14825" width="21.125" style="766" customWidth="1"/>
    <col min="14826" max="14827" width="0" style="766" hidden="1" customWidth="1"/>
    <col min="14828" max="14828" width="53.75" style="766" customWidth="1"/>
    <col min="14829" max="14829" width="54.375" style="766" customWidth="1"/>
    <col min="14830" max="14833" width="0" style="766" hidden="1" customWidth="1"/>
    <col min="14834" max="15078" width="9" style="766"/>
    <col min="15079" max="15079" width="4.875" style="766" customWidth="1"/>
    <col min="15080" max="15080" width="50.75" style="766" customWidth="1"/>
    <col min="15081" max="15081" width="21.125" style="766" customWidth="1"/>
    <col min="15082" max="15083" width="0" style="766" hidden="1" customWidth="1"/>
    <col min="15084" max="15084" width="53.75" style="766" customWidth="1"/>
    <col min="15085" max="15085" width="54.375" style="766" customWidth="1"/>
    <col min="15086" max="15089" width="0" style="766" hidden="1" customWidth="1"/>
    <col min="15090" max="15334" width="9" style="766"/>
    <col min="15335" max="15335" width="4.875" style="766" customWidth="1"/>
    <col min="15336" max="15336" width="50.75" style="766" customWidth="1"/>
    <col min="15337" max="15337" width="21.125" style="766" customWidth="1"/>
    <col min="15338" max="15339" width="0" style="766" hidden="1" customWidth="1"/>
    <col min="15340" max="15340" width="53.75" style="766" customWidth="1"/>
    <col min="15341" max="15341" width="54.375" style="766" customWidth="1"/>
    <col min="15342" max="15345" width="0" style="766" hidden="1" customWidth="1"/>
    <col min="15346" max="15590" width="9" style="766"/>
    <col min="15591" max="15591" width="4.875" style="766" customWidth="1"/>
    <col min="15592" max="15592" width="50.75" style="766" customWidth="1"/>
    <col min="15593" max="15593" width="21.125" style="766" customWidth="1"/>
    <col min="15594" max="15595" width="0" style="766" hidden="1" customWidth="1"/>
    <col min="15596" max="15596" width="53.75" style="766" customWidth="1"/>
    <col min="15597" max="15597" width="54.375" style="766" customWidth="1"/>
    <col min="15598" max="15601" width="0" style="766" hidden="1" customWidth="1"/>
    <col min="15602" max="15846" width="9" style="766"/>
    <col min="15847" max="15847" width="4.875" style="766" customWidth="1"/>
    <col min="15848" max="15848" width="50.75" style="766" customWidth="1"/>
    <col min="15849" max="15849" width="21.125" style="766" customWidth="1"/>
    <col min="15850" max="15851" width="0" style="766" hidden="1" customWidth="1"/>
    <col min="15852" max="15852" width="53.75" style="766" customWidth="1"/>
    <col min="15853" max="15853" width="54.375" style="766" customWidth="1"/>
    <col min="15854" max="15857" width="0" style="766" hidden="1" customWidth="1"/>
    <col min="15858" max="16102" width="9" style="766"/>
    <col min="16103" max="16103" width="4.875" style="766" customWidth="1"/>
    <col min="16104" max="16104" width="50.75" style="766" customWidth="1"/>
    <col min="16105" max="16105" width="21.125" style="766" customWidth="1"/>
    <col min="16106" max="16107" width="0" style="766" hidden="1" customWidth="1"/>
    <col min="16108" max="16108" width="53.75" style="766" customWidth="1"/>
    <col min="16109" max="16109" width="54.375" style="766" customWidth="1"/>
    <col min="16110" max="16113" width="0" style="766" hidden="1" customWidth="1"/>
    <col min="16114" max="16357" width="9" style="766"/>
    <col min="16358" max="16384" width="7.75" style="766" customWidth="1"/>
  </cols>
  <sheetData>
    <row r="1" spans="2:8" x14ac:dyDescent="0.4">
      <c r="C1" s="767" t="s">
        <v>0</v>
      </c>
      <c r="G1" s="767" t="s">
        <v>0</v>
      </c>
    </row>
    <row r="2" spans="2:8" x14ac:dyDescent="0.4">
      <c r="C2" s="769">
        <v>45413</v>
      </c>
      <c r="G2" s="769">
        <v>44682</v>
      </c>
    </row>
    <row r="3" spans="2:8" x14ac:dyDescent="0.4">
      <c r="B3" s="770"/>
      <c r="C3" s="771" t="s">
        <v>1</v>
      </c>
      <c r="G3" s="771" t="s">
        <v>1</v>
      </c>
    </row>
    <row r="4" spans="2:8" ht="24.95" customHeight="1" thickBot="1" x14ac:dyDescent="0.45">
      <c r="B4" s="772" t="s">
        <v>2</v>
      </c>
      <c r="C4" s="773" t="s">
        <v>321</v>
      </c>
      <c r="D4" s="772" t="s">
        <v>3</v>
      </c>
      <c r="E4" s="774" t="s">
        <v>4</v>
      </c>
      <c r="F4" s="774" t="s">
        <v>322</v>
      </c>
      <c r="G4" s="773" t="s">
        <v>321</v>
      </c>
    </row>
    <row r="5" spans="2:8" ht="39.950000000000003" customHeight="1" x14ac:dyDescent="0.4">
      <c r="B5" s="775" t="s">
        <v>5</v>
      </c>
      <c r="C5" s="776">
        <v>22.520400000000002</v>
      </c>
      <c r="D5" s="996" t="s">
        <v>6</v>
      </c>
      <c r="E5" s="994" t="s">
        <v>7</v>
      </c>
      <c r="F5" s="994" t="s">
        <v>487</v>
      </c>
      <c r="G5" s="777">
        <v>20</v>
      </c>
      <c r="H5" s="778">
        <f>(C5-G5)/G5</f>
        <v>0.1260200000000001</v>
      </c>
    </row>
    <row r="6" spans="2:8" ht="42.6" customHeight="1" thickBot="1" x14ac:dyDescent="0.45">
      <c r="B6" s="779" t="s">
        <v>8</v>
      </c>
      <c r="C6" s="780">
        <v>46842.432000000008</v>
      </c>
      <c r="D6" s="997"/>
      <c r="E6" s="995"/>
      <c r="F6" s="995"/>
      <c r="G6" s="781">
        <v>41600</v>
      </c>
      <c r="H6" s="778">
        <f t="shared" ref="H6:H34" si="0">(C6-G6)/G6</f>
        <v>0.12602000000000019</v>
      </c>
    </row>
    <row r="7" spans="2:8" x14ac:dyDescent="0.4">
      <c r="B7" s="782" t="s">
        <v>9</v>
      </c>
      <c r="C7" s="776">
        <v>27.109919999999999</v>
      </c>
      <c r="D7" s="783" t="s">
        <v>10</v>
      </c>
      <c r="E7" s="994" t="s">
        <v>11</v>
      </c>
      <c r="F7" s="994" t="s">
        <v>323</v>
      </c>
      <c r="G7" s="777">
        <v>25.580080000000002</v>
      </c>
      <c r="H7" s="778">
        <f t="shared" si="0"/>
        <v>5.980591147486624E-2</v>
      </c>
    </row>
    <row r="8" spans="2:8" ht="46.5" customHeight="1" thickBot="1" x14ac:dyDescent="0.45">
      <c r="B8" s="784" t="s">
        <v>12</v>
      </c>
      <c r="C8" s="785">
        <v>56388.633600000001</v>
      </c>
      <c r="D8" s="768" t="s">
        <v>488</v>
      </c>
      <c r="E8" s="998"/>
      <c r="F8" s="998"/>
      <c r="G8" s="786">
        <v>53206.566400000003</v>
      </c>
      <c r="H8" s="778">
        <f t="shared" si="0"/>
        <v>5.980591147486633E-2</v>
      </c>
    </row>
    <row r="9" spans="2:8" ht="26.1" customHeight="1" x14ac:dyDescent="0.4">
      <c r="B9" s="782" t="s">
        <v>13</v>
      </c>
      <c r="C9" s="776">
        <v>22.0016</v>
      </c>
      <c r="D9" s="783"/>
      <c r="E9" s="994" t="s">
        <v>14</v>
      </c>
      <c r="F9" s="994" t="s">
        <v>324</v>
      </c>
      <c r="G9" s="777">
        <v>19.121599999999997</v>
      </c>
      <c r="H9" s="778">
        <f t="shared" si="0"/>
        <v>0.15061501129612601</v>
      </c>
    </row>
    <row r="10" spans="2:8" ht="27" thickBot="1" x14ac:dyDescent="0.45">
      <c r="B10" s="787" t="s">
        <v>15</v>
      </c>
      <c r="C10" s="780">
        <v>45763.328000000001</v>
      </c>
      <c r="D10" s="788"/>
      <c r="E10" s="995"/>
      <c r="F10" s="995"/>
      <c r="G10" s="781">
        <v>39772.927999999993</v>
      </c>
      <c r="H10" s="778">
        <f t="shared" si="0"/>
        <v>0.15061501129612609</v>
      </c>
    </row>
    <row r="11" spans="2:8" x14ac:dyDescent="0.4">
      <c r="B11" s="782" t="s">
        <v>16</v>
      </c>
      <c r="C11" s="776">
        <v>31.989000000000004</v>
      </c>
      <c r="D11" s="783" t="s">
        <v>17</v>
      </c>
      <c r="E11" s="994" t="s">
        <v>18</v>
      </c>
      <c r="F11" s="994" t="s">
        <v>325</v>
      </c>
      <c r="G11" s="777">
        <v>28.180799999999998</v>
      </c>
      <c r="H11" s="778">
        <f t="shared" si="0"/>
        <v>0.13513455970022167</v>
      </c>
    </row>
    <row r="12" spans="2:8" ht="27" thickBot="1" x14ac:dyDescent="0.45">
      <c r="B12" s="784" t="s">
        <v>19</v>
      </c>
      <c r="C12" s="785">
        <v>66537.12000000001</v>
      </c>
      <c r="D12" s="766" t="s">
        <v>20</v>
      </c>
      <c r="E12" s="998"/>
      <c r="F12" s="998"/>
      <c r="G12" s="786">
        <v>58616.063999999998</v>
      </c>
      <c r="H12" s="778">
        <f t="shared" si="0"/>
        <v>0.13513455970022162</v>
      </c>
    </row>
    <row r="13" spans="2:8" ht="52.5" x14ac:dyDescent="0.4">
      <c r="B13" s="789" t="s">
        <v>21</v>
      </c>
      <c r="C13" s="776">
        <v>36.1419</v>
      </c>
      <c r="D13" s="783" t="s">
        <v>22</v>
      </c>
      <c r="E13" s="994" t="s">
        <v>23</v>
      </c>
      <c r="F13" s="994" t="s">
        <v>326</v>
      </c>
      <c r="G13" s="777">
        <v>30.9283</v>
      </c>
      <c r="H13" s="778">
        <f t="shared" si="0"/>
        <v>0.16857053248966156</v>
      </c>
    </row>
    <row r="14" spans="2:8" ht="53.25" thickBot="1" x14ac:dyDescent="0.45">
      <c r="B14" s="790" t="s">
        <v>24</v>
      </c>
      <c r="C14" s="780">
        <v>75175.152000000002</v>
      </c>
      <c r="D14" s="788" t="s">
        <v>25</v>
      </c>
      <c r="E14" s="995"/>
      <c r="F14" s="995"/>
      <c r="G14" s="781">
        <v>64330.864000000001</v>
      </c>
      <c r="H14" s="778">
        <f t="shared" si="0"/>
        <v>0.16857053248966158</v>
      </c>
    </row>
    <row r="15" spans="2:8" x14ac:dyDescent="0.4">
      <c r="B15" s="782" t="s">
        <v>35</v>
      </c>
      <c r="C15" s="776">
        <v>37.066800000000001</v>
      </c>
      <c r="D15" s="783"/>
      <c r="E15" s="994" t="s">
        <v>36</v>
      </c>
      <c r="F15" s="994" t="s">
        <v>327</v>
      </c>
      <c r="G15" s="777">
        <v>31.575200000000002</v>
      </c>
      <c r="H15" s="778">
        <f t="shared" si="0"/>
        <v>0.17392130532823222</v>
      </c>
    </row>
    <row r="16" spans="2:8" ht="27" thickBot="1" x14ac:dyDescent="0.45">
      <c r="B16" s="787" t="s">
        <v>37</v>
      </c>
      <c r="C16" s="780">
        <v>77098.944000000003</v>
      </c>
      <c r="D16" s="788" t="s">
        <v>489</v>
      </c>
      <c r="E16" s="995"/>
      <c r="F16" s="995"/>
      <c r="G16" s="781">
        <v>65676.416000000012</v>
      </c>
      <c r="H16" s="778">
        <f t="shared" si="0"/>
        <v>0.17392130532823211</v>
      </c>
    </row>
    <row r="17" spans="2:8" x14ac:dyDescent="0.4">
      <c r="B17" s="782" t="s">
        <v>29</v>
      </c>
      <c r="C17" s="776">
        <v>40.468299999999999</v>
      </c>
      <c r="D17" s="783" t="s">
        <v>30</v>
      </c>
      <c r="E17" s="994" t="s">
        <v>31</v>
      </c>
      <c r="F17" s="994" t="s">
        <v>328</v>
      </c>
      <c r="G17" s="777">
        <v>38.753100000000003</v>
      </c>
      <c r="H17" s="778">
        <f t="shared" si="0"/>
        <v>4.4259685031648968E-2</v>
      </c>
    </row>
    <row r="18" spans="2:8" ht="27" thickBot="1" x14ac:dyDescent="0.45">
      <c r="B18" s="787" t="s">
        <v>32</v>
      </c>
      <c r="C18" s="780">
        <v>84174.063999999998</v>
      </c>
      <c r="D18" s="788"/>
      <c r="E18" s="995"/>
      <c r="F18" s="995"/>
      <c r="G18" s="781">
        <v>80606.448000000004</v>
      </c>
      <c r="H18" s="778">
        <f t="shared" si="0"/>
        <v>4.425968503164901E-2</v>
      </c>
    </row>
    <row r="19" spans="2:8" x14ac:dyDescent="0.4">
      <c r="B19" s="782" t="s">
        <v>329</v>
      </c>
      <c r="C19" s="791">
        <v>39.5488</v>
      </c>
      <c r="D19" s="783"/>
      <c r="E19" s="994" t="s">
        <v>330</v>
      </c>
      <c r="F19" s="994" t="s">
        <v>331</v>
      </c>
      <c r="G19" s="792">
        <v>32.740400000000001</v>
      </c>
      <c r="H19" s="778">
        <f t="shared" si="0"/>
        <v>0.20795103297455128</v>
      </c>
    </row>
    <row r="20" spans="2:8" ht="27" thickBot="1" x14ac:dyDescent="0.45">
      <c r="B20" s="787" t="s">
        <v>332</v>
      </c>
      <c r="C20" s="780">
        <v>82261.504000000001</v>
      </c>
      <c r="D20" s="788"/>
      <c r="E20" s="995"/>
      <c r="F20" s="995"/>
      <c r="G20" s="781">
        <v>68100.032000000007</v>
      </c>
      <c r="H20" s="778">
        <f t="shared" si="0"/>
        <v>0.20795103297455123</v>
      </c>
    </row>
    <row r="21" spans="2:8" x14ac:dyDescent="0.4">
      <c r="B21" s="784" t="s">
        <v>26</v>
      </c>
      <c r="C21" s="793">
        <v>39.176400000000001</v>
      </c>
      <c r="D21" s="766" t="s">
        <v>333</v>
      </c>
      <c r="E21" s="994" t="s">
        <v>27</v>
      </c>
      <c r="F21" s="999" t="s">
        <v>334</v>
      </c>
      <c r="G21" s="794">
        <v>38.180400000000006</v>
      </c>
      <c r="H21" s="778">
        <f t="shared" si="0"/>
        <v>2.6086683219662312E-2</v>
      </c>
    </row>
    <row r="22" spans="2:8" ht="27" thickBot="1" x14ac:dyDescent="0.45">
      <c r="B22" s="787" t="s">
        <v>28</v>
      </c>
      <c r="C22" s="780">
        <v>81486.911999999997</v>
      </c>
      <c r="D22" s="788" t="s">
        <v>335</v>
      </c>
      <c r="E22" s="995"/>
      <c r="F22" s="1000"/>
      <c r="G22" s="781">
        <v>79415.232000000018</v>
      </c>
      <c r="H22" s="778">
        <f t="shared" si="0"/>
        <v>2.6086683219662166E-2</v>
      </c>
    </row>
    <row r="23" spans="2:8" ht="39.950000000000003" customHeight="1" x14ac:dyDescent="0.4">
      <c r="B23" s="795" t="s">
        <v>490</v>
      </c>
      <c r="C23" s="793">
        <v>41.273300000000006</v>
      </c>
      <c r="D23" s="766" t="s">
        <v>336</v>
      </c>
      <c r="E23" s="994" t="s">
        <v>23</v>
      </c>
      <c r="F23" s="994" t="s">
        <v>491</v>
      </c>
      <c r="G23" s="794">
        <v>38.017499999999998</v>
      </c>
      <c r="H23" s="778">
        <f t="shared" si="0"/>
        <v>8.5639508121260158E-2</v>
      </c>
    </row>
    <row r="24" spans="2:8" ht="39.950000000000003" customHeight="1" thickBot="1" x14ac:dyDescent="0.45">
      <c r="B24" s="779" t="s">
        <v>492</v>
      </c>
      <c r="C24" s="780">
        <v>85848.464000000007</v>
      </c>
      <c r="D24" s="788"/>
      <c r="E24" s="995"/>
      <c r="F24" s="995"/>
      <c r="G24" s="781">
        <v>79076.399999999994</v>
      </c>
      <c r="H24" s="778">
        <f t="shared" si="0"/>
        <v>8.5639508121260116E-2</v>
      </c>
    </row>
    <row r="25" spans="2:8" x14ac:dyDescent="0.4">
      <c r="B25" s="784" t="s">
        <v>337</v>
      </c>
      <c r="C25" s="793">
        <v>43.965600000000002</v>
      </c>
      <c r="D25" s="766" t="s">
        <v>338</v>
      </c>
      <c r="E25" s="994" t="s">
        <v>23</v>
      </c>
      <c r="F25" s="994" t="s">
        <v>339</v>
      </c>
      <c r="G25" s="794">
        <v>41.25168</v>
      </c>
      <c r="H25" s="778">
        <f t="shared" si="0"/>
        <v>6.5789320580398214E-2</v>
      </c>
    </row>
    <row r="26" spans="2:8" ht="27" thickBot="1" x14ac:dyDescent="0.45">
      <c r="B26" s="787" t="s">
        <v>340</v>
      </c>
      <c r="C26" s="785">
        <v>91448.448000000004</v>
      </c>
      <c r="E26" s="995"/>
      <c r="F26" s="995"/>
      <c r="G26" s="786">
        <v>85803.494399999996</v>
      </c>
      <c r="H26" s="778">
        <f t="shared" si="0"/>
        <v>6.5789320580398283E-2</v>
      </c>
    </row>
    <row r="27" spans="2:8" x14ac:dyDescent="0.4">
      <c r="B27" s="782" t="s">
        <v>341</v>
      </c>
      <c r="C27" s="776">
        <v>48.945399999999999</v>
      </c>
      <c r="D27" s="1001" t="s">
        <v>33</v>
      </c>
      <c r="E27" s="994" t="s">
        <v>34</v>
      </c>
      <c r="F27" s="994" t="s">
        <v>342</v>
      </c>
      <c r="G27" s="777">
        <v>48.742200000000004</v>
      </c>
      <c r="H27" s="778">
        <f t="shared" si="0"/>
        <v>4.1688721477486732E-3</v>
      </c>
    </row>
    <row r="28" spans="2:8" ht="34.5" customHeight="1" thickBot="1" x14ac:dyDescent="0.45">
      <c r="B28" s="787" t="s">
        <v>343</v>
      </c>
      <c r="C28" s="780">
        <v>101806.432</v>
      </c>
      <c r="D28" s="1002"/>
      <c r="E28" s="995"/>
      <c r="F28" s="995"/>
      <c r="G28" s="781">
        <v>101383.77600000001</v>
      </c>
      <c r="H28" s="778">
        <f t="shared" si="0"/>
        <v>4.1688721477486507E-3</v>
      </c>
    </row>
    <row r="29" spans="2:8" x14ac:dyDescent="0.4">
      <c r="B29" s="775" t="s">
        <v>493</v>
      </c>
      <c r="C29" s="776">
        <v>44.301760000000002</v>
      </c>
      <c r="D29" s="783"/>
      <c r="E29" s="994" t="s">
        <v>23</v>
      </c>
      <c r="F29" s="994" t="s">
        <v>494</v>
      </c>
      <c r="G29" s="777">
        <v>42.756720000000001</v>
      </c>
      <c r="H29" s="778">
        <f t="shared" si="0"/>
        <v>3.6135606285982648E-2</v>
      </c>
    </row>
    <row r="30" spans="2:8" ht="27" thickBot="1" x14ac:dyDescent="0.45">
      <c r="B30" s="779" t="s">
        <v>495</v>
      </c>
      <c r="C30" s="780">
        <v>92147.660799999998</v>
      </c>
      <c r="D30" s="788"/>
      <c r="E30" s="995"/>
      <c r="F30" s="995"/>
      <c r="G30" s="781">
        <v>88933.977599999998</v>
      </c>
      <c r="H30" s="778">
        <f t="shared" si="0"/>
        <v>3.6135606285982641E-2</v>
      </c>
    </row>
    <row r="31" spans="2:8" x14ac:dyDescent="0.4">
      <c r="B31" s="782" t="s">
        <v>38</v>
      </c>
      <c r="C31" s="776">
        <v>50.818000000000005</v>
      </c>
      <c r="D31" s="783"/>
      <c r="E31" s="994" t="s">
        <v>39</v>
      </c>
      <c r="F31" s="994" t="s">
        <v>344</v>
      </c>
      <c r="G31" s="777">
        <v>49.162799999999997</v>
      </c>
      <c r="H31" s="778">
        <f t="shared" si="0"/>
        <v>3.3667732513201196E-2</v>
      </c>
    </row>
    <row r="32" spans="2:8" ht="38.450000000000003" customHeight="1" thickBot="1" x14ac:dyDescent="0.45">
      <c r="B32" s="787" t="s">
        <v>40</v>
      </c>
      <c r="C32" s="780">
        <v>105701.44000000002</v>
      </c>
      <c r="D32" s="788"/>
      <c r="E32" s="995"/>
      <c r="F32" s="995"/>
      <c r="G32" s="781">
        <v>102258.624</v>
      </c>
      <c r="H32" s="778">
        <f t="shared" si="0"/>
        <v>3.3667732513201244E-2</v>
      </c>
    </row>
    <row r="33" spans="2:8" x14ac:dyDescent="0.4">
      <c r="B33" s="782" t="s">
        <v>41</v>
      </c>
      <c r="C33" s="776">
        <v>68.006</v>
      </c>
      <c r="D33" s="783"/>
      <c r="E33" s="994" t="s">
        <v>42</v>
      </c>
      <c r="F33" s="994" t="s">
        <v>345</v>
      </c>
      <c r="G33" s="777">
        <v>65.162400000000005</v>
      </c>
      <c r="H33" s="778">
        <f t="shared" si="0"/>
        <v>4.363866278712869E-2</v>
      </c>
    </row>
    <row r="34" spans="2:8" ht="27" thickBot="1" x14ac:dyDescent="0.45">
      <c r="B34" s="787" t="s">
        <v>43</v>
      </c>
      <c r="C34" s="780">
        <v>141452.48000000001</v>
      </c>
      <c r="D34" s="788"/>
      <c r="E34" s="995"/>
      <c r="F34" s="995"/>
      <c r="G34" s="781">
        <v>135537.79200000002</v>
      </c>
      <c r="H34" s="778">
        <f t="shared" si="0"/>
        <v>4.3638662787128732E-2</v>
      </c>
    </row>
    <row r="36" spans="2:8" ht="52.5" x14ac:dyDescent="0.4">
      <c r="B36" s="796" t="s">
        <v>496</v>
      </c>
      <c r="C36" s="785">
        <f>C6</f>
        <v>46842.432000000008</v>
      </c>
    </row>
    <row r="37" spans="2:8" x14ac:dyDescent="0.4">
      <c r="C37" s="797"/>
    </row>
    <row r="38" spans="2:8" x14ac:dyDescent="0.4">
      <c r="B38" s="798" t="s">
        <v>346</v>
      </c>
      <c r="C38" s="799">
        <v>0.24970000000000001</v>
      </c>
      <c r="D38" s="766" t="s">
        <v>684</v>
      </c>
    </row>
    <row r="39" spans="2:8" ht="34.35" customHeight="1" x14ac:dyDescent="0.4">
      <c r="B39" s="798"/>
      <c r="C39" s="797"/>
      <c r="D39" s="1003" t="s">
        <v>347</v>
      </c>
      <c r="E39" s="1003"/>
      <c r="F39" s="766"/>
    </row>
    <row r="40" spans="2:8" x14ac:dyDescent="0.4">
      <c r="C40" s="797"/>
    </row>
    <row r="41" spans="2:8" x14ac:dyDescent="0.4">
      <c r="B41" s="798" t="s">
        <v>44</v>
      </c>
      <c r="C41" s="800">
        <v>0.12</v>
      </c>
      <c r="D41" s="766" t="s">
        <v>45</v>
      </c>
    </row>
    <row r="42" spans="2:8" x14ac:dyDescent="0.4">
      <c r="B42" s="798"/>
      <c r="C42" s="801"/>
    </row>
    <row r="43" spans="2:8" x14ac:dyDescent="0.4">
      <c r="B43" s="1004" t="s">
        <v>348</v>
      </c>
      <c r="C43" s="1004"/>
      <c r="D43" s="1004"/>
    </row>
    <row r="44" spans="2:8" x14ac:dyDescent="0.4">
      <c r="B44" s="802" t="s">
        <v>498</v>
      </c>
      <c r="C44" s="785">
        <v>247470</v>
      </c>
      <c r="D44" s="766" t="s">
        <v>499</v>
      </c>
    </row>
    <row r="45" spans="2:8" x14ac:dyDescent="0.4">
      <c r="B45" s="798" t="s">
        <v>349</v>
      </c>
      <c r="C45" s="785">
        <v>252850</v>
      </c>
      <c r="D45" s="766" t="s">
        <v>500</v>
      </c>
    </row>
    <row r="46" spans="2:8" x14ac:dyDescent="0.4">
      <c r="B46" s="798" t="s">
        <v>350</v>
      </c>
      <c r="C46" s="785">
        <f>'[19]M2022 53_PCT'!N33</f>
        <v>135424.64000000001</v>
      </c>
      <c r="D46" s="766" t="s">
        <v>501</v>
      </c>
    </row>
    <row r="47" spans="2:8" x14ac:dyDescent="0.4">
      <c r="B47" s="798" t="s">
        <v>502</v>
      </c>
      <c r="C47" s="803">
        <f>C6</f>
        <v>46842.432000000008</v>
      </c>
      <c r="D47" s="766" t="s">
        <v>503</v>
      </c>
    </row>
    <row r="48" spans="2:8" x14ac:dyDescent="0.4">
      <c r="B48" s="798" t="s">
        <v>504</v>
      </c>
      <c r="C48" s="803">
        <f>AVERAGE(C6,C8)</f>
        <v>51615.532800000001</v>
      </c>
      <c r="D48" s="766" t="s">
        <v>505</v>
      </c>
    </row>
    <row r="49" spans="2:6" x14ac:dyDescent="0.4">
      <c r="B49" s="798" t="s">
        <v>506</v>
      </c>
      <c r="C49" s="785">
        <f>C8</f>
        <v>56388.633600000001</v>
      </c>
      <c r="D49" s="766" t="s">
        <v>507</v>
      </c>
    </row>
    <row r="50" spans="2:6" x14ac:dyDescent="0.4">
      <c r="B50" s="798" t="s">
        <v>508</v>
      </c>
      <c r="C50" s="785">
        <f>'[19]M2022 53_PCT'!N34</f>
        <v>40890.303999999996</v>
      </c>
      <c r="D50" s="766" t="s">
        <v>509</v>
      </c>
    </row>
    <row r="51" spans="2:6" x14ac:dyDescent="0.4">
      <c r="B51" s="798" t="s">
        <v>510</v>
      </c>
      <c r="C51" s="803">
        <f>'[19]M2022 53_PCT'!N37</f>
        <v>50652.160000000003</v>
      </c>
      <c r="D51" s="766" t="s">
        <v>511</v>
      </c>
    </row>
    <row r="52" spans="2:6" x14ac:dyDescent="0.4">
      <c r="B52" s="798" t="s">
        <v>512</v>
      </c>
      <c r="C52" s="803">
        <f>AVERAGE('[19]M2022 53_PCT'!N35,'[19]M2022 53_PCT'!N36)</f>
        <v>57014.464000000007</v>
      </c>
      <c r="D52" s="766" t="s">
        <v>513</v>
      </c>
    </row>
    <row r="53" spans="2:6" x14ac:dyDescent="0.4">
      <c r="B53" s="798"/>
      <c r="C53" s="803"/>
    </row>
    <row r="54" spans="2:6" x14ac:dyDescent="0.4">
      <c r="B54" s="798"/>
      <c r="C54" s="803"/>
    </row>
    <row r="55" spans="2:6" x14ac:dyDescent="0.4">
      <c r="B55" s="1005" t="s">
        <v>514</v>
      </c>
      <c r="C55" s="1005"/>
      <c r="D55" s="1005"/>
      <c r="E55" s="1005"/>
      <c r="F55" s="1005"/>
    </row>
    <row r="56" spans="2:6" x14ac:dyDescent="0.4">
      <c r="B56" s="804" t="s">
        <v>515</v>
      </c>
      <c r="C56" s="766" t="s">
        <v>516</v>
      </c>
    </row>
    <row r="57" spans="2:6" ht="86.25" customHeight="1" x14ac:dyDescent="0.4">
      <c r="B57" s="805" t="s">
        <v>517</v>
      </c>
      <c r="C57" s="1003" t="s">
        <v>518</v>
      </c>
      <c r="D57" s="1003"/>
      <c r="E57" s="1003"/>
      <c r="F57" s="1003"/>
    </row>
    <row r="58" spans="2:6" ht="39.75" customHeight="1" x14ac:dyDescent="0.4"/>
    <row r="59" spans="2:6" ht="36" customHeight="1" x14ac:dyDescent="0.4"/>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17F9-A0AB-452E-87F9-0691255A0ED2}">
  <dimension ref="C1:I93"/>
  <sheetViews>
    <sheetView topLeftCell="A68" zoomScale="80" zoomScaleNormal="80" workbookViewId="0">
      <selection activeCell="E5" sqref="E5"/>
    </sheetView>
  </sheetViews>
  <sheetFormatPr defaultRowHeight="14.25" x14ac:dyDescent="0.2"/>
  <cols>
    <col min="1" max="2" width="9" style="517"/>
    <col min="3" max="3" width="18.75" style="742" customWidth="1"/>
    <col min="4" max="4" width="14" style="742" customWidth="1"/>
    <col min="5" max="5" width="10.25" style="517" customWidth="1"/>
    <col min="6" max="6" width="10.75" style="517" customWidth="1"/>
    <col min="7" max="7" width="11.625" style="517" customWidth="1"/>
    <col min="8" max="9" width="9" style="517"/>
    <col min="10" max="10" width="9" style="517" customWidth="1"/>
    <col min="11" max="16384" width="9" style="517"/>
  </cols>
  <sheetData>
    <row r="1" spans="3:9" ht="15" x14ac:dyDescent="0.25">
      <c r="C1" s="940"/>
      <c r="D1" s="941" t="s">
        <v>662</v>
      </c>
      <c r="E1" s="942"/>
      <c r="F1" s="942"/>
      <c r="G1" s="942"/>
      <c r="H1" s="942"/>
    </row>
    <row r="2" spans="3:9" ht="15" x14ac:dyDescent="0.25">
      <c r="C2" s="1006" t="s">
        <v>446</v>
      </c>
      <c r="D2" s="1006"/>
      <c r="E2" s="1006"/>
      <c r="F2" s="1006"/>
      <c r="G2" s="1006"/>
      <c r="H2" s="1006"/>
    </row>
    <row r="3" spans="3:9" ht="13.9" customHeight="1" x14ac:dyDescent="0.2">
      <c r="C3" s="1007" t="s">
        <v>47</v>
      </c>
      <c r="D3" s="744" t="s">
        <v>447</v>
      </c>
      <c r="E3" s="1008" t="s">
        <v>448</v>
      </c>
      <c r="F3" s="1009"/>
      <c r="G3" s="1009"/>
      <c r="H3" s="1009"/>
      <c r="I3" s="1010"/>
    </row>
    <row r="4" spans="3:9" ht="15" x14ac:dyDescent="0.2">
      <c r="C4" s="1007"/>
      <c r="D4" s="746"/>
      <c r="E4" s="946" t="s">
        <v>693</v>
      </c>
      <c r="F4" s="745" t="s">
        <v>57</v>
      </c>
      <c r="G4" s="745" t="s">
        <v>59</v>
      </c>
      <c r="H4" s="745" t="s">
        <v>60</v>
      </c>
      <c r="I4" s="745" t="s">
        <v>61</v>
      </c>
    </row>
    <row r="5" spans="3:9" ht="15" x14ac:dyDescent="0.2">
      <c r="C5" s="1007"/>
      <c r="D5" s="747">
        <v>0.9</v>
      </c>
      <c r="E5" s="947">
        <f>'Youth Res Models 2026'!J29</f>
        <v>741.84872123059881</v>
      </c>
      <c r="F5" s="748">
        <f>'Youth Res Models 2026'!Q29</f>
        <v>666.23346319502764</v>
      </c>
      <c r="G5" s="748">
        <f>'Youth Res Models 2026'!W29</f>
        <v>557.0384471255594</v>
      </c>
      <c r="H5" s="748">
        <f>'Youth Res Models 2026'!AC29</f>
        <v>450.23017463349009</v>
      </c>
      <c r="I5" s="748">
        <f>'Youth Res Models 2026'!AI29</f>
        <v>407.8011094848278</v>
      </c>
    </row>
    <row r="6" spans="3:9" ht="15" x14ac:dyDescent="0.2">
      <c r="C6" s="1007"/>
      <c r="D6" s="747">
        <v>0.85</v>
      </c>
      <c r="E6" s="947">
        <f>'Youth Res Models 2026'!J30</f>
        <v>785.48688130298694</v>
      </c>
      <c r="F6" s="748">
        <f>'Youth Res Models 2026'!Q30</f>
        <v>705.42366691238215</v>
      </c>
      <c r="G6" s="748">
        <f>'Youth Res Models 2026'!W30</f>
        <v>589.80541460353345</v>
      </c>
      <c r="H6" s="748">
        <f>'Youth Res Models 2026'!AC30</f>
        <v>476.71430255310719</v>
      </c>
      <c r="I6" s="748">
        <f>'Youth Res Models 2026'!AI30</f>
        <v>431.78941004275885</v>
      </c>
    </row>
    <row r="7" spans="3:9" ht="15" x14ac:dyDescent="0.2">
      <c r="C7" s="1007"/>
      <c r="D7" s="747">
        <v>0.8</v>
      </c>
      <c r="E7" s="947">
        <f>'Youth Res Models 2026'!J31</f>
        <v>834.57981138442358</v>
      </c>
      <c r="F7" s="748">
        <f>'Youth Res Models 2026'!Q31</f>
        <v>749.51264609440602</v>
      </c>
      <c r="G7" s="748">
        <f>'Youth Res Models 2026'!W31</f>
        <v>626.66825301625431</v>
      </c>
      <c r="H7" s="748">
        <f>'Youth Res Models 2026'!AC31</f>
        <v>506.50894646267636</v>
      </c>
      <c r="I7" s="748">
        <f>'Youth Res Models 2026'!AI31</f>
        <v>458.7762481704313</v>
      </c>
    </row>
    <row r="8" spans="3:9" ht="15" x14ac:dyDescent="0.2">
      <c r="C8" s="1007"/>
      <c r="D8" s="747">
        <v>0.75</v>
      </c>
      <c r="E8" s="947">
        <f>'Youth Res Models 2026'!J32</f>
        <v>890.21846547671851</v>
      </c>
      <c r="F8" s="748">
        <f>'Youth Res Models 2026'!Q32</f>
        <v>799.4801558340331</v>
      </c>
      <c r="G8" s="748">
        <f>'Youth Res Models 2026'!W32</f>
        <v>668.44613655067121</v>
      </c>
      <c r="H8" s="748">
        <f>'Youth Res Models 2026'!AC32</f>
        <v>540.27620956018814</v>
      </c>
      <c r="I8" s="748">
        <f>'Youth Res Models 2026'!AI32</f>
        <v>489.36133138179338</v>
      </c>
    </row>
    <row r="9" spans="3:9" ht="15" x14ac:dyDescent="0.2">
      <c r="C9" s="1007"/>
      <c r="D9" s="747">
        <v>0.7</v>
      </c>
      <c r="E9" s="947">
        <f>'Youth Res Models 2026'!J33</f>
        <v>953.8054987250556</v>
      </c>
      <c r="F9" s="748">
        <f>'Youth Res Models 2026'!Q33</f>
        <v>856.58588125074982</v>
      </c>
      <c r="G9" s="748">
        <f>'Youth Res Models 2026'!W33</f>
        <v>716.19228916143356</v>
      </c>
      <c r="H9" s="748">
        <f>'Youth Res Models 2026'!AC33</f>
        <v>578.86736738591583</v>
      </c>
      <c r="I9" s="748">
        <f>'Youth Res Models 2026'!AI33</f>
        <v>524.3157121947786</v>
      </c>
    </row>
    <row r="10" spans="3:9" ht="15" x14ac:dyDescent="0.2">
      <c r="C10" s="1007"/>
      <c r="D10" s="747">
        <v>0.65</v>
      </c>
      <c r="E10" s="947">
        <f>'Youth Res Models 2026'!J34</f>
        <v>1027.1751524731367</v>
      </c>
      <c r="F10" s="748">
        <f>'Youth Res Models 2026'!Q34</f>
        <v>922.47710288542282</v>
      </c>
      <c r="G10" s="748">
        <f>'Youth Res Models 2026'!W34</f>
        <v>771.28400371231294</v>
      </c>
      <c r="H10" s="748">
        <f>'Youth Res Models 2026'!AC34</f>
        <v>623.39562641560167</v>
      </c>
      <c r="I10" s="748">
        <f>'Youth Res Models 2026'!AI34</f>
        <v>564.6476900559154</v>
      </c>
    </row>
    <row r="11" spans="3:9" ht="15" x14ac:dyDescent="0.2">
      <c r="C11" s="1007"/>
      <c r="D11" s="747">
        <v>0.6</v>
      </c>
      <c r="E11" s="947">
        <f>'Youth Res Models 2026'!J35</f>
        <v>1112.7730818458981</v>
      </c>
      <c r="F11" s="748">
        <f>'Youth Res Models 2026'!Q35</f>
        <v>999.3501947925414</v>
      </c>
      <c r="G11" s="748">
        <f>'Youth Res Models 2026'!W35</f>
        <v>835.55767068833904</v>
      </c>
      <c r="H11" s="748">
        <f>'Youth Res Models 2026'!AC35</f>
        <v>675.34526195023523</v>
      </c>
      <c r="I11" s="748">
        <f>'Youth Res Models 2026'!AI35</f>
        <v>611.70166422724174</v>
      </c>
    </row>
    <row r="12" spans="3:9" ht="15" x14ac:dyDescent="0.2">
      <c r="C12" s="1007"/>
      <c r="D12" s="747">
        <v>0.55000000000000004</v>
      </c>
      <c r="E12" s="947">
        <f>'Youth Res Models 2026'!J36</f>
        <v>1213.9342711046161</v>
      </c>
      <c r="F12" s="748">
        <f>'Youth Res Models 2026'!Q36</f>
        <v>1090.2002125009542</v>
      </c>
      <c r="G12" s="748">
        <f>'Youth Res Models 2026'!W36</f>
        <v>911.51745893273335</v>
      </c>
      <c r="H12" s="748">
        <f>'Youth Res Models 2026'!AC36</f>
        <v>736.74028576389287</v>
      </c>
      <c r="I12" s="748">
        <f>'Youth Res Models 2026'!AI36</f>
        <v>667.31090642971822</v>
      </c>
    </row>
    <row r="13" spans="3:9" ht="15" x14ac:dyDescent="0.2">
      <c r="C13" s="1007"/>
      <c r="D13" s="747">
        <v>0.5</v>
      </c>
      <c r="E13" s="947">
        <f>'Youth Res Models 2026'!J37</f>
        <v>1335.3276982150778</v>
      </c>
      <c r="F13" s="748">
        <f>'Youth Res Models 2026'!Q37</f>
        <v>1199.2202337510496</v>
      </c>
      <c r="G13" s="748">
        <f>'Youth Res Models 2026'!W37</f>
        <v>1002.6692048260069</v>
      </c>
      <c r="H13" s="748">
        <f>'Youth Res Models 2026'!AC37</f>
        <v>810.4143143402822</v>
      </c>
      <c r="I13" s="748">
        <f>'Youth Res Models 2026'!AI37</f>
        <v>734.04199707269004</v>
      </c>
    </row>
    <row r="14" spans="3:9" ht="15.75" x14ac:dyDescent="0.2">
      <c r="C14" s="749"/>
      <c r="D14" s="750"/>
      <c r="E14" s="750"/>
      <c r="F14" s="745"/>
      <c r="G14" s="745"/>
      <c r="H14" s="745"/>
      <c r="I14" s="745"/>
    </row>
    <row r="15" spans="3:9" ht="14.45" customHeight="1" x14ac:dyDescent="0.2">
      <c r="C15" s="1007" t="s">
        <v>101</v>
      </c>
      <c r="D15" s="743" t="s">
        <v>447</v>
      </c>
      <c r="E15" s="1011" t="s">
        <v>448</v>
      </c>
      <c r="F15" s="1012"/>
      <c r="G15" s="1012"/>
      <c r="H15" s="1012"/>
      <c r="I15" s="1013"/>
    </row>
    <row r="16" spans="3:9" ht="15" x14ac:dyDescent="0.2">
      <c r="C16" s="1007"/>
      <c r="D16" s="751"/>
      <c r="E16" s="946" t="s">
        <v>105</v>
      </c>
      <c r="F16" s="745" t="s">
        <v>57</v>
      </c>
      <c r="G16" s="745" t="s">
        <v>59</v>
      </c>
      <c r="H16" s="745" t="s">
        <v>60</v>
      </c>
      <c r="I16" s="745" t="s">
        <v>61</v>
      </c>
    </row>
    <row r="17" spans="3:9" ht="15" x14ac:dyDescent="0.2">
      <c r="C17" s="1007"/>
      <c r="D17" s="752">
        <v>0.9</v>
      </c>
      <c r="E17" s="948">
        <f>'Youth Res Models 2026'!J66</f>
        <v>701.56318258747126</v>
      </c>
      <c r="F17" s="748">
        <f>'Youth Res Models 2026'!Q66</f>
        <v>625.94792455189986</v>
      </c>
      <c r="G17" s="748">
        <f>'Youth Res Models 2026'!W66</f>
        <v>516.75290848243151</v>
      </c>
      <c r="H17" s="748">
        <f>'Youth Res Models 2026'!AC66</f>
        <v>409.94463599036237</v>
      </c>
      <c r="I17" s="748">
        <f>'Youth Res Models 2026'!AI66</f>
        <v>367.51557084170003</v>
      </c>
    </row>
    <row r="18" spans="3:9" ht="15" x14ac:dyDescent="0.2">
      <c r="C18" s="1007"/>
      <c r="D18" s="752">
        <v>0.85</v>
      </c>
      <c r="E18" s="948">
        <f>'Youth Res Models 2026'!J67</f>
        <v>742.83160509261666</v>
      </c>
      <c r="F18" s="748">
        <f>'Youth Res Models 2026'!Q67</f>
        <v>662.76839070201163</v>
      </c>
      <c r="G18" s="748">
        <f>'Youth Res Models 2026'!W67</f>
        <v>547.15013839316282</v>
      </c>
      <c r="H18" s="748">
        <f>'Youth Res Models 2026'!AC67</f>
        <v>434.05902634273667</v>
      </c>
      <c r="I18" s="748">
        <f>'Youth Res Models 2026'!AI67</f>
        <v>389.13413383238827</v>
      </c>
    </row>
    <row r="19" spans="3:9" ht="15" x14ac:dyDescent="0.2">
      <c r="C19" s="1007"/>
      <c r="D19" s="752">
        <v>0.8</v>
      </c>
      <c r="E19" s="948">
        <f>'Youth Res Models 2026'!J68</f>
        <v>789.25858041090521</v>
      </c>
      <c r="F19" s="748">
        <f>'Youth Res Models 2026'!Q68</f>
        <v>704.19141512088743</v>
      </c>
      <c r="G19" s="748">
        <f>'Youth Res Models 2026'!W68</f>
        <v>581.34702204273549</v>
      </c>
      <c r="H19" s="748">
        <f>'Youth Res Models 2026'!AC68</f>
        <v>461.18771548915771</v>
      </c>
      <c r="I19" s="748">
        <f>'Youth Res Models 2026'!AI68</f>
        <v>413.45501719691254</v>
      </c>
    </row>
    <row r="20" spans="3:9" ht="15" x14ac:dyDescent="0.2">
      <c r="C20" s="1007"/>
      <c r="D20" s="752">
        <v>0.75</v>
      </c>
      <c r="E20" s="948">
        <f>'Youth Res Models 2026'!J69</f>
        <v>841.87581910496556</v>
      </c>
      <c r="F20" s="748">
        <f>'Youth Res Models 2026'!Q69</f>
        <v>751.13750946227992</v>
      </c>
      <c r="G20" s="748">
        <f>'Youth Res Models 2026'!W69</f>
        <v>620.10349017891781</v>
      </c>
      <c r="H20" s="748">
        <f>'Youth Res Models 2026'!AC69</f>
        <v>491.93356318843485</v>
      </c>
      <c r="I20" s="748">
        <f>'Youth Res Models 2026'!AI69</f>
        <v>441.01868501004003</v>
      </c>
    </row>
    <row r="21" spans="3:9" ht="15" x14ac:dyDescent="0.2">
      <c r="C21" s="1007"/>
      <c r="D21" s="752">
        <v>0.7</v>
      </c>
      <c r="E21" s="948">
        <f>'Youth Res Models 2026'!J70</f>
        <v>902.00980618389167</v>
      </c>
      <c r="F21" s="748">
        <f>'Youth Res Models 2026'!Q70</f>
        <v>804.79018870958555</v>
      </c>
      <c r="G21" s="748">
        <f>'Youth Res Models 2026'!W70</f>
        <v>664.39659662026918</v>
      </c>
      <c r="H21" s="748">
        <f>'Youth Res Models 2026'!AC70</f>
        <v>527.07167484475167</v>
      </c>
      <c r="I21" s="748">
        <f>'Youth Res Models 2026'!AI70</f>
        <v>472.52001965361433</v>
      </c>
    </row>
    <row r="22" spans="3:9" ht="15" x14ac:dyDescent="0.2">
      <c r="C22" s="1007"/>
      <c r="D22" s="752">
        <v>0.65</v>
      </c>
      <c r="E22" s="948">
        <f>'Youth Res Models 2026'!J71</f>
        <v>971.39517589034483</v>
      </c>
      <c r="F22" s="748">
        <f>'Youth Res Models 2026'!Q71</f>
        <v>866.69712630263064</v>
      </c>
      <c r="G22" s="748">
        <f>'Youth Res Models 2026'!W71</f>
        <v>715.50402712952064</v>
      </c>
      <c r="H22" s="748">
        <f>'Youth Res Models 2026'!AC71</f>
        <v>567.61564983280948</v>
      </c>
      <c r="I22" s="748">
        <f>'Youth Res Models 2026'!AI71</f>
        <v>508.86771347312316</v>
      </c>
    </row>
    <row r="23" spans="3:9" ht="15" x14ac:dyDescent="0.2">
      <c r="C23" s="1007"/>
      <c r="D23" s="752">
        <v>0.6</v>
      </c>
      <c r="E23" s="948">
        <f>'Youth Res Models 2026'!J72</f>
        <v>1052.3447738812069</v>
      </c>
      <c r="F23" s="748">
        <f>'Youth Res Models 2026'!Q72</f>
        <v>938.9218868278499</v>
      </c>
      <c r="G23" s="748">
        <f>'Youth Res Models 2026'!W72</f>
        <v>775.12936272364732</v>
      </c>
      <c r="H23" s="748">
        <f>'Youth Res Models 2026'!AC72</f>
        <v>614.91695398554361</v>
      </c>
      <c r="I23" s="748">
        <f>'Youth Res Models 2026'!AI72</f>
        <v>551.27335626255001</v>
      </c>
    </row>
    <row r="24" spans="3:9" ht="15" x14ac:dyDescent="0.2">
      <c r="C24" s="1007"/>
      <c r="D24" s="752">
        <v>0.55000000000000004</v>
      </c>
      <c r="E24" s="948">
        <f>'Youth Res Models 2026'!J73</f>
        <v>1148.0124805976802</v>
      </c>
      <c r="F24" s="748">
        <f>'Youth Res Models 2026'!Q73</f>
        <v>1024.2784219940181</v>
      </c>
      <c r="G24" s="748">
        <f>'Youth Res Models 2026'!W73</f>
        <v>845.59566842579693</v>
      </c>
      <c r="H24" s="748">
        <f>'Youth Res Models 2026'!AC73</f>
        <v>670.81849525695657</v>
      </c>
      <c r="I24" s="748">
        <f>'Youth Res Models 2026'!AI73</f>
        <v>601.38911592278191</v>
      </c>
    </row>
    <row r="25" spans="3:9" ht="15" x14ac:dyDescent="0.2">
      <c r="C25" s="1007"/>
      <c r="D25" s="752">
        <v>0.5</v>
      </c>
      <c r="E25" s="948">
        <f>'Youth Res Models 2026'!J74</f>
        <v>1262.8137286574483</v>
      </c>
      <c r="F25" s="748">
        <f>'Youth Res Models 2026'!Q74</f>
        <v>1126.7062641934199</v>
      </c>
      <c r="G25" s="748">
        <f>'Youth Res Models 2026'!W74</f>
        <v>930.15523526837671</v>
      </c>
      <c r="H25" s="748">
        <f>'Youth Res Models 2026'!AC74</f>
        <v>737.90034478265227</v>
      </c>
      <c r="I25" s="748">
        <f>'Youth Res Models 2026'!AI74</f>
        <v>661.5280275150601</v>
      </c>
    </row>
    <row r="26" spans="3:9" ht="15.75" x14ac:dyDescent="0.2">
      <c r="C26" s="749"/>
      <c r="D26" s="750"/>
      <c r="E26" s="750"/>
      <c r="F26" s="745"/>
      <c r="G26" s="745"/>
      <c r="H26" s="745"/>
      <c r="I26" s="745"/>
    </row>
    <row r="27" spans="3:9" ht="14.45" customHeight="1" x14ac:dyDescent="0.2">
      <c r="C27" s="1007" t="s">
        <v>102</v>
      </c>
      <c r="D27" s="743" t="s">
        <v>447</v>
      </c>
      <c r="E27" s="1011" t="s">
        <v>448</v>
      </c>
      <c r="F27" s="1012"/>
      <c r="G27" s="1012"/>
      <c r="H27" s="1012"/>
      <c r="I27" s="1013"/>
    </row>
    <row r="28" spans="3:9" ht="15" x14ac:dyDescent="0.2">
      <c r="C28" s="1007"/>
      <c r="D28" s="751"/>
      <c r="E28" s="946" t="s">
        <v>105</v>
      </c>
      <c r="F28" s="745" t="s">
        <v>57</v>
      </c>
      <c r="G28" s="745" t="s">
        <v>59</v>
      </c>
      <c r="H28" s="745" t="s">
        <v>60</v>
      </c>
      <c r="I28" s="745" t="s">
        <v>61</v>
      </c>
    </row>
    <row r="29" spans="3:9" ht="15" x14ac:dyDescent="0.2">
      <c r="C29" s="1007"/>
      <c r="D29" s="752">
        <v>0.9</v>
      </c>
      <c r="E29" s="948">
        <f>'Youth Res Models 2026'!J103</f>
        <v>693.88974768145749</v>
      </c>
      <c r="F29" s="748">
        <f>'Youth Res Models 2026'!Q103</f>
        <v>618.27448957824345</v>
      </c>
      <c r="G29" s="748">
        <f>'Youth Res Models 2026'!W103</f>
        <v>509.07947328101653</v>
      </c>
      <c r="H29" s="748">
        <f>'Youth Res Models 2026'!AC103</f>
        <v>402.27119957375925</v>
      </c>
      <c r="I29" s="748">
        <f>'Youth Res Models 2026'!AI103</f>
        <v>381.49394798116305</v>
      </c>
    </row>
    <row r="30" spans="3:9" ht="15" x14ac:dyDescent="0.2">
      <c r="C30" s="1007"/>
      <c r="D30" s="752">
        <v>0.85</v>
      </c>
      <c r="E30" s="948">
        <f>'Youth Res Models 2026'!J104</f>
        <v>734.70679166271975</v>
      </c>
      <c r="F30" s="748">
        <f>'Youth Res Models 2026'!Q104</f>
        <v>654.64357720049304</v>
      </c>
      <c r="G30" s="748">
        <f>'Youth Res Models 2026'!W104</f>
        <v>539.02532465048807</v>
      </c>
      <c r="H30" s="748">
        <f>'Youth Res Models 2026'!AC104</f>
        <v>425.93421131339215</v>
      </c>
      <c r="I30" s="748">
        <f>'Youth Res Models 2026'!AI104</f>
        <v>403.93476845064322</v>
      </c>
    </row>
    <row r="31" spans="3:9" ht="15" x14ac:dyDescent="0.2">
      <c r="C31" s="1007"/>
      <c r="D31" s="752">
        <v>0.8</v>
      </c>
      <c r="E31" s="948">
        <f>'Youth Res Models 2026'!J105</f>
        <v>780.62596614163976</v>
      </c>
      <c r="F31" s="748">
        <f>'Youth Res Models 2026'!Q105</f>
        <v>695.55880077552388</v>
      </c>
      <c r="G31" s="748">
        <f>'Youth Res Models 2026'!W105</f>
        <v>572.71440744114363</v>
      </c>
      <c r="H31" s="748">
        <f>'Youth Res Models 2026'!AC105</f>
        <v>452.55509952047913</v>
      </c>
      <c r="I31" s="748">
        <f>'Youth Res Models 2026'!AI105</f>
        <v>429.1806914788084</v>
      </c>
    </row>
    <row r="32" spans="3:9" ht="15" x14ac:dyDescent="0.2">
      <c r="C32" s="1007"/>
      <c r="D32" s="752">
        <v>0.75</v>
      </c>
      <c r="E32" s="948">
        <f>'Youth Res Models 2026'!J106</f>
        <v>832.66769721774904</v>
      </c>
      <c r="F32" s="748">
        <f>'Youth Res Models 2026'!Q106</f>
        <v>741.92938749389214</v>
      </c>
      <c r="G32" s="748">
        <f>'Youth Res Models 2026'!W106</f>
        <v>610.89536793721982</v>
      </c>
      <c r="H32" s="748">
        <f>'Youth Res Models 2026'!AC106</f>
        <v>482.72543948851109</v>
      </c>
      <c r="I32" s="748">
        <f>'Youth Res Models 2026'!AI106</f>
        <v>457.7927375773956</v>
      </c>
    </row>
    <row r="33" spans="3:9" ht="15" x14ac:dyDescent="0.2">
      <c r="C33" s="1007"/>
      <c r="D33" s="752">
        <v>0.7</v>
      </c>
      <c r="E33" s="948">
        <f>'Youth Res Models 2026'!J107</f>
        <v>892.14396130473108</v>
      </c>
      <c r="F33" s="748">
        <f>'Youth Res Models 2026'!Q107</f>
        <v>794.92434374345589</v>
      </c>
      <c r="G33" s="748">
        <f>'Youth Res Models 2026'!W107</f>
        <v>654.53075136130701</v>
      </c>
      <c r="H33" s="748">
        <f>'Youth Res Models 2026'!AC107</f>
        <v>517.20582802340471</v>
      </c>
      <c r="I33" s="748">
        <f>'Youth Res Models 2026'!AI107</f>
        <v>490.49221883292387</v>
      </c>
    </row>
    <row r="34" spans="3:9" ht="15" x14ac:dyDescent="0.2">
      <c r="C34" s="1007"/>
      <c r="D34" s="752">
        <v>0.65</v>
      </c>
      <c r="E34" s="948">
        <f>'Youth Res Models 2026'!J108</f>
        <v>960.77041986663346</v>
      </c>
      <c r="F34" s="748">
        <f>'Youth Res Models 2026'!Q108</f>
        <v>856.07237018526018</v>
      </c>
      <c r="G34" s="748">
        <f>'Youth Res Models 2026'!W108</f>
        <v>704.8792706967921</v>
      </c>
      <c r="H34" s="748">
        <f>'Youth Res Models 2026'!AC108</f>
        <v>556.9908917175128</v>
      </c>
      <c r="I34" s="748">
        <f>'Youth Res Models 2026'!AI108</f>
        <v>528.22238951237955</v>
      </c>
    </row>
    <row r="35" spans="3:9" ht="15" x14ac:dyDescent="0.2">
      <c r="C35" s="1007"/>
      <c r="D35" s="752">
        <v>0.6</v>
      </c>
      <c r="E35" s="948">
        <f>'Youth Res Models 2026'!J109</f>
        <v>1040.8346215221864</v>
      </c>
      <c r="F35" s="748">
        <f>'Youth Res Models 2026'!Q109</f>
        <v>927.41173436736517</v>
      </c>
      <c r="G35" s="748">
        <f>'Youth Res Models 2026'!W109</f>
        <v>763.61920992152477</v>
      </c>
      <c r="H35" s="748">
        <f>'Youth Res Models 2026'!AC109</f>
        <v>603.40679936063884</v>
      </c>
      <c r="I35" s="748">
        <f>'Youth Res Models 2026'!AI109</f>
        <v>572.24092197174457</v>
      </c>
    </row>
    <row r="36" spans="3:9" ht="15" x14ac:dyDescent="0.2">
      <c r="C36" s="1007"/>
      <c r="D36" s="752">
        <v>0.55000000000000004</v>
      </c>
      <c r="E36" s="948">
        <f>'Youth Res Models 2026'!J110</f>
        <v>1135.4559507514757</v>
      </c>
      <c r="F36" s="748">
        <f>'Youth Res Models 2026'!Q110</f>
        <v>1011.7218920371256</v>
      </c>
      <c r="G36" s="748">
        <f>'Youth Res Models 2026'!W110</f>
        <v>833.03913809620883</v>
      </c>
      <c r="H36" s="748">
        <f>'Youth Res Models 2026'!AC110</f>
        <v>658.2619629388787</v>
      </c>
      <c r="I36" s="748">
        <f>'Youth Res Models 2026'!AI110</f>
        <v>624.26282396917588</v>
      </c>
    </row>
    <row r="37" spans="3:9" ht="15" x14ac:dyDescent="0.2">
      <c r="C37" s="1007"/>
      <c r="D37" s="752">
        <v>0.5</v>
      </c>
      <c r="E37" s="948">
        <f>'Youth Res Models 2026'!J111</f>
        <v>1249.0015458266234</v>
      </c>
      <c r="F37" s="748">
        <f>'Youth Res Models 2026'!Q111</f>
        <v>1112.8940812408382</v>
      </c>
      <c r="G37" s="748">
        <f>'Youth Res Models 2026'!W111</f>
        <v>916.34305190582984</v>
      </c>
      <c r="H37" s="748">
        <f>'Youth Res Models 2026'!AC111</f>
        <v>724.08815923276666</v>
      </c>
      <c r="I37" s="748">
        <f>'Youth Res Models 2026'!AI111</f>
        <v>686.68910636609348</v>
      </c>
    </row>
    <row r="38" spans="3:9" ht="15.75" x14ac:dyDescent="0.2">
      <c r="C38" s="749"/>
      <c r="D38" s="750"/>
      <c r="E38" s="750"/>
      <c r="F38" s="745"/>
      <c r="G38" s="745"/>
      <c r="H38" s="745"/>
      <c r="I38" s="745"/>
    </row>
    <row r="39" spans="3:9" ht="28.15" customHeight="1" x14ac:dyDescent="0.2">
      <c r="C39" s="1007" t="s">
        <v>449</v>
      </c>
      <c r="D39" s="743" t="s">
        <v>447</v>
      </c>
      <c r="E39" s="1011" t="s">
        <v>448</v>
      </c>
      <c r="F39" s="1012"/>
      <c r="G39" s="1012"/>
      <c r="H39" s="1012"/>
      <c r="I39" s="1013"/>
    </row>
    <row r="40" spans="3:9" ht="15" x14ac:dyDescent="0.2">
      <c r="C40" s="1007"/>
      <c r="D40" s="751"/>
      <c r="E40" s="946" t="s">
        <v>105</v>
      </c>
      <c r="F40" s="745" t="s">
        <v>57</v>
      </c>
      <c r="G40" s="745" t="s">
        <v>59</v>
      </c>
      <c r="H40" s="745" t="s">
        <v>60</v>
      </c>
      <c r="I40" s="745" t="s">
        <v>61</v>
      </c>
    </row>
    <row r="41" spans="3:9" ht="15" x14ac:dyDescent="0.2">
      <c r="C41" s="1007"/>
      <c r="D41" s="752">
        <v>0.9</v>
      </c>
      <c r="E41" s="948">
        <f>'Youth Res Models 2026'!J139</f>
        <v>615.18427701674284</v>
      </c>
      <c r="F41" s="748">
        <f>'Youth Res Models 2026'!Q139</f>
        <v>578.93616433231171</v>
      </c>
      <c r="G41" s="748">
        <f>'Youth Res Models 2026'!W139</f>
        <v>480.65436124796935</v>
      </c>
      <c r="H41" s="748">
        <f>'Youth Res Models 2026'!AC139</f>
        <v>380.28339041748757</v>
      </c>
      <c r="I41" s="748">
        <f>'Youth Res Models 2026'!AI139</f>
        <v>360.51350951458733</v>
      </c>
    </row>
    <row r="42" spans="3:9" ht="15" x14ac:dyDescent="0.2">
      <c r="C42" s="1007"/>
      <c r="D42" s="752">
        <v>0.85</v>
      </c>
      <c r="E42" s="948">
        <f>'Youth Res Models 2026'!J140</f>
        <v>651.37158742949237</v>
      </c>
      <c r="F42" s="748">
        <f>'Youth Res Models 2026'!Q140</f>
        <v>612.99123282244773</v>
      </c>
      <c r="G42" s="748">
        <f>'Youth Res Models 2026'!W140</f>
        <v>508.92814720373224</v>
      </c>
      <c r="H42" s="748">
        <f>'Youth Res Models 2026'!AC140</f>
        <v>402.65300161851627</v>
      </c>
      <c r="I42" s="748">
        <f>'Youth Res Models 2026'!AI140</f>
        <v>381.72018654485714</v>
      </c>
    </row>
    <row r="43" spans="3:9" ht="15" x14ac:dyDescent="0.2">
      <c r="C43" s="1007"/>
      <c r="D43" s="752">
        <v>0.8</v>
      </c>
      <c r="E43" s="948">
        <f>'Youth Res Models 2026'!J141</f>
        <v>692.08231164383562</v>
      </c>
      <c r="F43" s="748">
        <f>'Youth Res Models 2026'!Q141</f>
        <v>651.30318487385068</v>
      </c>
      <c r="G43" s="748">
        <f>'Youth Res Models 2026'!W141</f>
        <v>540.73615640396554</v>
      </c>
      <c r="H43" s="748">
        <f>'Youth Res Models 2026'!AC141</f>
        <v>427.81881421967353</v>
      </c>
      <c r="I43" s="748">
        <f>'Youth Res Models 2026'!AI141</f>
        <v>405.57769820391076</v>
      </c>
    </row>
    <row r="44" spans="3:9" ht="15" x14ac:dyDescent="0.2">
      <c r="C44" s="1007"/>
      <c r="D44" s="752">
        <v>0.75</v>
      </c>
      <c r="E44" s="948">
        <f>'Youth Res Models 2026'!J142</f>
        <v>738.22113242009141</v>
      </c>
      <c r="F44" s="748">
        <f>'Youth Res Models 2026'!Q142</f>
        <v>694.72339719877402</v>
      </c>
      <c r="G44" s="748">
        <f>'Youth Res Models 2026'!W142</f>
        <v>576.78523349756324</v>
      </c>
      <c r="H44" s="748">
        <f>'Youth Res Models 2026'!AC142</f>
        <v>456.34006850098513</v>
      </c>
      <c r="I44" s="748">
        <f>'Youth Res Models 2026'!AI142</f>
        <v>432.61621141750476</v>
      </c>
    </row>
    <row r="45" spans="3:9" ht="15" x14ac:dyDescent="0.2">
      <c r="C45" s="1007"/>
      <c r="D45" s="752">
        <v>0.7</v>
      </c>
      <c r="E45" s="948">
        <f>'Youth Res Models 2026'!J143</f>
        <v>790.95121330724078</v>
      </c>
      <c r="F45" s="748">
        <f>'Youth Res Models 2026'!Q143</f>
        <v>744.34649699868646</v>
      </c>
      <c r="G45" s="748">
        <f>'Youth Res Models 2026'!W143</f>
        <v>617.98417874738925</v>
      </c>
      <c r="H45" s="748">
        <f>'Youth Res Models 2026'!AC143</f>
        <v>488.93578767962691</v>
      </c>
      <c r="I45" s="748">
        <f>'Youth Res Models 2026'!AI143</f>
        <v>463.517369375898</v>
      </c>
    </row>
    <row r="46" spans="3:9" ht="15" x14ac:dyDescent="0.2">
      <c r="C46" s="1007"/>
      <c r="D46" s="752">
        <v>0.65</v>
      </c>
      <c r="E46" s="948">
        <f>'Youth Res Models 2026'!J144</f>
        <v>851.79361433087468</v>
      </c>
      <c r="F46" s="748">
        <f>'Youth Res Models 2026'!Q144</f>
        <v>801.60391984473927</v>
      </c>
      <c r="G46" s="748">
        <f>'Youth Res Models 2026'!W144</f>
        <v>665.52142326641911</v>
      </c>
      <c r="H46" s="748">
        <f>'Youth Res Models 2026'!AC144</f>
        <v>526.54623288575203</v>
      </c>
      <c r="I46" s="748">
        <f>'Youth Res Models 2026'!AI144</f>
        <v>499.17255163558241</v>
      </c>
    </row>
    <row r="47" spans="3:9" ht="15" x14ac:dyDescent="0.2">
      <c r="C47" s="1007"/>
      <c r="D47" s="752">
        <v>0.6</v>
      </c>
      <c r="E47" s="948">
        <f>'Youth Res Models 2026'!J145</f>
        <v>922.7764155251142</v>
      </c>
      <c r="F47" s="748">
        <f>'Youth Res Models 2026'!Q145</f>
        <v>868.4042464984675</v>
      </c>
      <c r="G47" s="748">
        <f>'Youth Res Models 2026'!W145</f>
        <v>720.98154187195405</v>
      </c>
      <c r="H47" s="748">
        <f>'Youth Res Models 2026'!AC145</f>
        <v>570.42508562623141</v>
      </c>
      <c r="I47" s="748">
        <f>'Youth Res Models 2026'!AI145</f>
        <v>540.77026427188093</v>
      </c>
    </row>
    <row r="48" spans="3:9" ht="15" x14ac:dyDescent="0.2">
      <c r="C48" s="1007"/>
      <c r="D48" s="752">
        <v>0.55000000000000004</v>
      </c>
      <c r="E48" s="948">
        <f>'Youth Res Models 2026'!J146</f>
        <v>1006.6651805728517</v>
      </c>
      <c r="F48" s="748">
        <f>'Youth Res Models 2026'!Q146</f>
        <v>947.35008708923738</v>
      </c>
      <c r="G48" s="748">
        <f>'Youth Res Models 2026'!W146</f>
        <v>786.52531840576796</v>
      </c>
      <c r="H48" s="748">
        <f>'Youth Res Models 2026'!AC146</f>
        <v>622.2819115922523</v>
      </c>
      <c r="I48" s="748">
        <f>'Youth Res Models 2026'!AI146</f>
        <v>589.93119738750647</v>
      </c>
    </row>
    <row r="49" spans="3:9" ht="15" x14ac:dyDescent="0.2">
      <c r="C49" s="1007"/>
      <c r="D49" s="752">
        <v>0.5</v>
      </c>
      <c r="E49" s="948">
        <f>'Youth Res Models 2026'!J147</f>
        <v>1107.331698630137</v>
      </c>
      <c r="F49" s="748">
        <f>'Youth Res Models 2026'!Q147</f>
        <v>1042.0850957981611</v>
      </c>
      <c r="G49" s="748">
        <f>'Youth Res Models 2026'!W147</f>
        <v>865.17785024634486</v>
      </c>
      <c r="H49" s="748">
        <f>'Youth Res Models 2026'!AC147</f>
        <v>684.51010275147769</v>
      </c>
      <c r="I49" s="748">
        <f>'Youth Res Models 2026'!AI147</f>
        <v>648.92431712625717</v>
      </c>
    </row>
    <row r="50" spans="3:9" ht="15.75" x14ac:dyDescent="0.2">
      <c r="C50" s="749"/>
      <c r="D50" s="750"/>
      <c r="E50" s="748"/>
      <c r="F50" s="745"/>
      <c r="G50" s="745"/>
      <c r="H50" s="745"/>
    </row>
    <row r="51" spans="3:9" ht="28.15" customHeight="1" x14ac:dyDescent="0.2">
      <c r="C51" s="1007" t="s">
        <v>450</v>
      </c>
      <c r="D51" s="743" t="s">
        <v>447</v>
      </c>
      <c r="E51" s="745" t="s">
        <v>448</v>
      </c>
      <c r="F51" s="745"/>
      <c r="G51" s="745"/>
      <c r="H51" s="745"/>
    </row>
    <row r="52" spans="3:9" ht="15" x14ac:dyDescent="0.2">
      <c r="C52" s="1007"/>
      <c r="D52" s="743"/>
      <c r="E52" s="745" t="s">
        <v>105</v>
      </c>
      <c r="F52" s="745" t="s">
        <v>57</v>
      </c>
      <c r="G52" s="745" t="s">
        <v>59</v>
      </c>
      <c r="H52" s="745" t="s">
        <v>60</v>
      </c>
    </row>
    <row r="53" spans="3:9" ht="15" x14ac:dyDescent="0.2">
      <c r="C53" s="1007"/>
      <c r="D53" s="752">
        <v>0.9</v>
      </c>
      <c r="E53" s="748">
        <f>'TILP Models (A&amp;B) 2026'!F27</f>
        <v>493.50174476633538</v>
      </c>
      <c r="F53" s="748">
        <f>'TILP Models (A&amp;B) 2026'!L27</f>
        <v>449.54980051800032</v>
      </c>
      <c r="G53" s="748">
        <f>'TILP Models (A&amp;B) 2026'!R27</f>
        <v>444.30007579984067</v>
      </c>
      <c r="H53" s="748">
        <f>'TILP Models (A&amp;B) 2026'!X27</f>
        <v>423.35001400783341</v>
      </c>
    </row>
    <row r="54" spans="3:9" ht="15" x14ac:dyDescent="0.2">
      <c r="C54" s="1007"/>
      <c r="D54" s="752">
        <v>0.85</v>
      </c>
      <c r="E54" s="748">
        <f>'TILP Models (A&amp;B) 2026'!F28</f>
        <v>522.53125916435511</v>
      </c>
      <c r="F54" s="748">
        <f>'TILP Models (A&amp;B) 2026'!L28</f>
        <v>475.99390643082387</v>
      </c>
      <c r="G54" s="748">
        <f>'TILP Models (A&amp;B) 2026'!R28</f>
        <v>470.43537437630187</v>
      </c>
      <c r="H54" s="748">
        <f>'TILP Models (A&amp;B) 2026'!X28</f>
        <v>448.25295600829418</v>
      </c>
    </row>
    <row r="55" spans="3:9" ht="15" x14ac:dyDescent="0.2">
      <c r="C55" s="1007"/>
      <c r="D55" s="752">
        <v>0.8</v>
      </c>
      <c r="E55" s="748">
        <f>'TILP Models (A&amp;B) 2026'!F29</f>
        <v>555.18946286212736</v>
      </c>
      <c r="F55" s="748">
        <f>'TILP Models (A&amp;B) 2026'!L29</f>
        <v>505.74352558275035</v>
      </c>
      <c r="G55" s="748">
        <f>'TILP Models (A&amp;B) 2026'!R29</f>
        <v>499.83758527482075</v>
      </c>
      <c r="H55" s="748">
        <f>'TILP Models (A&amp;B) 2026'!X29</f>
        <v>476.26876575881255</v>
      </c>
    </row>
    <row r="56" spans="3:9" ht="15" x14ac:dyDescent="0.2">
      <c r="C56" s="1007"/>
      <c r="D56" s="752">
        <v>0.75</v>
      </c>
      <c r="E56" s="748">
        <f>'TILP Models (A&amp;B) 2026'!F30</f>
        <v>592.20209371960243</v>
      </c>
      <c r="F56" s="748">
        <f>'TILP Models (A&amp;B) 2026'!L30</f>
        <v>539.45976062160037</v>
      </c>
      <c r="G56" s="748">
        <f>'TILP Models (A&amp;B) 2026'!R30</f>
        <v>533.16009095980883</v>
      </c>
      <c r="H56" s="748">
        <f>'TILP Models (A&amp;B) 2026'!X30</f>
        <v>508.02001680940009</v>
      </c>
    </row>
    <row r="57" spans="3:9" ht="15" x14ac:dyDescent="0.2">
      <c r="C57" s="1007"/>
      <c r="D57" s="752">
        <v>0.7</v>
      </c>
      <c r="E57" s="748">
        <f>'TILP Models (A&amp;B) 2026'!F31</f>
        <v>634.50224327100273</v>
      </c>
      <c r="F57" s="748">
        <f>'TILP Models (A&amp;B) 2026'!L31</f>
        <v>577.99260066600038</v>
      </c>
      <c r="G57" s="748">
        <f>'TILP Models (A&amp;B) 2026'!R31</f>
        <v>571.24295459979521</v>
      </c>
      <c r="H57" s="748">
        <f>'TILP Models (A&amp;B) 2026'!X31</f>
        <v>544.30716086721441</v>
      </c>
    </row>
    <row r="58" spans="3:9" ht="15" x14ac:dyDescent="0.2">
      <c r="C58" s="1007"/>
      <c r="D58" s="752">
        <v>0.65</v>
      </c>
      <c r="E58" s="748">
        <f>'TILP Models (A&amp;B) 2026'!F32</f>
        <v>683.31010813800287</v>
      </c>
      <c r="F58" s="748">
        <f>'TILP Models (A&amp;B) 2026'!L32</f>
        <v>622.45356994800045</v>
      </c>
      <c r="G58" s="748">
        <f>'TILP Models (A&amp;B) 2026'!R32</f>
        <v>615.18472033824094</v>
      </c>
      <c r="H58" s="748">
        <f>'TILP Models (A&amp;B) 2026'!X32</f>
        <v>586.17694247238467</v>
      </c>
    </row>
    <row r="59" spans="3:9" ht="15" x14ac:dyDescent="0.2">
      <c r="C59" s="1007"/>
      <c r="D59" s="752">
        <v>0.6</v>
      </c>
      <c r="E59" s="748">
        <f>'TILP Models (A&amp;B) 2026'!F33</f>
        <v>740.25261714950307</v>
      </c>
      <c r="F59" s="748">
        <f>'TILP Models (A&amp;B) 2026'!L33</f>
        <v>674.32470077700043</v>
      </c>
      <c r="G59" s="748">
        <f>'TILP Models (A&amp;B) 2026'!R33</f>
        <v>666.450113699761</v>
      </c>
      <c r="H59" s="748">
        <f>'TILP Models (A&amp;B) 2026'!X33</f>
        <v>635.02502101175014</v>
      </c>
    </row>
    <row r="60" spans="3:9" ht="15" x14ac:dyDescent="0.2">
      <c r="C60" s="1007"/>
      <c r="D60" s="752">
        <v>0.55000000000000004</v>
      </c>
      <c r="E60" s="748">
        <f>'TILP Models (A&amp;B) 2026'!F34</f>
        <v>807.54830961763957</v>
      </c>
      <c r="F60" s="748">
        <f>'TILP Models (A&amp;B) 2026'!L34</f>
        <v>735.62694630218232</v>
      </c>
      <c r="G60" s="748">
        <f>'TILP Models (A&amp;B) 2026'!R34</f>
        <v>727.03648767246636</v>
      </c>
      <c r="H60" s="748">
        <f>'TILP Models (A&amp;B) 2026'!X34</f>
        <v>692.75456837645459</v>
      </c>
    </row>
    <row r="61" spans="3:9" ht="15" x14ac:dyDescent="0.2">
      <c r="C61" s="1007"/>
      <c r="D61" s="752">
        <v>0.5</v>
      </c>
      <c r="E61" s="748">
        <f>'TILP Models (A&amp;B) 2026'!F35</f>
        <v>888.3031405794037</v>
      </c>
      <c r="F61" s="748">
        <f>'TILP Models (A&amp;B) 2026'!L35</f>
        <v>809.18964093240061</v>
      </c>
      <c r="G61" s="748">
        <f>'TILP Models (A&amp;B) 2026'!R35</f>
        <v>799.74013643971318</v>
      </c>
      <c r="H61" s="748">
        <f>'TILP Models (A&amp;B) 2026'!X35</f>
        <v>762.03002521410008</v>
      </c>
    </row>
    <row r="62" spans="3:9" ht="15.75" x14ac:dyDescent="0.2">
      <c r="C62" s="749"/>
      <c r="D62" s="750"/>
      <c r="E62" s="745"/>
      <c r="F62" s="745"/>
      <c r="G62" s="745"/>
      <c r="H62" s="745"/>
    </row>
    <row r="63" spans="3:9" ht="28.15" customHeight="1" x14ac:dyDescent="0.2">
      <c r="C63" s="1007" t="s">
        <v>451</v>
      </c>
      <c r="D63" s="753" t="s">
        <v>447</v>
      </c>
      <c r="E63" s="745" t="s">
        <v>448</v>
      </c>
      <c r="F63" s="745"/>
      <c r="G63" s="745"/>
      <c r="H63" s="745"/>
    </row>
    <row r="64" spans="3:9" ht="15" x14ac:dyDescent="0.2">
      <c r="C64" s="1007"/>
      <c r="D64" s="753"/>
      <c r="E64" s="745" t="s">
        <v>105</v>
      </c>
      <c r="F64" s="745" t="s">
        <v>57</v>
      </c>
      <c r="G64" s="745" t="s">
        <v>59</v>
      </c>
      <c r="H64" s="745" t="s">
        <v>60</v>
      </c>
    </row>
    <row r="65" spans="3:9" ht="15" x14ac:dyDescent="0.2">
      <c r="C65" s="1007"/>
      <c r="D65" s="752">
        <v>0.9</v>
      </c>
      <c r="E65" s="748">
        <f>'TILP Models (A&amp;B) 2026'!F60</f>
        <v>192.76475427379611</v>
      </c>
      <c r="F65" s="748">
        <f>'TILP Models (A&amp;B) 2026'!L60</f>
        <v>136.33620231100593</v>
      </c>
      <c r="G65" s="748">
        <f>'TILP Models (A&amp;B) 2026'!R60</f>
        <v>151.79683636751153</v>
      </c>
      <c r="H65" s="748">
        <f>'TILP Models (A&amp;B) 2026'!X60</f>
        <v>136.3096120251931</v>
      </c>
    </row>
    <row r="66" spans="3:9" ht="15" x14ac:dyDescent="0.2">
      <c r="C66" s="1007"/>
      <c r="D66" s="752">
        <v>0.85</v>
      </c>
      <c r="E66" s="748">
        <f>'TILP Models (A&amp;B) 2026'!F61</f>
        <v>204.10385746637238</v>
      </c>
      <c r="F66" s="748">
        <f>'TILP Models (A&amp;B) 2026'!L61</f>
        <v>144.35597891753571</v>
      </c>
      <c r="G66" s="748">
        <f>'TILP Models (A&amp;B) 2026'!R61</f>
        <v>160.72606203618867</v>
      </c>
      <c r="H66" s="748">
        <f>'TILP Models (A&amp;B) 2026'!X61</f>
        <v>144.32782449726329</v>
      </c>
    </row>
    <row r="67" spans="3:9" ht="15" x14ac:dyDescent="0.2">
      <c r="C67" s="1007"/>
      <c r="D67" s="752">
        <v>0.8</v>
      </c>
      <c r="E67" s="748">
        <f>'TILP Models (A&amp;B) 2026'!F62</f>
        <v>216.86034855802063</v>
      </c>
      <c r="F67" s="748">
        <f>'TILP Models (A&amp;B) 2026'!L62</f>
        <v>153.37822759988168</v>
      </c>
      <c r="G67" s="748">
        <f>'TILP Models (A&amp;B) 2026'!R62</f>
        <v>170.77144091345045</v>
      </c>
      <c r="H67" s="748">
        <f>'TILP Models (A&amp;B) 2026'!X62</f>
        <v>153.34831352834226</v>
      </c>
    </row>
    <row r="68" spans="3:9" ht="15" x14ac:dyDescent="0.2">
      <c r="C68" s="1007"/>
      <c r="D68" s="752">
        <v>0.75</v>
      </c>
      <c r="E68" s="748">
        <f>'TILP Models (A&amp;B) 2026'!F63</f>
        <v>231.31770512855536</v>
      </c>
      <c r="F68" s="748">
        <f>'TILP Models (A&amp;B) 2026'!L63</f>
        <v>163.60344277320712</v>
      </c>
      <c r="G68" s="748">
        <f>'TILP Models (A&amp;B) 2026'!R63</f>
        <v>182.15620364101383</v>
      </c>
      <c r="H68" s="748">
        <f>'TILP Models (A&amp;B) 2026'!X63</f>
        <v>163.57153443023174</v>
      </c>
    </row>
    <row r="69" spans="3:9" ht="15" x14ac:dyDescent="0.2">
      <c r="C69" s="1007"/>
      <c r="D69" s="752">
        <v>0.7</v>
      </c>
      <c r="E69" s="748">
        <f>'TILP Models (A&amp;B) 2026'!F64</f>
        <v>247.84039835202358</v>
      </c>
      <c r="F69" s="748">
        <f>'TILP Models (A&amp;B) 2026'!L64</f>
        <v>175.28940297129336</v>
      </c>
      <c r="G69" s="748">
        <f>'TILP Models (A&amp;B) 2026'!R64</f>
        <v>195.1673610439434</v>
      </c>
      <c r="H69" s="748">
        <f>'TILP Models (A&amp;B) 2026'!X64</f>
        <v>175.25521546096257</v>
      </c>
    </row>
    <row r="70" spans="3:9" ht="15" x14ac:dyDescent="0.2">
      <c r="C70" s="1007"/>
      <c r="D70" s="752">
        <v>0.65</v>
      </c>
      <c r="E70" s="748">
        <f>'TILP Models (A&amp;B) 2026'!F65</f>
        <v>266.90504437910232</v>
      </c>
      <c r="F70" s="748">
        <f>'TILP Models (A&amp;B) 2026'!L65</f>
        <v>188.77320319985438</v>
      </c>
      <c r="G70" s="748">
        <f>'TILP Models (A&amp;B) 2026'!R65</f>
        <v>210.18023497040056</v>
      </c>
      <c r="H70" s="748">
        <f>'TILP Models (A&amp;B) 2026'!X65</f>
        <v>188.73638588103663</v>
      </c>
    </row>
    <row r="71" spans="3:9" ht="15" x14ac:dyDescent="0.2">
      <c r="C71" s="1007"/>
      <c r="D71" s="752">
        <v>0.6</v>
      </c>
      <c r="E71" s="748">
        <f>'TILP Models (A&amp;B) 2026'!F66</f>
        <v>289.14713141069421</v>
      </c>
      <c r="F71" s="748">
        <f>'TILP Models (A&amp;B) 2026'!L66</f>
        <v>204.5043034665089</v>
      </c>
      <c r="G71" s="748">
        <f>'TILP Models (A&amp;B) 2026'!R66</f>
        <v>227.69525455126728</v>
      </c>
      <c r="H71" s="748">
        <f>'TILP Models (A&amp;B) 2026'!X66</f>
        <v>204.46441803778967</v>
      </c>
    </row>
    <row r="72" spans="3:9" ht="15" x14ac:dyDescent="0.2">
      <c r="C72" s="1007"/>
      <c r="D72" s="752">
        <v>0.55000000000000004</v>
      </c>
      <c r="E72" s="748">
        <f>'TILP Models (A&amp;B) 2026'!F67</f>
        <v>315.4332342662118</v>
      </c>
      <c r="F72" s="748">
        <f>'TILP Models (A&amp;B) 2026'!L67</f>
        <v>223.09560378164605</v>
      </c>
      <c r="G72" s="748">
        <f>'TILP Models (A&amp;B) 2026'!R67</f>
        <v>248.39482314683698</v>
      </c>
      <c r="H72" s="748">
        <f>'TILP Models (A&amp;B) 2026'!X67</f>
        <v>223.05209240486144</v>
      </c>
    </row>
    <row r="73" spans="3:9" ht="15" x14ac:dyDescent="0.2">
      <c r="C73" s="1007"/>
      <c r="D73" s="752">
        <v>0.5</v>
      </c>
      <c r="E73" s="748">
        <f>'TILP Models (A&amp;B) 2026'!F68</f>
        <v>346.97655769283301</v>
      </c>
      <c r="F73" s="748">
        <f>'TILP Models (A&amp;B) 2026'!L68</f>
        <v>245.40516415981068</v>
      </c>
      <c r="G73" s="748">
        <f>'TILP Models (A&amp;B) 2026'!R68</f>
        <v>273.23430546152076</v>
      </c>
      <c r="H73" s="748">
        <f>'TILP Models (A&amp;B) 2026'!X68</f>
        <v>245.3573016453476</v>
      </c>
    </row>
    <row r="74" spans="3:9" x14ac:dyDescent="0.2">
      <c r="C74" s="754"/>
      <c r="D74" s="745"/>
      <c r="E74" s="745"/>
      <c r="F74" s="745"/>
      <c r="G74" s="745"/>
      <c r="H74" s="745"/>
    </row>
    <row r="75" spans="3:9" ht="15" thickBot="1" x14ac:dyDescent="0.25"/>
    <row r="76" spans="3:9" ht="15.75" thickBot="1" x14ac:dyDescent="0.25">
      <c r="C76" s="1017" t="s">
        <v>528</v>
      </c>
      <c r="D76" s="1018"/>
      <c r="E76" s="1018"/>
      <c r="F76" s="1019"/>
    </row>
    <row r="77" spans="3:9" ht="15.75" thickBot="1" x14ac:dyDescent="0.3">
      <c r="C77" s="755"/>
      <c r="D77" s="756"/>
      <c r="E77" s="741"/>
      <c r="F77" s="815" t="s">
        <v>542</v>
      </c>
    </row>
    <row r="78" spans="3:9" ht="28.5" customHeight="1" thickBot="1" x14ac:dyDescent="0.25">
      <c r="C78" s="811" t="s">
        <v>76</v>
      </c>
      <c r="D78" s="757"/>
      <c r="E78" s="758" t="s">
        <v>128</v>
      </c>
      <c r="F78" s="955">
        <v>37.69</v>
      </c>
      <c r="I78" s="909"/>
    </row>
    <row r="79" spans="3:9" ht="33" customHeight="1" thickBot="1" x14ac:dyDescent="0.25">
      <c r="C79" s="811" t="s">
        <v>129</v>
      </c>
      <c r="D79" s="757"/>
      <c r="E79" s="759" t="s">
        <v>128</v>
      </c>
      <c r="F79" s="956">
        <f>' Add-Ons (DC &amp; Clinical 2026'!E56</f>
        <v>30.642827143240204</v>
      </c>
    </row>
    <row r="80" spans="3:9" ht="28.5" customHeight="1" thickBot="1" x14ac:dyDescent="0.25">
      <c r="C80" s="816" t="s">
        <v>73</v>
      </c>
      <c r="D80" s="817"/>
      <c r="E80" s="818" t="s">
        <v>128</v>
      </c>
      <c r="F80" s="957">
        <f>' Add-Ons (DC &amp; Clinical 2026'!E68</f>
        <v>17.052575087083635</v>
      </c>
    </row>
    <row r="81" spans="3:6" ht="15.75" thickBot="1" x14ac:dyDescent="0.3">
      <c r="C81" s="1014" t="s">
        <v>529</v>
      </c>
      <c r="D81" s="1015"/>
      <c r="E81" s="1015"/>
      <c r="F81" s="1016"/>
    </row>
    <row r="82" spans="3:6" ht="51.75" thickBot="1" x14ac:dyDescent="0.25">
      <c r="C82" s="814" t="s">
        <v>374</v>
      </c>
      <c r="D82" s="760"/>
      <c r="E82" s="761" t="s">
        <v>531</v>
      </c>
      <c r="F82" s="958">
        <f>'CSN Models 2026'!AD34</f>
        <v>46.907389621841077</v>
      </c>
    </row>
    <row r="83" spans="3:6" ht="51.75" thickBot="1" x14ac:dyDescent="0.25">
      <c r="C83" s="812" t="s">
        <v>375</v>
      </c>
      <c r="D83" s="760"/>
      <c r="E83" s="761" t="s">
        <v>531</v>
      </c>
      <c r="F83" s="959">
        <f>'CSN Models 2026'!X34</f>
        <v>64.320542885967427</v>
      </c>
    </row>
    <row r="84" spans="3:6" ht="51.75" thickBot="1" x14ac:dyDescent="0.25">
      <c r="C84" s="812" t="s">
        <v>265</v>
      </c>
      <c r="D84" s="760"/>
      <c r="E84" s="761" t="s">
        <v>531</v>
      </c>
      <c r="F84" s="959">
        <f>'CSN Models 2026'!L34</f>
        <v>34.708651379251577</v>
      </c>
    </row>
    <row r="85" spans="3:6" ht="51.75" thickBot="1" x14ac:dyDescent="0.25">
      <c r="C85" s="812" t="s">
        <v>303</v>
      </c>
      <c r="D85" s="762"/>
      <c r="E85" s="761" t="s">
        <v>531</v>
      </c>
      <c r="F85" s="959">
        <f>'CSN Models 2026'!R34</f>
        <v>39.991240271065848</v>
      </c>
    </row>
    <row r="86" spans="3:6" ht="51.75" thickBot="1" x14ac:dyDescent="0.25">
      <c r="C86" s="812" t="s">
        <v>530</v>
      </c>
      <c r="D86" s="819"/>
      <c r="E86" s="820" t="s">
        <v>531</v>
      </c>
      <c r="F86" s="957">
        <f>'CSN Models 2026'!F34</f>
        <v>42.146652603643751</v>
      </c>
    </row>
    <row r="87" spans="3:6" ht="15.75" thickBot="1" x14ac:dyDescent="0.3">
      <c r="C87" s="1014" t="s">
        <v>532</v>
      </c>
      <c r="D87" s="1020"/>
      <c r="E87" s="1020"/>
      <c r="F87" s="1021"/>
    </row>
    <row r="88" spans="3:6" ht="26.25" thickBot="1" x14ac:dyDescent="0.25">
      <c r="C88" s="814" t="s">
        <v>281</v>
      </c>
      <c r="D88" s="763">
        <v>0.5</v>
      </c>
      <c r="E88" s="761" t="s">
        <v>533</v>
      </c>
      <c r="F88" s="960">
        <f>'CSN Add On Rates 2026'!C9</f>
        <v>3010.4364383036122</v>
      </c>
    </row>
    <row r="89" spans="3:6" ht="26.25" thickBot="1" x14ac:dyDescent="0.25">
      <c r="C89" s="812" t="s">
        <v>281</v>
      </c>
      <c r="D89" s="763">
        <v>1</v>
      </c>
      <c r="E89" s="761" t="s">
        <v>533</v>
      </c>
      <c r="F89" s="961">
        <f>'CSN Add On Rates 2026'!C8</f>
        <v>6020.8728766072245</v>
      </c>
    </row>
    <row r="90" spans="3:6" ht="26.25" thickBot="1" x14ac:dyDescent="0.25">
      <c r="C90" s="812" t="s">
        <v>534</v>
      </c>
      <c r="D90" s="763">
        <v>0.5</v>
      </c>
      <c r="E90" s="761" t="s">
        <v>533</v>
      </c>
      <c r="F90" s="961">
        <f>'CSN Add On Rates 2026'!B9</f>
        <v>2500.7905875477568</v>
      </c>
    </row>
    <row r="91" spans="3:6" ht="26.25" thickBot="1" x14ac:dyDescent="0.25">
      <c r="C91" s="812" t="s">
        <v>534</v>
      </c>
      <c r="D91" s="821">
        <v>1</v>
      </c>
      <c r="E91" s="820" t="s">
        <v>533</v>
      </c>
      <c r="F91" s="962">
        <f>'CSN Add On Rates 2026'!B8</f>
        <v>5001.5811750955136</v>
      </c>
    </row>
    <row r="92" spans="3:6" ht="15.75" thickBot="1" x14ac:dyDescent="0.3">
      <c r="C92" s="1014" t="s">
        <v>535</v>
      </c>
      <c r="D92" s="1015"/>
      <c r="E92" s="1015"/>
      <c r="F92" s="1016"/>
    </row>
    <row r="93" spans="3:6" ht="15" thickBot="1" x14ac:dyDescent="0.25">
      <c r="C93" s="813" t="s">
        <v>536</v>
      </c>
      <c r="D93" s="764">
        <v>1</v>
      </c>
      <c r="E93" s="765" t="s">
        <v>537</v>
      </c>
      <c r="F93" s="963">
        <f>'READY 2514 (FY26)'!F20</f>
        <v>21.537733636252586</v>
      </c>
    </row>
  </sheetData>
  <mergeCells count="15">
    <mergeCell ref="C92:F92"/>
    <mergeCell ref="C51:C61"/>
    <mergeCell ref="C63:C73"/>
    <mergeCell ref="C76:F76"/>
    <mergeCell ref="C81:F81"/>
    <mergeCell ref="C87:F87"/>
    <mergeCell ref="C2:H2"/>
    <mergeCell ref="C3:C13"/>
    <mergeCell ref="C15:C25"/>
    <mergeCell ref="C27:C37"/>
    <mergeCell ref="C39:C49"/>
    <mergeCell ref="E3:I3"/>
    <mergeCell ref="E15:I15"/>
    <mergeCell ref="E27:I27"/>
    <mergeCell ref="E39:I39"/>
  </mergeCells>
  <phoneticPr fontId="103" type="noConversion"/>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9AC86-C83D-4292-A108-AEBFC295DAAE}">
  <sheetPr>
    <pageSetUpPr fitToPage="1"/>
  </sheetPr>
  <dimension ref="F2:AS159"/>
  <sheetViews>
    <sheetView topLeftCell="W1" zoomScaleNormal="100" zoomScaleSheetLayoutView="75" workbookViewId="0">
      <selection activeCell="H41" sqref="H41"/>
    </sheetView>
  </sheetViews>
  <sheetFormatPr defaultColWidth="8.25" defaultRowHeight="12.75" x14ac:dyDescent="0.2"/>
  <cols>
    <col min="1" max="4" width="8.25" style="33" customWidth="1"/>
    <col min="5" max="5" width="6.875" style="33" customWidth="1"/>
    <col min="6" max="6" width="14.375" style="33" customWidth="1"/>
    <col min="7" max="7" width="8.375" style="33" customWidth="1"/>
    <col min="8" max="8" width="12.25" style="33" customWidth="1"/>
    <col min="9" max="9" width="7.25" style="33" customWidth="1"/>
    <col min="10" max="10" width="9.875" style="33" customWidth="1"/>
    <col min="11" max="11" width="8.25" style="33" customWidth="1"/>
    <col min="12" max="12" width="8.25" style="33"/>
    <col min="13" max="13" width="23.75" style="33" bestFit="1" customWidth="1"/>
    <col min="14" max="14" width="7.875" style="33" bestFit="1" customWidth="1"/>
    <col min="15" max="15" width="8.5" style="33" customWidth="1"/>
    <col min="16" max="16" width="7.125" style="33" bestFit="1" customWidth="1"/>
    <col min="17" max="17" width="8.625" style="33" bestFit="1" customWidth="1"/>
    <col min="18" max="18" width="4.5" style="33" customWidth="1"/>
    <col min="19" max="19" width="23.75" style="33" bestFit="1" customWidth="1"/>
    <col min="20" max="20" width="7.875" style="33" bestFit="1" customWidth="1"/>
    <col min="21" max="21" width="8.875" style="239" customWidth="1"/>
    <col min="22" max="22" width="7.125" style="248" bestFit="1" customWidth="1"/>
    <col min="23" max="23" width="8.625" style="239" bestFit="1" customWidth="1"/>
    <col min="24" max="24" width="4.625" style="239" customWidth="1"/>
    <col min="25" max="25" width="19.75" style="33" bestFit="1" customWidth="1"/>
    <col min="26" max="26" width="7.875" style="239" bestFit="1" customWidth="1"/>
    <col min="27" max="27" width="7.75" style="248" customWidth="1"/>
    <col min="28" max="28" width="7.125" style="239" customWidth="1"/>
    <col min="29" max="29" width="8.625" style="239" bestFit="1" customWidth="1"/>
    <col min="30" max="30" width="3.875" style="33" customWidth="1"/>
    <col min="31" max="31" width="23.75" style="33" bestFit="1" customWidth="1"/>
    <col min="32" max="32" width="7.875" style="239" bestFit="1" customWidth="1"/>
    <col min="33" max="33" width="7.5" style="248" customWidth="1"/>
    <col min="34" max="34" width="7.125" style="239" bestFit="1" customWidth="1"/>
    <col min="35" max="35" width="8.625" style="239" bestFit="1" customWidth="1"/>
    <col min="36" max="36" width="3.875" style="239" customWidth="1"/>
    <col min="37" max="37" width="24.375" style="239" bestFit="1" customWidth="1"/>
    <col min="38" max="38" width="6.125" style="239" bestFit="1" customWidth="1"/>
    <col min="39" max="39" width="9.25" style="239" customWidth="1"/>
    <col min="40" max="40" width="7.375" style="248" customWidth="1"/>
    <col min="41" max="41" width="20.375" style="239" customWidth="1"/>
    <col min="42" max="42" width="6.625" style="33" customWidth="1"/>
    <col min="43" max="43" width="18.375" style="33" customWidth="1"/>
    <col min="44" max="44" width="14.625" style="33" bestFit="1" customWidth="1"/>
    <col min="45" max="45" width="6.25" style="33" bestFit="1" customWidth="1"/>
    <col min="46" max="46" width="4.625" style="33" customWidth="1"/>
    <col min="47" max="47" width="4" style="33" customWidth="1"/>
    <col min="48" max="48" width="4.125" style="33" customWidth="1"/>
    <col min="49" max="49" width="4" style="33" customWidth="1"/>
    <col min="50" max="16384" width="8.25" style="33"/>
  </cols>
  <sheetData>
    <row r="2" spans="6:45" ht="13.5" thickBot="1" x14ac:dyDescent="0.25"/>
    <row r="3" spans="6:45" ht="13.5" thickBot="1" x14ac:dyDescent="0.25">
      <c r="F3" s="404" t="s">
        <v>47</v>
      </c>
      <c r="M3" s="404"/>
      <c r="AM3" s="405"/>
      <c r="AN3" s="405"/>
      <c r="AO3" s="405"/>
    </row>
    <row r="4" spans="6:45" ht="14.25" customHeight="1" thickBot="1" x14ac:dyDescent="0.3">
      <c r="F4" s="406"/>
      <c r="G4" s="407"/>
      <c r="H4" s="408"/>
      <c r="I4" s="409"/>
      <c r="J4" s="410"/>
      <c r="M4" s="406"/>
      <c r="N4" s="407"/>
      <c r="O4" s="408"/>
      <c r="P4" s="409"/>
      <c r="Q4" s="410"/>
      <c r="R4" s="195"/>
      <c r="S4" s="1032" t="s">
        <v>50</v>
      </c>
      <c r="T4" s="1033"/>
      <c r="U4" s="1033"/>
      <c r="V4" s="1033"/>
      <c r="W4" s="1034"/>
      <c r="Y4" s="1035" t="s">
        <v>51</v>
      </c>
      <c r="Z4" s="1030"/>
      <c r="AA4" s="1030"/>
      <c r="AB4" s="1030"/>
      <c r="AC4" s="1031"/>
      <c r="AD4" s="195"/>
      <c r="AE4" s="1035" t="s">
        <v>52</v>
      </c>
      <c r="AF4" s="1036"/>
      <c r="AG4" s="1036"/>
      <c r="AH4" s="1036"/>
      <c r="AI4" s="1037"/>
      <c r="AJ4" s="195"/>
      <c r="AK4" s="1038" t="s">
        <v>48</v>
      </c>
      <c r="AL4" s="1039"/>
      <c r="AM4" s="1039"/>
      <c r="AN4" s="1039"/>
      <c r="AO4" s="1040"/>
      <c r="AQ4" s="1041"/>
      <c r="AR4" s="1042"/>
      <c r="AS4" s="1043"/>
    </row>
    <row r="5" spans="6:45" s="242" customFormat="1" x14ac:dyDescent="0.2">
      <c r="F5" s="304" t="s">
        <v>56</v>
      </c>
      <c r="G5" s="279" t="s">
        <v>692</v>
      </c>
      <c r="H5" s="204" t="s">
        <v>58</v>
      </c>
      <c r="I5" s="294">
        <v>365</v>
      </c>
      <c r="J5" s="305">
        <f>I5*G6</f>
        <v>3650</v>
      </c>
      <c r="M5" s="304" t="s">
        <v>56</v>
      </c>
      <c r="N5" s="279" t="s">
        <v>57</v>
      </c>
      <c r="O5" s="204" t="s">
        <v>58</v>
      </c>
      <c r="P5" s="294">
        <v>365</v>
      </c>
      <c r="Q5" s="305">
        <f>P5*N6</f>
        <v>4380</v>
      </c>
      <c r="R5" s="201"/>
      <c r="S5" s="304" t="s">
        <v>56</v>
      </c>
      <c r="T5" s="411" t="s">
        <v>59</v>
      </c>
      <c r="U5" s="204" t="s">
        <v>58</v>
      </c>
      <c r="V5" s="294">
        <v>365</v>
      </c>
      <c r="W5" s="305">
        <f>T6*V5</f>
        <v>5657.5</v>
      </c>
      <c r="Y5" s="304" t="s">
        <v>56</v>
      </c>
      <c r="Z5" s="242" t="s">
        <v>60</v>
      </c>
      <c r="AA5" s="204" t="s">
        <v>58</v>
      </c>
      <c r="AB5" s="294">
        <v>365</v>
      </c>
      <c r="AC5" s="305">
        <f>Z6*AB5</f>
        <v>7300</v>
      </c>
      <c r="AD5" s="201"/>
      <c r="AE5" s="304" t="s">
        <v>56</v>
      </c>
      <c r="AF5" s="242" t="s">
        <v>61</v>
      </c>
      <c r="AG5" s="204" t="s">
        <v>58</v>
      </c>
      <c r="AH5" s="294">
        <v>365</v>
      </c>
      <c r="AI5" s="305">
        <f>AF6*AH5</f>
        <v>9125</v>
      </c>
      <c r="AJ5" s="201"/>
      <c r="AK5" s="412" t="s">
        <v>70</v>
      </c>
      <c r="AL5" s="361"/>
      <c r="AM5" s="568">
        <f>'M2024 BLS  (53_PCT)'!C22</f>
        <v>81486.911999999997</v>
      </c>
      <c r="AN5" s="39" t="s">
        <v>663</v>
      </c>
      <c r="AO5" s="139"/>
      <c r="AQ5" s="297" t="s">
        <v>53</v>
      </c>
      <c r="AR5" s="298" t="s">
        <v>54</v>
      </c>
      <c r="AS5" s="299" t="s">
        <v>55</v>
      </c>
    </row>
    <row r="6" spans="6:45" s="242" customFormat="1" x14ac:dyDescent="0.2">
      <c r="F6" s="258"/>
      <c r="G6" s="242">
        <v>10</v>
      </c>
      <c r="H6" s="204"/>
      <c r="I6" s="294"/>
      <c r="J6" s="305"/>
      <c r="M6" s="258"/>
      <c r="N6" s="242">
        <v>12</v>
      </c>
      <c r="O6" s="204"/>
      <c r="P6" s="294"/>
      <c r="Q6" s="305"/>
      <c r="R6" s="201"/>
      <c r="S6" s="304"/>
      <c r="T6" s="242">
        <v>15.5</v>
      </c>
      <c r="U6" s="204"/>
      <c r="V6" s="294"/>
      <c r="W6" s="305"/>
      <c r="Y6" s="304"/>
      <c r="Z6" s="242">
        <v>20</v>
      </c>
      <c r="AA6" s="204"/>
      <c r="AB6" s="294"/>
      <c r="AC6" s="305"/>
      <c r="AD6" s="201"/>
      <c r="AE6" s="304"/>
      <c r="AF6" s="242">
        <v>25</v>
      </c>
      <c r="AG6" s="204"/>
      <c r="AH6" s="294"/>
      <c r="AI6" s="305"/>
      <c r="AJ6" s="201"/>
      <c r="AK6" s="306" t="s">
        <v>76</v>
      </c>
      <c r="AL6" s="33"/>
      <c r="AM6" s="307">
        <f>'M2024 BLS  (53_PCT)'!C28</f>
        <v>101806.432</v>
      </c>
      <c r="AN6" s="39" t="s">
        <v>663</v>
      </c>
      <c r="AO6" s="139"/>
      <c r="AQ6" s="241" t="s">
        <v>62</v>
      </c>
      <c r="AR6" s="208">
        <v>15</v>
      </c>
      <c r="AS6" s="308">
        <f>AR6*8</f>
        <v>120</v>
      </c>
    </row>
    <row r="7" spans="6:45" s="242" customFormat="1" x14ac:dyDescent="0.2">
      <c r="F7" s="258"/>
      <c r="H7" s="414"/>
      <c r="I7" s="294"/>
      <c r="J7" s="305"/>
      <c r="M7" s="258"/>
      <c r="O7" s="414"/>
      <c r="P7" s="294"/>
      <c r="Q7" s="305"/>
      <c r="R7" s="201"/>
      <c r="S7" s="304"/>
      <c r="U7" s="204"/>
      <c r="V7" s="294"/>
      <c r="W7" s="305"/>
      <c r="Y7" s="304"/>
      <c r="AA7" s="204"/>
      <c r="AB7" s="294"/>
      <c r="AC7" s="305"/>
      <c r="AD7" s="201"/>
      <c r="AE7" s="304"/>
      <c r="AG7" s="204"/>
      <c r="AH7" s="294"/>
      <c r="AI7" s="305"/>
      <c r="AJ7" s="201"/>
      <c r="AK7" s="306" t="s">
        <v>79</v>
      </c>
      <c r="AL7" s="33"/>
      <c r="AM7" s="307">
        <f>'M2024 BLS  (53_PCT)'!C18</f>
        <v>84174.063999999998</v>
      </c>
      <c r="AN7" s="39" t="s">
        <v>663</v>
      </c>
      <c r="AO7" s="139"/>
      <c r="AQ7" s="241" t="s">
        <v>63</v>
      </c>
      <c r="AR7" s="208">
        <v>10</v>
      </c>
      <c r="AS7" s="308">
        <f>AR7*8</f>
        <v>80</v>
      </c>
    </row>
    <row r="8" spans="6:45" s="240" customFormat="1" ht="28.5" customHeight="1" x14ac:dyDescent="0.2">
      <c r="F8" s="378"/>
      <c r="G8" s="310" t="s">
        <v>65</v>
      </c>
      <c r="H8" s="293" t="s">
        <v>66</v>
      </c>
      <c r="I8" s="311" t="s">
        <v>67</v>
      </c>
      <c r="J8" s="312" t="s">
        <v>68</v>
      </c>
      <c r="M8" s="378"/>
      <c r="N8" s="310" t="s">
        <v>65</v>
      </c>
      <c r="O8" s="293" t="s">
        <v>66</v>
      </c>
      <c r="P8" s="311" t="s">
        <v>67</v>
      </c>
      <c r="Q8" s="312" t="s">
        <v>68</v>
      </c>
      <c r="R8" s="195"/>
      <c r="S8" s="304"/>
      <c r="T8" s="310" t="s">
        <v>65</v>
      </c>
      <c r="U8" s="293" t="s">
        <v>66</v>
      </c>
      <c r="V8" s="311" t="s">
        <v>67</v>
      </c>
      <c r="W8" s="312" t="s">
        <v>68</v>
      </c>
      <c r="Y8" s="304"/>
      <c r="Z8" s="310" t="s">
        <v>65</v>
      </c>
      <c r="AA8" s="293" t="s">
        <v>66</v>
      </c>
      <c r="AB8" s="311" t="s">
        <v>67</v>
      </c>
      <c r="AC8" s="312" t="s">
        <v>68</v>
      </c>
      <c r="AD8" s="293"/>
      <c r="AE8" s="304"/>
      <c r="AF8" s="310" t="s">
        <v>65</v>
      </c>
      <c r="AG8" s="293" t="s">
        <v>66</v>
      </c>
      <c r="AH8" s="311" t="s">
        <v>67</v>
      </c>
      <c r="AI8" s="312" t="s">
        <v>68</v>
      </c>
      <c r="AJ8" s="293"/>
      <c r="AK8" s="315" t="s">
        <v>73</v>
      </c>
      <c r="AL8" s="33"/>
      <c r="AM8" s="307">
        <f>'M2024 BLS  (53_PCT)'!C6</f>
        <v>46842.432000000008</v>
      </c>
      <c r="AN8" s="39" t="s">
        <v>663</v>
      </c>
      <c r="AO8" s="139"/>
      <c r="AQ8" s="241" t="s">
        <v>64</v>
      </c>
      <c r="AR8" s="208">
        <v>11</v>
      </c>
      <c r="AS8" s="308">
        <f>AR8*8</f>
        <v>88</v>
      </c>
    </row>
    <row r="9" spans="6:45" s="239" customFormat="1" ht="13.5" thickBot="1" x14ac:dyDescent="0.25">
      <c r="F9" s="155" t="str">
        <f>M9</f>
        <v>Management</v>
      </c>
      <c r="G9" s="314"/>
      <c r="H9" s="239">
        <f>O9</f>
        <v>81486.911999999997</v>
      </c>
      <c r="I9" s="38">
        <f>P9</f>
        <v>2.15</v>
      </c>
      <c r="J9" s="307">
        <f>H9*I9</f>
        <v>175196.86079999999</v>
      </c>
      <c r="M9" s="155" t="s">
        <v>352</v>
      </c>
      <c r="N9" s="314"/>
      <c r="O9" s="239">
        <f>AM5</f>
        <v>81486.911999999997</v>
      </c>
      <c r="P9" s="38">
        <f>AL12</f>
        <v>2.15</v>
      </c>
      <c r="Q9" s="307">
        <f>O9*P9</f>
        <v>175196.86079999999</v>
      </c>
      <c r="S9" s="155" t="s">
        <v>352</v>
      </c>
      <c r="T9" s="314"/>
      <c r="U9" s="239">
        <f>AM5</f>
        <v>81486.911999999997</v>
      </c>
      <c r="V9" s="38">
        <f>AM12</f>
        <v>2.15</v>
      </c>
      <c r="W9" s="307">
        <f>U9*V9</f>
        <v>175196.86079999999</v>
      </c>
      <c r="Y9" s="155" t="s">
        <v>352</v>
      </c>
      <c r="Z9" s="314"/>
      <c r="AA9" s="239">
        <f>AM5</f>
        <v>81486.911999999997</v>
      </c>
      <c r="AB9" s="38">
        <f>AN12</f>
        <v>2.15</v>
      </c>
      <c r="AC9" s="307">
        <f>AA9*AB9</f>
        <v>175196.86079999999</v>
      </c>
      <c r="AE9" s="155" t="s">
        <v>352</v>
      </c>
      <c r="AF9" s="314"/>
      <c r="AG9" s="239">
        <f>AM5</f>
        <v>81486.911999999997</v>
      </c>
      <c r="AH9" s="38">
        <f>$AO$12</f>
        <v>2.15</v>
      </c>
      <c r="AI9" s="307">
        <f>AG9*AH9</f>
        <v>175196.86079999999</v>
      </c>
      <c r="AK9" s="379" t="s">
        <v>75</v>
      </c>
      <c r="AL9" s="36"/>
      <c r="AM9" s="381">
        <f>'M2024 BLS  (53_PCT)'!C6</f>
        <v>46842.432000000008</v>
      </c>
      <c r="AN9" s="39" t="s">
        <v>663</v>
      </c>
      <c r="AO9" s="139"/>
      <c r="AQ9" s="415" t="s">
        <v>69</v>
      </c>
      <c r="AR9" s="208">
        <v>5</v>
      </c>
      <c r="AS9" s="308">
        <f>AR9*8</f>
        <v>40</v>
      </c>
    </row>
    <row r="10" spans="6:45" s="239" customFormat="1" ht="15.75" thickBot="1" x14ac:dyDescent="0.3">
      <c r="F10" s="155" t="str">
        <f t="shared" ref="F10:F12" si="0">M10</f>
        <v>Clinical Director</v>
      </c>
      <c r="G10" s="314"/>
      <c r="H10" s="239">
        <f t="shared" ref="H10:H12" si="1">O10</f>
        <v>101806.432</v>
      </c>
      <c r="I10" s="38">
        <f t="shared" ref="I10:I11" si="2">P10</f>
        <v>1</v>
      </c>
      <c r="J10" s="307">
        <f>H10*I10</f>
        <v>101806.432</v>
      </c>
      <c r="M10" s="155" t="str">
        <f>AK6</f>
        <v>Clinical Director</v>
      </c>
      <c r="N10" s="314"/>
      <c r="O10" s="239">
        <f>AM6</f>
        <v>101806.432</v>
      </c>
      <c r="P10" s="38">
        <v>1</v>
      </c>
      <c r="Q10" s="307">
        <f>O10*P10</f>
        <v>101806.432</v>
      </c>
      <c r="S10" s="155" t="str">
        <f>AK6</f>
        <v>Clinical Director</v>
      </c>
      <c r="T10" s="314"/>
      <c r="U10" s="239">
        <f>AM6</f>
        <v>101806.432</v>
      </c>
      <c r="V10" s="38">
        <v>1</v>
      </c>
      <c r="W10" s="307">
        <f>U10*V10</f>
        <v>101806.432</v>
      </c>
      <c r="Y10" s="155" t="str">
        <f>AK6</f>
        <v>Clinical Director</v>
      </c>
      <c r="Z10" s="314"/>
      <c r="AA10" s="239">
        <f>AM6</f>
        <v>101806.432</v>
      </c>
      <c r="AB10" s="38">
        <v>1</v>
      </c>
      <c r="AC10" s="307">
        <f>AA10*AB10</f>
        <v>101806.432</v>
      </c>
      <c r="AE10" s="155" t="str">
        <f>AK6</f>
        <v>Clinical Director</v>
      </c>
      <c r="AF10" s="314"/>
      <c r="AG10" s="239">
        <f>AM6</f>
        <v>101806.432</v>
      </c>
      <c r="AH10" s="38">
        <v>1.5</v>
      </c>
      <c r="AI10" s="307">
        <f>AG10*AH10</f>
        <v>152709.64799999999</v>
      </c>
      <c r="AK10" s="1029" t="s">
        <v>67</v>
      </c>
      <c r="AL10" s="1030"/>
      <c r="AM10" s="1030"/>
      <c r="AN10" s="1030"/>
      <c r="AO10" s="1031"/>
      <c r="AQ10" s="241"/>
      <c r="AR10" s="269" t="s">
        <v>71</v>
      </c>
      <c r="AS10" s="308">
        <f>SUM(AS6:AS9)</f>
        <v>328</v>
      </c>
    </row>
    <row r="11" spans="6:45" s="239" customFormat="1" ht="13.5" thickBot="1" x14ac:dyDescent="0.25">
      <c r="F11" s="155" t="str">
        <f t="shared" si="0"/>
        <v>Clinical (LICSW)</v>
      </c>
      <c r="G11" s="314"/>
      <c r="H11" s="239">
        <f t="shared" si="1"/>
        <v>84174.063999999998</v>
      </c>
      <c r="I11" s="38">
        <f t="shared" si="2"/>
        <v>2</v>
      </c>
      <c r="J11" s="307">
        <f>H11*I11</f>
        <v>168348.128</v>
      </c>
      <c r="M11" s="155" t="str">
        <f>AK7</f>
        <v>Clinical (LICSW)</v>
      </c>
      <c r="N11" s="314"/>
      <c r="O11" s="239">
        <f>AM7</f>
        <v>84174.063999999998</v>
      </c>
      <c r="P11" s="38">
        <v>2</v>
      </c>
      <c r="Q11" s="307">
        <f>O11*P11</f>
        <v>168348.128</v>
      </c>
      <c r="S11" s="155" t="str">
        <f>AK7</f>
        <v>Clinical (LICSW)</v>
      </c>
      <c r="T11" s="314"/>
      <c r="U11" s="239">
        <f>AM7</f>
        <v>84174.063999999998</v>
      </c>
      <c r="V11" s="38">
        <v>2</v>
      </c>
      <c r="W11" s="307">
        <f>U11*V11</f>
        <v>168348.128</v>
      </c>
      <c r="Y11" s="155" t="str">
        <f>AK7</f>
        <v>Clinical (LICSW)</v>
      </c>
      <c r="Z11" s="314"/>
      <c r="AA11" s="239">
        <f>AM7</f>
        <v>84174.063999999998</v>
      </c>
      <c r="AB11" s="38">
        <v>2</v>
      </c>
      <c r="AC11" s="307">
        <f>AA11*AB11</f>
        <v>168348.128</v>
      </c>
      <c r="AE11" s="155" t="str">
        <f>AK7</f>
        <v>Clinical (LICSW)</v>
      </c>
      <c r="AF11" s="314"/>
      <c r="AG11" s="239">
        <f>AM7</f>
        <v>84174.063999999998</v>
      </c>
      <c r="AH11" s="38">
        <v>2</v>
      </c>
      <c r="AI11" s="307">
        <f>AG11*AH11</f>
        <v>168348.128</v>
      </c>
      <c r="AK11" s="416"/>
      <c r="AL11" s="417" t="s">
        <v>57</v>
      </c>
      <c r="AM11" s="418" t="s">
        <v>59</v>
      </c>
      <c r="AN11" s="419" t="s">
        <v>60</v>
      </c>
      <c r="AO11" s="420" t="s">
        <v>85</v>
      </c>
      <c r="AQ11" s="369"/>
      <c r="AR11" s="388" t="s">
        <v>72</v>
      </c>
      <c r="AS11" s="323">
        <f>AS10/(52*40)</f>
        <v>0.15769230769230769</v>
      </c>
    </row>
    <row r="12" spans="6:45" s="239" customFormat="1" ht="13.9" customHeight="1" x14ac:dyDescent="0.2">
      <c r="F12" s="155" t="str">
        <f t="shared" si="0"/>
        <v>Direct Care Staff</v>
      </c>
      <c r="G12" s="603">
        <v>0.57999999999999996</v>
      </c>
      <c r="H12" s="239">
        <f t="shared" si="1"/>
        <v>46842.432000000008</v>
      </c>
      <c r="I12" s="980">
        <v>21.69</v>
      </c>
      <c r="J12" s="307">
        <f>H12*I12</f>
        <v>1016012.3500800002</v>
      </c>
      <c r="M12" s="319" t="s">
        <v>354</v>
      </c>
      <c r="N12" s="603">
        <v>0.57999999999999996</v>
      </c>
      <c r="O12" s="239">
        <f>AM8</f>
        <v>46842.432000000008</v>
      </c>
      <c r="P12" s="38">
        <v>23.69</v>
      </c>
      <c r="Q12" s="307">
        <f>O12*P12</f>
        <v>1109697.2140800003</v>
      </c>
      <c r="S12" s="319" t="s">
        <v>354</v>
      </c>
      <c r="T12" s="38">
        <v>0.69099999999999995</v>
      </c>
      <c r="U12" s="239">
        <f>AM8</f>
        <v>46842.432000000008</v>
      </c>
      <c r="V12" s="38">
        <v>25.43</v>
      </c>
      <c r="W12" s="307">
        <f>U12*V12</f>
        <v>1191203.0457600001</v>
      </c>
      <c r="X12" s="421"/>
      <c r="Y12" s="319" t="s">
        <v>354</v>
      </c>
      <c r="Z12" s="38">
        <v>0.89149999999999996</v>
      </c>
      <c r="AA12" s="239">
        <f>AM8</f>
        <v>46842.432000000008</v>
      </c>
      <c r="AB12" s="38">
        <v>25.43</v>
      </c>
      <c r="AC12" s="307">
        <f>AA12*AB12</f>
        <v>1191203.0457600001</v>
      </c>
      <c r="AE12" s="319" t="s">
        <v>354</v>
      </c>
      <c r="AF12" s="38">
        <v>1.0349999999999999</v>
      </c>
      <c r="AG12" s="239">
        <f>AM8</f>
        <v>46842.432000000008</v>
      </c>
      <c r="AH12" s="38">
        <v>28.15</v>
      </c>
      <c r="AI12" s="307">
        <f>AG12*AH12</f>
        <v>1318614.4608000002</v>
      </c>
      <c r="AK12" s="306" t="s">
        <v>70</v>
      </c>
      <c r="AL12" s="334">
        <v>2.15</v>
      </c>
      <c r="AM12" s="334">
        <v>2.15</v>
      </c>
      <c r="AN12" s="334">
        <v>2.15</v>
      </c>
      <c r="AO12" s="308">
        <v>2.15</v>
      </c>
    </row>
    <row r="13" spans="6:45" s="309" customFormat="1" x14ac:dyDescent="0.2">
      <c r="F13" s="155"/>
      <c r="G13" s="38"/>
      <c r="H13" s="239"/>
      <c r="I13" s="618"/>
      <c r="J13" s="307"/>
      <c r="M13" s="155"/>
      <c r="N13" s="38"/>
      <c r="O13" s="239"/>
      <c r="P13" s="265"/>
      <c r="Q13" s="307"/>
      <c r="R13" s="239"/>
      <c r="S13" s="155"/>
      <c r="T13" s="38"/>
      <c r="U13" s="265"/>
      <c r="V13" s="265"/>
      <c r="W13" s="307"/>
      <c r="X13" s="239"/>
      <c r="Y13" s="155"/>
      <c r="Z13" s="38"/>
      <c r="AA13" s="239"/>
      <c r="AB13" s="265"/>
      <c r="AC13" s="307"/>
      <c r="AD13" s="239"/>
      <c r="AE13" s="155"/>
      <c r="AF13" s="38"/>
      <c r="AG13" s="239"/>
      <c r="AH13" s="265"/>
      <c r="AI13" s="307"/>
      <c r="AJ13" s="239"/>
      <c r="AK13" s="306" t="s">
        <v>87</v>
      </c>
      <c r="AL13" s="334">
        <v>3</v>
      </c>
      <c r="AM13" s="334">
        <v>3</v>
      </c>
      <c r="AN13" s="334">
        <v>3</v>
      </c>
      <c r="AO13" s="335">
        <v>4</v>
      </c>
    </row>
    <row r="14" spans="6:45" s="239" customFormat="1" x14ac:dyDescent="0.2">
      <c r="F14" s="589" t="s">
        <v>538</v>
      </c>
      <c r="G14" s="585"/>
      <c r="H14" s="586"/>
      <c r="I14" s="587">
        <f>SUM(I9:I12)</f>
        <v>26.840000000000003</v>
      </c>
      <c r="J14" s="588">
        <f>SUM(J9:J13)</f>
        <v>1461363.7708800002</v>
      </c>
      <c r="M14" s="589" t="s">
        <v>538</v>
      </c>
      <c r="N14" s="585"/>
      <c r="O14" s="586"/>
      <c r="P14" s="587">
        <f>SUM(P9:P12)</f>
        <v>28.840000000000003</v>
      </c>
      <c r="Q14" s="588">
        <f>SUM(Q9:Q13)</f>
        <v>1555048.6348800003</v>
      </c>
      <c r="R14" s="195"/>
      <c r="S14" s="589" t="s">
        <v>538</v>
      </c>
      <c r="T14" s="585"/>
      <c r="U14" s="586"/>
      <c r="V14" s="587">
        <f>SUM(V9:V12)</f>
        <v>30.58</v>
      </c>
      <c r="W14" s="588">
        <f>SUM(W9:W13)</f>
        <v>1636554.4665600001</v>
      </c>
      <c r="X14" s="242"/>
      <c r="Y14" s="589" t="s">
        <v>538</v>
      </c>
      <c r="Z14" s="585"/>
      <c r="AA14" s="586"/>
      <c r="AB14" s="587">
        <f>SUM(AB9:AB12)</f>
        <v>30.58</v>
      </c>
      <c r="AC14" s="588">
        <f>SUM(AC9:AC13)</f>
        <v>1636554.4665600001</v>
      </c>
      <c r="AD14" s="195"/>
      <c r="AE14" s="589" t="s">
        <v>538</v>
      </c>
      <c r="AF14" s="585"/>
      <c r="AG14" s="586"/>
      <c r="AH14" s="587">
        <f>SUM(AH9:AH12)</f>
        <v>33.799999999999997</v>
      </c>
      <c r="AI14" s="588">
        <f>SUM(AI9:AI13)</f>
        <v>1814869.0976000002</v>
      </c>
      <c r="AK14" s="306" t="s">
        <v>75</v>
      </c>
      <c r="AL14" s="334"/>
      <c r="AM14" s="334"/>
      <c r="AN14" s="334"/>
      <c r="AO14" s="335"/>
    </row>
    <row r="15" spans="6:45" s="242" customFormat="1" ht="14.25" x14ac:dyDescent="0.2">
      <c r="F15" s="604" t="s">
        <v>80</v>
      </c>
      <c r="G15" s="38"/>
      <c r="H15" s="239"/>
      <c r="I15" s="618">
        <f>P15</f>
        <v>0.24970000000000001</v>
      </c>
      <c r="J15" s="307">
        <f>J14*I15</f>
        <v>364902.53358873609</v>
      </c>
      <c r="M15" s="604" t="s">
        <v>80</v>
      </c>
      <c r="N15" s="38"/>
      <c r="O15" s="239"/>
      <c r="P15" s="265">
        <f>'M2024 BLS  (53_PCT)'!C38</f>
        <v>0.24970000000000001</v>
      </c>
      <c r="Q15" s="307">
        <f>Q14*P15</f>
        <v>388295.64412953606</v>
      </c>
      <c r="R15" s="239"/>
      <c r="S15" s="604" t="s">
        <v>80</v>
      </c>
      <c r="T15" s="38"/>
      <c r="U15" s="265"/>
      <c r="V15" s="265">
        <f>'M2024 BLS  (53_PCT)'!C38</f>
        <v>0.24970000000000001</v>
      </c>
      <c r="W15" s="307">
        <f>W14*V15</f>
        <v>408647.65030003205</v>
      </c>
      <c r="X15" s="239"/>
      <c r="Y15" s="604" t="s">
        <v>80</v>
      </c>
      <c r="Z15" s="38"/>
      <c r="AA15" s="239"/>
      <c r="AB15" s="265">
        <f>'M2024 BLS  (53_PCT)'!C38</f>
        <v>0.24970000000000001</v>
      </c>
      <c r="AC15" s="307">
        <f>AC14*AB15</f>
        <v>408647.65030003205</v>
      </c>
      <c r="AD15" s="239"/>
      <c r="AE15" s="604" t="s">
        <v>80</v>
      </c>
      <c r="AF15" s="38"/>
      <c r="AG15" s="239"/>
      <c r="AH15" s="265">
        <f>'M2024 BLS  (53_PCT)'!C38</f>
        <v>0.24970000000000001</v>
      </c>
      <c r="AI15" s="307">
        <f>AI14*AH15</f>
        <v>453172.81367072009</v>
      </c>
      <c r="AJ15" s="195"/>
      <c r="AK15" s="306" t="s">
        <v>90</v>
      </c>
      <c r="AL15" s="334">
        <v>0.75</v>
      </c>
      <c r="AM15" s="334">
        <v>0.9</v>
      </c>
      <c r="AN15" s="334">
        <f>'[20]Rate Options'!$F$22</f>
        <v>1</v>
      </c>
      <c r="AO15" s="335">
        <v>1.5</v>
      </c>
    </row>
    <row r="16" spans="6:45" s="242" customFormat="1" ht="15.75" thickBot="1" x14ac:dyDescent="0.3">
      <c r="F16" s="590" t="s">
        <v>539</v>
      </c>
      <c r="G16" s="584"/>
      <c r="H16" s="584"/>
      <c r="I16" s="584"/>
      <c r="J16" s="605">
        <f>SUM(J14:J15)</f>
        <v>1826266.3044687363</v>
      </c>
      <c r="M16" s="590" t="s">
        <v>539</v>
      </c>
      <c r="N16" s="584"/>
      <c r="O16" s="584"/>
      <c r="P16" s="584"/>
      <c r="Q16" s="605">
        <f>SUM(Q14:Q15)</f>
        <v>1943344.2790095364</v>
      </c>
      <c r="S16" s="590" t="s">
        <v>539</v>
      </c>
      <c r="T16" s="584"/>
      <c r="U16" s="584"/>
      <c r="V16" s="584"/>
      <c r="W16" s="605">
        <f>SUM(W14:W15)</f>
        <v>2045202.1168600321</v>
      </c>
      <c r="Y16" s="590" t="s">
        <v>539</v>
      </c>
      <c r="Z16" s="584"/>
      <c r="AA16" s="584"/>
      <c r="AB16" s="584"/>
      <c r="AC16" s="605">
        <f>SUM(AC14:AC15)</f>
        <v>2045202.1168600321</v>
      </c>
      <c r="AE16" s="590" t="s">
        <v>539</v>
      </c>
      <c r="AF16" s="584"/>
      <c r="AG16" s="584"/>
      <c r="AH16" s="584"/>
      <c r="AI16" s="605">
        <f>SUM(AI14:AI15)</f>
        <v>2268041.9112707204</v>
      </c>
      <c r="AJ16" s="195"/>
      <c r="AK16" s="306" t="s">
        <v>92</v>
      </c>
      <c r="AL16" s="334">
        <v>3</v>
      </c>
      <c r="AM16" s="334">
        <v>3</v>
      </c>
      <c r="AN16" s="334">
        <v>3</v>
      </c>
      <c r="AO16" s="335">
        <v>4</v>
      </c>
    </row>
    <row r="17" spans="6:44" s="242" customFormat="1" ht="16.5" thickTop="1" thickBot="1" x14ac:dyDescent="0.3">
      <c r="F17" s="583"/>
      <c r="J17" s="358"/>
      <c r="M17" s="583"/>
      <c r="Q17" s="358"/>
      <c r="S17" s="583"/>
      <c r="W17" s="358"/>
      <c r="Y17" s="583"/>
      <c r="AC17" s="358"/>
      <c r="AE17" s="583"/>
      <c r="AI17" s="358"/>
      <c r="AJ17" s="195"/>
      <c r="AK17" s="1029" t="s">
        <v>94</v>
      </c>
      <c r="AL17" s="1030"/>
      <c r="AM17" s="1030"/>
      <c r="AN17" s="1030"/>
      <c r="AO17" s="1031"/>
    </row>
    <row r="18" spans="6:44" s="242" customFormat="1" ht="30.75" thickBot="1" x14ac:dyDescent="0.3">
      <c r="F18" s="583" t="s">
        <v>540</v>
      </c>
      <c r="H18" s="195"/>
      <c r="I18" s="294" t="s">
        <v>78</v>
      </c>
      <c r="J18" s="336"/>
      <c r="M18" s="583" t="s">
        <v>540</v>
      </c>
      <c r="O18" s="195"/>
      <c r="P18" s="294" t="s">
        <v>78</v>
      </c>
      <c r="Q18" s="336"/>
      <c r="R18" s="195"/>
      <c r="S18" s="583" t="s">
        <v>540</v>
      </c>
      <c r="U18" s="195"/>
      <c r="V18" s="294" t="s">
        <v>78</v>
      </c>
      <c r="W18" s="336"/>
      <c r="Y18" s="583" t="s">
        <v>540</v>
      </c>
      <c r="AA18" s="195"/>
      <c r="AB18" s="294" t="s">
        <v>78</v>
      </c>
      <c r="AC18" s="336"/>
      <c r="AD18" s="195"/>
      <c r="AE18" s="583" t="s">
        <v>540</v>
      </c>
      <c r="AG18" s="195"/>
      <c r="AH18" s="294" t="s">
        <v>78</v>
      </c>
      <c r="AI18" s="336"/>
      <c r="AJ18" s="195"/>
      <c r="AK18" s="325"/>
      <c r="AL18" s="417" t="s">
        <v>57</v>
      </c>
      <c r="AM18" s="418" t="s">
        <v>59</v>
      </c>
      <c r="AN18" s="419" t="s">
        <v>60</v>
      </c>
      <c r="AO18" s="420" t="s">
        <v>85</v>
      </c>
    </row>
    <row r="19" spans="6:44" x14ac:dyDescent="0.2">
      <c r="F19" s="241" t="s">
        <v>82</v>
      </c>
      <c r="H19" s="239"/>
      <c r="I19" s="248"/>
      <c r="J19" s="307">
        <v>25000</v>
      </c>
      <c r="M19" s="241" t="s">
        <v>82</v>
      </c>
      <c r="O19" s="239"/>
      <c r="P19" s="248"/>
      <c r="Q19" s="307">
        <v>25000</v>
      </c>
      <c r="R19" s="239"/>
      <c r="S19" s="241" t="s">
        <v>82</v>
      </c>
      <c r="W19" s="307">
        <v>25000</v>
      </c>
      <c r="X19" s="242"/>
      <c r="Y19" s="241" t="s">
        <v>82</v>
      </c>
      <c r="Z19" s="33"/>
      <c r="AA19" s="239"/>
      <c r="AB19" s="248"/>
      <c r="AC19" s="307">
        <v>30000</v>
      </c>
      <c r="AD19" s="239"/>
      <c r="AE19" s="241" t="s">
        <v>82</v>
      </c>
      <c r="AF19" s="33"/>
      <c r="AG19" s="239"/>
      <c r="AH19" s="248"/>
      <c r="AI19" s="307">
        <v>30000</v>
      </c>
      <c r="AK19" s="315" t="s">
        <v>96</v>
      </c>
      <c r="AL19" s="334">
        <v>0.57999999999999996</v>
      </c>
      <c r="AM19" s="334">
        <v>0.69099999999999995</v>
      </c>
      <c r="AN19" s="334">
        <v>0.89149999999999996</v>
      </c>
      <c r="AO19" s="335">
        <v>1.0349999999999999</v>
      </c>
      <c r="AQ19" s="242"/>
      <c r="AR19" s="242"/>
    </row>
    <row r="20" spans="6:44" x14ac:dyDescent="0.2">
      <c r="F20" s="241" t="s">
        <v>83</v>
      </c>
      <c r="H20" s="239"/>
      <c r="I20" s="38">
        <f>P20</f>
        <v>43.993538597493725</v>
      </c>
      <c r="J20" s="307">
        <f>I20*J$5</f>
        <v>160576.41588085209</v>
      </c>
      <c r="M20" s="241" t="s">
        <v>83</v>
      </c>
      <c r="O20" s="239"/>
      <c r="P20" s="38">
        <f>'FY21 UFR TILP-YOUTH'!N32</f>
        <v>43.993538597493725</v>
      </c>
      <c r="Q20" s="307">
        <f>P20*Q$5</f>
        <v>192691.69905702252</v>
      </c>
      <c r="R20" s="239"/>
      <c r="S20" s="241" t="s">
        <v>83</v>
      </c>
      <c r="V20" s="38">
        <f>$AL$23</f>
        <v>43.993538597493725</v>
      </c>
      <c r="W20" s="307">
        <f>V20*W$5</f>
        <v>248893.44461532074</v>
      </c>
      <c r="Y20" s="241" t="s">
        <v>83</v>
      </c>
      <c r="Z20" s="33"/>
      <c r="AA20" s="239"/>
      <c r="AB20" s="38">
        <f>$AL$23</f>
        <v>43.993538597493725</v>
      </c>
      <c r="AC20" s="307">
        <f>AB20*AC$5</f>
        <v>321152.83176170418</v>
      </c>
      <c r="AD20" s="239"/>
      <c r="AE20" s="241" t="s">
        <v>83</v>
      </c>
      <c r="AF20" s="33"/>
      <c r="AG20" s="239"/>
      <c r="AH20" s="38">
        <f>$AL$23</f>
        <v>43.993538597493725</v>
      </c>
      <c r="AI20" s="307">
        <f>AH20*AI$5</f>
        <v>401441.03970213025</v>
      </c>
      <c r="AJ20" s="195"/>
      <c r="AK20" s="315"/>
      <c r="AL20" s="334"/>
      <c r="AM20" s="334"/>
      <c r="AN20" s="334"/>
      <c r="AO20" s="335"/>
    </row>
    <row r="21" spans="6:44" x14ac:dyDescent="0.2">
      <c r="F21" s="241" t="s">
        <v>86</v>
      </c>
      <c r="H21" s="239"/>
      <c r="I21" s="38">
        <f>P21</f>
        <v>15.901681537562935</v>
      </c>
      <c r="J21" s="307">
        <f>I21*J$5</f>
        <v>58041.137612104714</v>
      </c>
      <c r="M21" s="241" t="s">
        <v>86</v>
      </c>
      <c r="O21" s="239"/>
      <c r="P21" s="38">
        <f>'FY21 UFR TILP-YOUTH'!Z31</f>
        <v>15.901681537562935</v>
      </c>
      <c r="Q21" s="307">
        <f>P21*Q$5</f>
        <v>69649.365134525651</v>
      </c>
      <c r="R21" s="239"/>
      <c r="S21" s="241" t="s">
        <v>86</v>
      </c>
      <c r="V21" s="38">
        <f>$AL26</f>
        <v>15.901681537562935</v>
      </c>
      <c r="W21" s="307">
        <f>V21*W$5</f>
        <v>89963.763298762307</v>
      </c>
      <c r="Y21" s="241" t="s">
        <v>86</v>
      </c>
      <c r="Z21" s="33"/>
      <c r="AA21" s="239"/>
      <c r="AB21" s="38">
        <f>$AL26</f>
        <v>15.901681537562935</v>
      </c>
      <c r="AC21" s="307">
        <f>AB21*AC$5</f>
        <v>116082.27522420943</v>
      </c>
      <c r="AD21" s="239"/>
      <c r="AE21" s="241" t="s">
        <v>86</v>
      </c>
      <c r="AF21" s="33"/>
      <c r="AG21" s="239"/>
      <c r="AH21" s="38">
        <f>$AL26</f>
        <v>15.901681537562935</v>
      </c>
      <c r="AI21" s="307">
        <f>AH21*AI$5</f>
        <v>145102.84403026177</v>
      </c>
      <c r="AK21" s="241" t="s">
        <v>77</v>
      </c>
      <c r="AM21" s="33"/>
      <c r="AN21" s="33"/>
      <c r="AO21" s="139"/>
    </row>
    <row r="22" spans="6:44" ht="15.75" thickBot="1" x14ac:dyDescent="0.3">
      <c r="F22" s="1024" t="s">
        <v>541</v>
      </c>
      <c r="G22" s="1025"/>
      <c r="H22" s="592"/>
      <c r="I22" s="593"/>
      <c r="J22" s="594">
        <f>SUM(J19:J21)</f>
        <v>243617.55349295679</v>
      </c>
      <c r="M22" s="1045" t="s">
        <v>541</v>
      </c>
      <c r="N22" s="1025"/>
      <c r="O22" s="592"/>
      <c r="P22" s="593"/>
      <c r="Q22" s="594">
        <f>SUM(Q19:Q21)</f>
        <v>287341.06419154815</v>
      </c>
      <c r="R22" s="195"/>
      <c r="S22" s="1046" t="s">
        <v>541</v>
      </c>
      <c r="T22" s="1025"/>
      <c r="U22" s="592"/>
      <c r="V22" s="593"/>
      <c r="W22" s="594">
        <f>SUM(W19:W21)</f>
        <v>363857.20791408309</v>
      </c>
      <c r="Y22" s="1046" t="s">
        <v>541</v>
      </c>
      <c r="Z22" s="1025"/>
      <c r="AA22" s="592"/>
      <c r="AB22" s="593"/>
      <c r="AC22" s="594">
        <f>SUM(AC19:AC21)</f>
        <v>467235.10698591359</v>
      </c>
      <c r="AD22" s="195"/>
      <c r="AE22" s="1046" t="s">
        <v>541</v>
      </c>
      <c r="AF22" s="1025"/>
      <c r="AG22" s="592"/>
      <c r="AH22" s="593"/>
      <c r="AI22" s="594">
        <f>SUM(AI19:AI21)</f>
        <v>576543.88373239199</v>
      </c>
      <c r="AK22" s="241" t="s">
        <v>80</v>
      </c>
      <c r="AL22" s="346">
        <f>'M2024 BLS  (53_PCT)'!C38</f>
        <v>0.24970000000000001</v>
      </c>
      <c r="AM22" s="570" t="s">
        <v>355</v>
      </c>
      <c r="AN22" s="33"/>
      <c r="AO22" s="139"/>
      <c r="AR22" s="324"/>
    </row>
    <row r="23" spans="6:44" ht="15.75" thickTop="1" x14ac:dyDescent="0.25">
      <c r="F23" s="981"/>
      <c r="G23" s="596"/>
      <c r="H23" s="597"/>
      <c r="I23" s="598"/>
      <c r="J23" s="599"/>
      <c r="M23" s="595"/>
      <c r="N23" s="596"/>
      <c r="O23" s="597"/>
      <c r="P23" s="598"/>
      <c r="Q23" s="599"/>
      <c r="R23" s="195"/>
      <c r="S23" s="600"/>
      <c r="T23" s="596"/>
      <c r="U23" s="597"/>
      <c r="V23" s="598"/>
      <c r="W23" s="599"/>
      <c r="Y23" s="600"/>
      <c r="Z23" s="596"/>
      <c r="AA23" s="597"/>
      <c r="AB23" s="598"/>
      <c r="AC23" s="599"/>
      <c r="AD23" s="195"/>
      <c r="AE23" s="600"/>
      <c r="AF23" s="596"/>
      <c r="AG23" s="597"/>
      <c r="AH23" s="598"/>
      <c r="AI23" s="599"/>
      <c r="AK23" s="241" t="s">
        <v>98</v>
      </c>
      <c r="AL23" s="908">
        <f>'FY21 UFR TILP-YOUTH'!N32</f>
        <v>43.993538597493725</v>
      </c>
      <c r="AM23" s="570" t="s">
        <v>664</v>
      </c>
      <c r="AN23" s="33"/>
      <c r="AO23" s="139"/>
      <c r="AR23" s="324"/>
    </row>
    <row r="24" spans="6:44" ht="45" x14ac:dyDescent="0.25">
      <c r="F24" s="591" t="s">
        <v>357</v>
      </c>
      <c r="G24" s="579"/>
      <c r="H24" s="422"/>
      <c r="I24" s="423"/>
      <c r="J24" s="424">
        <f>J16+J22</f>
        <v>2069883.8579616931</v>
      </c>
      <c r="M24" s="591" t="s">
        <v>357</v>
      </c>
      <c r="N24" s="579"/>
      <c r="O24" s="422"/>
      <c r="P24" s="423"/>
      <c r="Q24" s="424">
        <f>Q16+Q22</f>
        <v>2230685.3432010845</v>
      </c>
      <c r="R24" s="195"/>
      <c r="S24" s="591" t="s">
        <v>357</v>
      </c>
      <c r="T24" s="579"/>
      <c r="U24" s="422"/>
      <c r="V24" s="423"/>
      <c r="W24" s="424">
        <f>W16+W22</f>
        <v>2409059.3247741153</v>
      </c>
      <c r="Y24" s="591" t="s">
        <v>357</v>
      </c>
      <c r="Z24" s="579"/>
      <c r="AA24" s="422"/>
      <c r="AB24" s="423"/>
      <c r="AC24" s="424">
        <f>AC16+AC22</f>
        <v>2512437.2238459457</v>
      </c>
      <c r="AD24" s="195"/>
      <c r="AE24" s="591" t="s">
        <v>357</v>
      </c>
      <c r="AF24" s="579"/>
      <c r="AG24" s="422"/>
      <c r="AH24" s="423"/>
      <c r="AI24" s="424">
        <f>AI16+AI22</f>
        <v>2844585.7950031124</v>
      </c>
      <c r="AK24" s="241" t="s">
        <v>99</v>
      </c>
      <c r="AL24" s="908">
        <f>'FY21 UFR TILP-YOUTH'!N33</f>
        <v>13.198061579248117</v>
      </c>
      <c r="AM24" s="570" t="s">
        <v>664</v>
      </c>
      <c r="AN24" s="33"/>
      <c r="AO24" s="139"/>
      <c r="AR24" s="324"/>
    </row>
    <row r="25" spans="6:44" x14ac:dyDescent="0.2">
      <c r="F25" s="241" t="s">
        <v>89</v>
      </c>
      <c r="H25" s="346">
        <f>O25</f>
        <v>0.12</v>
      </c>
      <c r="I25" s="38"/>
      <c r="J25" s="307">
        <f>J24*H25</f>
        <v>248386.06295540315</v>
      </c>
      <c r="M25" s="241" t="s">
        <v>89</v>
      </c>
      <c r="O25" s="346">
        <f>AL27</f>
        <v>0.12</v>
      </c>
      <c r="P25" s="38"/>
      <c r="Q25" s="307">
        <f>Q24*O25</f>
        <v>267682.24118413014</v>
      </c>
      <c r="R25" s="239"/>
      <c r="S25" s="241" t="s">
        <v>89</v>
      </c>
      <c r="U25" s="346">
        <f>AL27</f>
        <v>0.12</v>
      </c>
      <c r="V25" s="38"/>
      <c r="W25" s="307">
        <f>W24*U25</f>
        <v>289087.1189728938</v>
      </c>
      <c r="Y25" s="241" t="s">
        <v>89</v>
      </c>
      <c r="Z25" s="33"/>
      <c r="AA25" s="346">
        <f>AL27</f>
        <v>0.12</v>
      </c>
      <c r="AB25" s="38"/>
      <c r="AC25" s="307">
        <f>AC24*AA25</f>
        <v>301492.46686151344</v>
      </c>
      <c r="AD25" s="239"/>
      <c r="AE25" s="241" t="s">
        <v>89</v>
      </c>
      <c r="AF25" s="33"/>
      <c r="AG25" s="346">
        <f>AL27</f>
        <v>0.12</v>
      </c>
      <c r="AH25" s="38"/>
      <c r="AI25" s="307">
        <f>AI24*AG25</f>
        <v>341350.29540037346</v>
      </c>
      <c r="AK25" s="241" t="s">
        <v>100</v>
      </c>
      <c r="AL25" s="908">
        <f>'FY21 UFR TILP-YOUTH'!N34</f>
        <v>7.3322564329156208</v>
      </c>
      <c r="AM25" s="570" t="s">
        <v>664</v>
      </c>
      <c r="AN25" s="33"/>
      <c r="AO25" s="358"/>
      <c r="AR25" s="324"/>
    </row>
    <row r="26" spans="6:44" x14ac:dyDescent="0.2">
      <c r="F26" s="241" t="s">
        <v>46</v>
      </c>
      <c r="H26" s="346">
        <f>O26</f>
        <v>2.5282070971092779E-2</v>
      </c>
      <c r="I26" s="38"/>
      <c r="J26" s="307">
        <f>H26*(J24+J25)</f>
        <v>58610.664670775666</v>
      </c>
      <c r="M26" s="241" t="s">
        <v>46</v>
      </c>
      <c r="O26" s="346">
        <f>AL28</f>
        <v>2.5282070971092779E-2</v>
      </c>
      <c r="P26" s="38"/>
      <c r="Q26" s="307">
        <f>O26*(Q24+Q25)</f>
        <v>63163.906580304632</v>
      </c>
      <c r="R26" s="239"/>
      <c r="S26" s="241" t="s">
        <v>46</v>
      </c>
      <c r="U26" s="346">
        <f>O26</f>
        <v>2.5282070971092779E-2</v>
      </c>
      <c r="V26" s="38"/>
      <c r="W26" s="307">
        <f>U26*(W24+W25)</f>
        <v>68214.729881213483</v>
      </c>
      <c r="Y26" s="241" t="s">
        <v>46</v>
      </c>
      <c r="Z26" s="33"/>
      <c r="AA26" s="346">
        <f>U26</f>
        <v>2.5282070971092779E-2</v>
      </c>
      <c r="AB26" s="38"/>
      <c r="AC26" s="307">
        <f>AA26*(AC24+AC25)</f>
        <v>71141.970148131135</v>
      </c>
      <c r="AD26" s="239"/>
      <c r="AE26" s="241" t="s">
        <v>46</v>
      </c>
      <c r="AF26" s="33"/>
      <c r="AG26" s="346">
        <f>AA26</f>
        <v>2.5282070971092779E-2</v>
      </c>
      <c r="AH26" s="38"/>
      <c r="AI26" s="307">
        <f>AG26*(AI24+AI25)</f>
        <v>80547.062346946797</v>
      </c>
      <c r="AK26" s="241" t="s">
        <v>86</v>
      </c>
      <c r="AL26" s="908">
        <f>'FY21 UFR TILP-YOUTH'!Z31</f>
        <v>15.901681537562935</v>
      </c>
      <c r="AM26" s="570" t="s">
        <v>664</v>
      </c>
      <c r="AN26" s="33"/>
      <c r="AO26" s="358"/>
    </row>
    <row r="27" spans="6:44" ht="13.5" thickBot="1" x14ac:dyDescent="0.25">
      <c r="F27" s="348" t="s">
        <v>91</v>
      </c>
      <c r="G27" s="349"/>
      <c r="H27" s="350"/>
      <c r="I27" s="351"/>
      <c r="J27" s="352">
        <f>SUM(J24:J26)</f>
        <v>2376880.5855878717</v>
      </c>
      <c r="M27" s="348" t="s">
        <v>91</v>
      </c>
      <c r="N27" s="349"/>
      <c r="O27" s="350"/>
      <c r="P27" s="351"/>
      <c r="Q27" s="352">
        <f>SUM(Q24:Q26)</f>
        <v>2561531.4909655196</v>
      </c>
      <c r="R27" s="195"/>
      <c r="S27" s="348" t="s">
        <v>91</v>
      </c>
      <c r="T27" s="349"/>
      <c r="U27" s="350"/>
      <c r="V27" s="351"/>
      <c r="W27" s="352">
        <f>SUM(W24:W26)</f>
        <v>2766361.1736282227</v>
      </c>
      <c r="Y27" s="348" t="s">
        <v>91</v>
      </c>
      <c r="Z27" s="349"/>
      <c r="AA27" s="350"/>
      <c r="AB27" s="351"/>
      <c r="AC27" s="352">
        <f>SUM(AC24:AC26)</f>
        <v>2885071.6608555904</v>
      </c>
      <c r="AD27" s="195"/>
      <c r="AE27" s="348" t="s">
        <v>91</v>
      </c>
      <c r="AF27" s="349"/>
      <c r="AG27" s="350"/>
      <c r="AH27" s="351"/>
      <c r="AI27" s="352">
        <f>SUM(AI24:AI26)</f>
        <v>3266483.152750433</v>
      </c>
      <c r="AK27" s="316" t="s">
        <v>89</v>
      </c>
      <c r="AL27" s="428">
        <f>'M2024 BLS  (53_PCT)'!C41</f>
        <v>0.12</v>
      </c>
      <c r="AM27" s="41" t="s">
        <v>355</v>
      </c>
      <c r="AN27" s="429"/>
      <c r="AO27" s="368"/>
    </row>
    <row r="28" spans="6:44" ht="14.25" thickTop="1" thickBot="1" x14ac:dyDescent="0.25">
      <c r="F28" s="355" t="s">
        <v>93</v>
      </c>
      <c r="G28" s="324"/>
      <c r="H28" s="324"/>
      <c r="I28" s="324"/>
      <c r="J28" s="601">
        <f>J27/J5</f>
        <v>651.20016043503335</v>
      </c>
      <c r="M28" s="355" t="s">
        <v>93</v>
      </c>
      <c r="N28" s="324"/>
      <c r="O28" s="324"/>
      <c r="P28" s="324"/>
      <c r="Q28" s="601">
        <f>Q27/Q5</f>
        <v>584.82454131632869</v>
      </c>
      <c r="R28" s="426"/>
      <c r="S28" s="355" t="s">
        <v>93</v>
      </c>
      <c r="T28" s="324"/>
      <c r="U28" s="324"/>
      <c r="V28" s="324"/>
      <c r="W28" s="602">
        <f>W27/W5</f>
        <v>488.97236829486923</v>
      </c>
      <c r="X28" s="426"/>
      <c r="Y28" s="355" t="s">
        <v>93</v>
      </c>
      <c r="Z28" s="324"/>
      <c r="AA28" s="324"/>
      <c r="AB28" s="324"/>
      <c r="AC28" s="602">
        <f>AC27/AC5</f>
        <v>395.21529600761511</v>
      </c>
      <c r="AD28" s="426"/>
      <c r="AE28" s="355" t="s">
        <v>93</v>
      </c>
      <c r="AF28" s="324"/>
      <c r="AG28" s="324"/>
      <c r="AH28" s="324"/>
      <c r="AI28" s="602">
        <f>AI27/AI5</f>
        <v>357.97075646580089</v>
      </c>
      <c r="AJ28" s="324"/>
      <c r="AK28" s="369" t="s">
        <v>665</v>
      </c>
      <c r="AL28" s="430">
        <f>'CAF Spring 2025'!CT26</f>
        <v>2.5282070971092779E-2</v>
      </c>
      <c r="AM28" s="40" t="s">
        <v>689</v>
      </c>
      <c r="AN28" s="431"/>
      <c r="AO28" s="432"/>
    </row>
    <row r="29" spans="6:44" s="242" customFormat="1" ht="15" customHeight="1" thickBot="1" x14ac:dyDescent="0.25">
      <c r="F29" s="359" t="s">
        <v>95</v>
      </c>
      <c r="G29" s="295"/>
      <c r="H29" s="360">
        <v>0.9</v>
      </c>
      <c r="I29" s="361"/>
      <c r="J29" s="427">
        <f>J$27*(H26+1)/(J$5*H29)</f>
        <v>741.84872123059881</v>
      </c>
      <c r="M29" s="359" t="s">
        <v>95</v>
      </c>
      <c r="N29" s="295"/>
      <c r="O29" s="360">
        <v>0.9</v>
      </c>
      <c r="P29" s="361"/>
      <c r="Q29" s="427">
        <f>Q$27*(O26+1)/(Q$5*O29)</f>
        <v>666.23346319502764</v>
      </c>
      <c r="R29" s="426"/>
      <c r="S29" s="359" t="s">
        <v>95</v>
      </c>
      <c r="T29" s="295"/>
      <c r="U29" s="360">
        <v>0.9</v>
      </c>
      <c r="V29" s="361"/>
      <c r="W29" s="362">
        <f>$W$27*(U26+1)/($W$5*U29)</f>
        <v>557.0384471255594</v>
      </c>
      <c r="X29" s="426"/>
      <c r="Y29" s="359" t="s">
        <v>95</v>
      </c>
      <c r="Z29" s="295"/>
      <c r="AA29" s="360">
        <v>0.9</v>
      </c>
      <c r="AB29" s="361"/>
      <c r="AC29" s="362">
        <f>AC$27*(AA26+1)/(AC$5*AA29)</f>
        <v>450.23017463349009</v>
      </c>
      <c r="AD29" s="426"/>
      <c r="AE29" s="359" t="s">
        <v>95</v>
      </c>
      <c r="AF29" s="295"/>
      <c r="AG29" s="360">
        <v>0.9</v>
      </c>
      <c r="AH29" s="361"/>
      <c r="AI29" s="362">
        <f>AI$27*(AG26+1)/(AI$5*AG29)</f>
        <v>407.8011094848278</v>
      </c>
      <c r="AJ29" s="426"/>
      <c r="AQ29" s="33"/>
      <c r="AR29" s="33"/>
    </row>
    <row r="30" spans="6:44" s="242" customFormat="1" ht="13.5" thickBot="1" x14ac:dyDescent="0.25">
      <c r="F30" s="355"/>
      <c r="G30" s="33"/>
      <c r="H30" s="364">
        <v>0.85</v>
      </c>
      <c r="I30" s="239"/>
      <c r="J30" s="427">
        <f>J$27*(H26+1)/(J$5*H30)</f>
        <v>785.48688130298694</v>
      </c>
      <c r="M30" s="355"/>
      <c r="N30" s="33"/>
      <c r="O30" s="364">
        <v>0.85</v>
      </c>
      <c r="P30" s="239"/>
      <c r="Q30" s="427">
        <f>Q$27*(O26+1)/(Q$5*O30)</f>
        <v>705.42366691238215</v>
      </c>
      <c r="R30" s="426"/>
      <c r="S30" s="355"/>
      <c r="T30" s="33"/>
      <c r="U30" s="364">
        <v>0.85</v>
      </c>
      <c r="V30" s="239"/>
      <c r="W30" s="362">
        <f>$W$27*(U26+1)/($W$5*U30)</f>
        <v>589.80541460353345</v>
      </c>
      <c r="X30" s="426"/>
      <c r="Y30" s="355"/>
      <c r="Z30" s="33"/>
      <c r="AA30" s="364">
        <v>0.85</v>
      </c>
      <c r="AB30" s="239"/>
      <c r="AC30" s="362">
        <f>AC$27*(AA26+1)/(AC$5*AA30)</f>
        <v>476.71430255310719</v>
      </c>
      <c r="AD30" s="426"/>
      <c r="AE30" s="355"/>
      <c r="AF30" s="33"/>
      <c r="AG30" s="364">
        <v>0.85</v>
      </c>
      <c r="AH30" s="239"/>
      <c r="AI30" s="362">
        <f>AI$27*(AG26+1)/(AI$5*AG30)</f>
        <v>431.78941004275885</v>
      </c>
      <c r="AJ30" s="426"/>
    </row>
    <row r="31" spans="6:44" s="363" customFormat="1" ht="13.15" customHeight="1" thickBot="1" x14ac:dyDescent="0.25">
      <c r="F31" s="355"/>
      <c r="G31" s="33"/>
      <c r="H31" s="364">
        <v>0.8</v>
      </c>
      <c r="I31" s="239"/>
      <c r="J31" s="427">
        <f>J$27*(H26+1)/(J$5*H31)</f>
        <v>834.57981138442358</v>
      </c>
      <c r="M31" s="355"/>
      <c r="N31" s="33"/>
      <c r="O31" s="364">
        <v>0.8</v>
      </c>
      <c r="P31" s="239"/>
      <c r="Q31" s="427">
        <f>Q$27*(O26+1)/(Q$5*O31)</f>
        <v>749.51264609440602</v>
      </c>
      <c r="R31" s="426"/>
      <c r="S31" s="355"/>
      <c r="T31" s="33"/>
      <c r="U31" s="364">
        <v>0.8</v>
      </c>
      <c r="V31" s="239"/>
      <c r="W31" s="362">
        <f>$W$27*(U26+1)/($W$5*U31)</f>
        <v>626.66825301625431</v>
      </c>
      <c r="X31" s="426"/>
      <c r="Y31" s="355"/>
      <c r="Z31" s="33"/>
      <c r="AA31" s="364">
        <v>0.8</v>
      </c>
      <c r="AB31" s="239"/>
      <c r="AC31" s="362">
        <f>AC$27*(AA26+1)/(AC$5*AA31)</f>
        <v>506.50894646267636</v>
      </c>
      <c r="AD31" s="426"/>
      <c r="AE31" s="355"/>
      <c r="AF31" s="33"/>
      <c r="AG31" s="364">
        <v>0.8</v>
      </c>
      <c r="AH31" s="239"/>
      <c r="AI31" s="362">
        <f>AI$27*(AG26+1)/(AI$5*AG31)</f>
        <v>458.7762481704313</v>
      </c>
      <c r="AJ31" s="426"/>
      <c r="AM31" s="242"/>
      <c r="AN31" s="242"/>
      <c r="AO31" s="242"/>
      <c r="AQ31" s="353"/>
      <c r="AR31" s="242"/>
    </row>
    <row r="32" spans="6:44" s="363" customFormat="1" ht="13.5" thickBot="1" x14ac:dyDescent="0.25">
      <c r="F32" s="355"/>
      <c r="G32" s="33"/>
      <c r="H32" s="364">
        <v>0.75</v>
      </c>
      <c r="I32" s="239"/>
      <c r="J32" s="427">
        <f>J$27*(H26+1)/(J$5*H32)</f>
        <v>890.21846547671851</v>
      </c>
      <c r="M32" s="355"/>
      <c r="N32" s="33"/>
      <c r="O32" s="364">
        <v>0.75</v>
      </c>
      <c r="P32" s="239"/>
      <c r="Q32" s="427">
        <f>Q$27*(O26+1)/(Q$5*O32)</f>
        <v>799.4801558340331</v>
      </c>
      <c r="R32" s="426"/>
      <c r="S32" s="355"/>
      <c r="T32" s="33"/>
      <c r="U32" s="364">
        <v>0.75</v>
      </c>
      <c r="V32" s="239"/>
      <c r="W32" s="362">
        <f>$W$27*(U26+1)/($W$5*U32)</f>
        <v>668.44613655067121</v>
      </c>
      <c r="X32" s="426"/>
      <c r="Y32" s="355"/>
      <c r="Z32" s="33"/>
      <c r="AA32" s="364">
        <v>0.75</v>
      </c>
      <c r="AB32" s="239"/>
      <c r="AC32" s="362">
        <f>AC$27*(AA26+1)/(AC$5*AA32)</f>
        <v>540.27620956018814</v>
      </c>
      <c r="AD32" s="426"/>
      <c r="AE32" s="355"/>
      <c r="AF32" s="33"/>
      <c r="AG32" s="364">
        <v>0.75</v>
      </c>
      <c r="AH32" s="239"/>
      <c r="AI32" s="362">
        <f>AI$27*(AG26+1)/(AI$5*AG32)</f>
        <v>489.36133138179338</v>
      </c>
      <c r="AJ32" s="426"/>
      <c r="AM32" s="240"/>
      <c r="AN32" s="240"/>
      <c r="AO32" s="240"/>
    </row>
    <row r="33" spans="6:44" ht="13.5" thickBot="1" x14ac:dyDescent="0.25">
      <c r="F33" s="355"/>
      <c r="H33" s="364">
        <v>0.7</v>
      </c>
      <c r="I33" s="239"/>
      <c r="J33" s="427">
        <f>J$27*(H26+1)/(J$5*H33)</f>
        <v>953.8054987250556</v>
      </c>
      <c r="M33" s="355"/>
      <c r="O33" s="364">
        <v>0.7</v>
      </c>
      <c r="P33" s="239"/>
      <c r="Q33" s="427">
        <f>Q$27*(O26+1)/(Q$5*O33)</f>
        <v>856.58588125074982</v>
      </c>
      <c r="R33" s="426"/>
      <c r="S33" s="355"/>
      <c r="U33" s="364">
        <v>0.7</v>
      </c>
      <c r="V33" s="239"/>
      <c r="W33" s="362">
        <f>$W$27*(U26+1)/($W$5*U33)</f>
        <v>716.19228916143356</v>
      </c>
      <c r="X33" s="426"/>
      <c r="Y33" s="355"/>
      <c r="Z33" s="33"/>
      <c r="AA33" s="364">
        <v>0.7</v>
      </c>
      <c r="AC33" s="362">
        <f>AC$27*(AA26+1)/(AC$5*AA33)</f>
        <v>578.86736738591583</v>
      </c>
      <c r="AD33" s="426"/>
      <c r="AE33" s="355"/>
      <c r="AF33" s="33"/>
      <c r="AG33" s="364">
        <v>0.7</v>
      </c>
      <c r="AI33" s="362">
        <f>AI$27*(AG26+1)/(AI$5*AG33)</f>
        <v>524.3157121947786</v>
      </c>
      <c r="AJ33" s="426"/>
      <c r="AL33" s="324"/>
      <c r="AN33" s="239"/>
      <c r="AQ33" s="363"/>
      <c r="AR33" s="363" t="s">
        <v>97</v>
      </c>
    </row>
    <row r="34" spans="6:44" ht="13.5" thickBot="1" x14ac:dyDescent="0.25">
      <c r="F34" s="355"/>
      <c r="H34" s="364">
        <v>0.65</v>
      </c>
      <c r="I34" s="239"/>
      <c r="J34" s="427">
        <f>J$27*(H26+1)/(J$5*H34)</f>
        <v>1027.1751524731367</v>
      </c>
      <c r="M34" s="355"/>
      <c r="O34" s="364">
        <v>0.65</v>
      </c>
      <c r="P34" s="239"/>
      <c r="Q34" s="427">
        <f>Q$27*(O26+1)/(Q$5*O34)</f>
        <v>922.47710288542282</v>
      </c>
      <c r="R34" s="426"/>
      <c r="S34" s="355"/>
      <c r="U34" s="364">
        <v>0.65</v>
      </c>
      <c r="V34" s="239"/>
      <c r="W34" s="362">
        <f>$W$27*(U26+1)/($W$5*U34)</f>
        <v>771.28400371231294</v>
      </c>
      <c r="X34" s="426"/>
      <c r="Y34" s="355"/>
      <c r="Z34" s="33"/>
      <c r="AA34" s="364">
        <v>0.65</v>
      </c>
      <c r="AC34" s="362">
        <f>AC$27*(AA26+1)/(AC$5*AA34)</f>
        <v>623.39562641560167</v>
      </c>
      <c r="AD34" s="426"/>
      <c r="AE34" s="355"/>
      <c r="AF34" s="33"/>
      <c r="AG34" s="364">
        <v>0.65</v>
      </c>
      <c r="AI34" s="362">
        <f>AI$27*(AG26+1)/(AI$5*AG34)</f>
        <v>564.6476900559154</v>
      </c>
      <c r="AJ34" s="426"/>
      <c r="AL34" s="324"/>
      <c r="AN34" s="239"/>
    </row>
    <row r="35" spans="6:44" ht="13.5" thickBot="1" x14ac:dyDescent="0.25">
      <c r="F35" s="355"/>
      <c r="H35" s="364">
        <v>0.6</v>
      </c>
      <c r="I35" s="239"/>
      <c r="J35" s="427">
        <f>J$27*(H26+1)/(J$5*H35)</f>
        <v>1112.7730818458981</v>
      </c>
      <c r="M35" s="355"/>
      <c r="O35" s="364">
        <v>0.6</v>
      </c>
      <c r="P35" s="239"/>
      <c r="Q35" s="427">
        <f>Q$27*(O26+1)/(Q$5*O35)</f>
        <v>999.3501947925414</v>
      </c>
      <c r="R35" s="426"/>
      <c r="S35" s="355"/>
      <c r="U35" s="364">
        <v>0.6</v>
      </c>
      <c r="V35" s="239"/>
      <c r="W35" s="362">
        <f>$W$27*(U26+1)/($W$5*U35)</f>
        <v>835.55767068833904</v>
      </c>
      <c r="X35" s="426"/>
      <c r="Y35" s="355"/>
      <c r="Z35" s="33"/>
      <c r="AA35" s="364">
        <v>0.6</v>
      </c>
      <c r="AC35" s="362">
        <f>AC$27*(AA26+1)/(AC$5*AA35)</f>
        <v>675.34526195023523</v>
      </c>
      <c r="AD35" s="426"/>
      <c r="AE35" s="355"/>
      <c r="AF35" s="33"/>
      <c r="AG35" s="364">
        <v>0.6</v>
      </c>
      <c r="AI35" s="362">
        <f>AI$27*(AG26+1)/(AI$5*AG35)</f>
        <v>611.70166422724174</v>
      </c>
      <c r="AJ35" s="426"/>
      <c r="AL35" s="324"/>
      <c r="AN35" s="239"/>
    </row>
    <row r="36" spans="6:44" ht="13.5" thickBot="1" x14ac:dyDescent="0.25">
      <c r="F36" s="355"/>
      <c r="H36" s="364">
        <v>0.55000000000000004</v>
      </c>
      <c r="I36" s="239"/>
      <c r="J36" s="427">
        <f>J$27*(H26+1)/(J$5*H36)</f>
        <v>1213.9342711046161</v>
      </c>
      <c r="M36" s="355"/>
      <c r="O36" s="364">
        <v>0.55000000000000004</v>
      </c>
      <c r="P36" s="239"/>
      <c r="Q36" s="427">
        <f>Q$27*(O26+1)/(Q$5*O36)</f>
        <v>1090.2002125009542</v>
      </c>
      <c r="R36" s="426"/>
      <c r="S36" s="355"/>
      <c r="U36" s="364">
        <v>0.55000000000000004</v>
      </c>
      <c r="V36" s="239"/>
      <c r="W36" s="362">
        <f>$W$27*(U26+1)/($W$5*U36)</f>
        <v>911.51745893273335</v>
      </c>
      <c r="X36" s="426"/>
      <c r="Y36" s="373"/>
      <c r="Z36" s="36"/>
      <c r="AA36" s="374">
        <v>0.55000000000000004</v>
      </c>
      <c r="AB36" s="375"/>
      <c r="AC36" s="376">
        <f>AC$27*(AA26+1)/(AC$5*AA36)</f>
        <v>736.74028576389287</v>
      </c>
      <c r="AD36" s="426"/>
      <c r="AE36" s="355"/>
      <c r="AF36" s="33"/>
      <c r="AG36" s="364">
        <v>0.55000000000000004</v>
      </c>
      <c r="AI36" s="362">
        <f>AI$27*(AG26+1)/(AI$5*AG36)</f>
        <v>667.31090642971822</v>
      </c>
      <c r="AJ36" s="426"/>
      <c r="AL36" s="324"/>
      <c r="AN36" s="239"/>
    </row>
    <row r="37" spans="6:44" ht="15.75" thickBot="1" x14ac:dyDescent="0.3">
      <c r="F37" s="373"/>
      <c r="G37" s="36"/>
      <c r="H37" s="374">
        <v>0.5</v>
      </c>
      <c r="I37" s="375"/>
      <c r="J37" s="433">
        <f>J$27*(H26+1)/(J$5*H37)</f>
        <v>1335.3276982150778</v>
      </c>
      <c r="M37" s="373"/>
      <c r="N37" s="36"/>
      <c r="O37" s="374">
        <v>0.5</v>
      </c>
      <c r="P37" s="375"/>
      <c r="Q37" s="433">
        <f>Q$27*(O26+1)/(Q$5*O37)</f>
        <v>1199.2202337510496</v>
      </c>
      <c r="R37" s="582"/>
      <c r="S37" s="373"/>
      <c r="T37" s="36"/>
      <c r="U37" s="374">
        <v>0.5</v>
      </c>
      <c r="V37" s="375"/>
      <c r="W37" s="376">
        <f>$W$27*(U26+1)/($W$5*U37)</f>
        <v>1002.6692048260069</v>
      </c>
      <c r="X37" s="426"/>
      <c r="Y37" s="373"/>
      <c r="Z37" s="36"/>
      <c r="AA37" s="374">
        <v>0.5</v>
      </c>
      <c r="AB37" s="375"/>
      <c r="AC37" s="425">
        <f>AC$27*(AA26+1)/(AC$5*AA37)</f>
        <v>810.4143143402822</v>
      </c>
      <c r="AD37" s="426"/>
      <c r="AE37" s="373"/>
      <c r="AF37" s="36"/>
      <c r="AG37" s="374">
        <v>0.5</v>
      </c>
      <c r="AH37" s="375"/>
      <c r="AI37" s="376">
        <f>AI$27*(AG26+1)/(AI$5*AG37)</f>
        <v>734.04199707269004</v>
      </c>
      <c r="AJ37" s="426"/>
      <c r="AM37" s="309"/>
      <c r="AN37" s="309"/>
      <c r="AO37" s="309"/>
    </row>
    <row r="38" spans="6:44" x14ac:dyDescent="0.2">
      <c r="I38" s="187"/>
      <c r="P38" s="187"/>
      <c r="R38" s="944"/>
      <c r="U38" s="33"/>
      <c r="V38" s="187"/>
      <c r="W38" s="33"/>
      <c r="X38" s="943"/>
      <c r="Z38" s="33"/>
      <c r="AA38" s="33"/>
      <c r="AB38" s="187"/>
      <c r="AC38" s="33"/>
      <c r="AD38" s="943"/>
      <c r="AF38" s="33"/>
      <c r="AG38" s="33"/>
      <c r="AH38" s="187"/>
      <c r="AI38" s="33"/>
      <c r="AJ38" s="945"/>
      <c r="AK38" s="435"/>
      <c r="AL38" s="309"/>
      <c r="AM38" s="309"/>
      <c r="AN38" s="309"/>
      <c r="AO38" s="309"/>
    </row>
    <row r="39" spans="6:44" ht="13.5" thickBot="1" x14ac:dyDescent="0.25">
      <c r="R39" s="944"/>
      <c r="X39" s="943"/>
      <c r="AD39" s="943"/>
      <c r="AJ39" s="943"/>
      <c r="AK39" s="435"/>
      <c r="AN39" s="239"/>
    </row>
    <row r="40" spans="6:44" ht="13.5" thickBot="1" x14ac:dyDescent="0.25">
      <c r="F40" s="978" t="s">
        <v>101</v>
      </c>
      <c r="M40" s="404" t="s">
        <v>101</v>
      </c>
      <c r="R40" s="434"/>
      <c r="X40" s="156"/>
      <c r="AD40" s="156"/>
      <c r="AJ40" s="156"/>
      <c r="AK40" s="436"/>
      <c r="AL40" s="33"/>
      <c r="AM40" s="33"/>
      <c r="AN40" s="33"/>
      <c r="AO40" s="33"/>
    </row>
    <row r="41" spans="6:44" ht="13.5" thickBot="1" x14ac:dyDescent="0.25">
      <c r="F41" s="337"/>
      <c r="G41" s="35"/>
      <c r="H41" s="347" t="s">
        <v>49</v>
      </c>
      <c r="I41" s="302"/>
      <c r="J41" s="979"/>
      <c r="M41" s="406"/>
      <c r="N41" s="407"/>
      <c r="O41" s="408" t="s">
        <v>49</v>
      </c>
      <c r="P41" s="409"/>
      <c r="Q41" s="410"/>
      <c r="R41" s="434"/>
      <c r="S41" s="406"/>
      <c r="T41" s="407"/>
      <c r="U41" s="408" t="s">
        <v>50</v>
      </c>
      <c r="V41" s="409"/>
      <c r="W41" s="410"/>
      <c r="X41" s="156"/>
      <c r="Y41" s="406"/>
      <c r="Z41" s="407"/>
      <c r="AA41" s="408" t="s">
        <v>51</v>
      </c>
      <c r="AB41" s="409"/>
      <c r="AC41" s="410"/>
      <c r="AD41" s="156"/>
      <c r="AE41" s="406"/>
      <c r="AF41" s="407"/>
      <c r="AG41" s="408" t="s">
        <v>52</v>
      </c>
      <c r="AH41" s="409"/>
      <c r="AI41" s="410"/>
      <c r="AJ41" s="156"/>
      <c r="AK41" s="435"/>
      <c r="AL41" s="242"/>
      <c r="AM41" s="242"/>
      <c r="AN41" s="242"/>
      <c r="AO41" s="242"/>
    </row>
    <row r="42" spans="6:44" x14ac:dyDescent="0.2">
      <c r="F42" s="304" t="s">
        <v>56</v>
      </c>
      <c r="G42" s="279" t="s">
        <v>691</v>
      </c>
      <c r="H42" s="204" t="s">
        <v>58</v>
      </c>
      <c r="I42" s="294">
        <v>365</v>
      </c>
      <c r="J42" s="305">
        <f>I42*G43</f>
        <v>3650</v>
      </c>
      <c r="M42" s="304" t="s">
        <v>56</v>
      </c>
      <c r="N42" s="279" t="s">
        <v>57</v>
      </c>
      <c r="O42" s="204" t="s">
        <v>58</v>
      </c>
      <c r="P42" s="294">
        <v>365</v>
      </c>
      <c r="Q42" s="305">
        <f>P42*N43</f>
        <v>4380</v>
      </c>
      <c r="R42" s="434"/>
      <c r="S42" s="304" t="s">
        <v>56</v>
      </c>
      <c r="T42" s="411" t="s">
        <v>59</v>
      </c>
      <c r="U42" s="204" t="s">
        <v>58</v>
      </c>
      <c r="V42" s="294">
        <v>365</v>
      </c>
      <c r="W42" s="305">
        <f>T43*V42</f>
        <v>5657.5</v>
      </c>
      <c r="X42" s="156"/>
      <c r="Y42" s="304" t="s">
        <v>56</v>
      </c>
      <c r="Z42" s="242" t="s">
        <v>60</v>
      </c>
      <c r="AA42" s="204" t="s">
        <v>58</v>
      </c>
      <c r="AB42" s="294">
        <v>365</v>
      </c>
      <c r="AC42" s="305">
        <f>Z43*AB42</f>
        <v>7300</v>
      </c>
      <c r="AD42" s="156"/>
      <c r="AE42" s="304" t="s">
        <v>56</v>
      </c>
      <c r="AF42" s="242" t="s">
        <v>61</v>
      </c>
      <c r="AG42" s="204" t="s">
        <v>58</v>
      </c>
      <c r="AH42" s="294">
        <v>365</v>
      </c>
      <c r="AI42" s="305">
        <f>AF43*AH42</f>
        <v>9125</v>
      </c>
      <c r="AJ42" s="156"/>
      <c r="AK42" s="435"/>
      <c r="AL42" s="242"/>
      <c r="AM42" s="242"/>
      <c r="AN42" s="242"/>
      <c r="AO42" s="242"/>
    </row>
    <row r="43" spans="6:44" x14ac:dyDescent="0.2">
      <c r="F43" s="304"/>
      <c r="G43" s="242">
        <v>10</v>
      </c>
      <c r="H43" s="204"/>
      <c r="I43" s="294"/>
      <c r="J43" s="305"/>
      <c r="M43" s="304"/>
      <c r="N43" s="242">
        <v>12</v>
      </c>
      <c r="O43" s="204"/>
      <c r="P43" s="294"/>
      <c r="Q43" s="305"/>
      <c r="R43" s="434"/>
      <c r="S43" s="304"/>
      <c r="T43" s="242">
        <v>15.5</v>
      </c>
      <c r="U43" s="204"/>
      <c r="V43" s="294"/>
      <c r="W43" s="305"/>
      <c r="X43" s="156"/>
      <c r="Y43" s="304"/>
      <c r="Z43" s="242">
        <v>20</v>
      </c>
      <c r="AA43" s="204"/>
      <c r="AB43" s="294"/>
      <c r="AC43" s="305"/>
      <c r="AD43" s="156"/>
      <c r="AE43" s="304"/>
      <c r="AF43" s="242">
        <v>25</v>
      </c>
      <c r="AG43" s="204"/>
      <c r="AH43" s="294"/>
      <c r="AI43" s="305"/>
      <c r="AJ43" s="156"/>
      <c r="AK43" s="33"/>
      <c r="AL43" s="33"/>
      <c r="AM43" s="33"/>
      <c r="AN43" s="33"/>
      <c r="AO43" s="33"/>
    </row>
    <row r="44" spans="6:44" x14ac:dyDescent="0.2">
      <c r="F44" s="304"/>
      <c r="G44" s="242"/>
      <c r="H44" s="414"/>
      <c r="I44" s="294"/>
      <c r="J44" s="305"/>
      <c r="M44" s="304"/>
      <c r="N44" s="242"/>
      <c r="O44" s="414"/>
      <c r="P44" s="294"/>
      <c r="Q44" s="305"/>
      <c r="R44" s="434"/>
      <c r="S44" s="304"/>
      <c r="T44" s="242"/>
      <c r="U44" s="204"/>
      <c r="V44" s="294"/>
      <c r="W44" s="305"/>
      <c r="X44" s="156"/>
      <c r="Y44" s="304"/>
      <c r="Z44" s="242"/>
      <c r="AA44" s="204"/>
      <c r="AB44" s="294"/>
      <c r="AC44" s="305"/>
      <c r="AD44" s="156"/>
      <c r="AE44" s="304"/>
      <c r="AF44" s="242"/>
      <c r="AG44" s="204"/>
      <c r="AH44" s="294"/>
      <c r="AI44" s="305"/>
      <c r="AJ44" s="156"/>
      <c r="AK44" s="33"/>
      <c r="AL44" s="33"/>
      <c r="AM44" s="33"/>
      <c r="AN44" s="33"/>
      <c r="AO44" s="195"/>
    </row>
    <row r="45" spans="6:44" ht="25.5" x14ac:dyDescent="0.2">
      <c r="F45" s="304"/>
      <c r="G45" s="310" t="s">
        <v>65</v>
      </c>
      <c r="H45" s="293" t="s">
        <v>66</v>
      </c>
      <c r="I45" s="311" t="s">
        <v>67</v>
      </c>
      <c r="J45" s="312" t="s">
        <v>68</v>
      </c>
      <c r="M45" s="304"/>
      <c r="N45" s="310" t="s">
        <v>65</v>
      </c>
      <c r="O45" s="293" t="s">
        <v>66</v>
      </c>
      <c r="P45" s="311" t="s">
        <v>67</v>
      </c>
      <c r="Q45" s="312" t="s">
        <v>68</v>
      </c>
      <c r="R45" s="434"/>
      <c r="S45" s="304"/>
      <c r="T45" s="310" t="s">
        <v>65</v>
      </c>
      <c r="U45" s="293" t="s">
        <v>66</v>
      </c>
      <c r="V45" s="311" t="s">
        <v>67</v>
      </c>
      <c r="W45" s="312" t="s">
        <v>68</v>
      </c>
      <c r="X45" s="156"/>
      <c r="Y45" s="304"/>
      <c r="Z45" s="310" t="s">
        <v>65</v>
      </c>
      <c r="AA45" s="293" t="s">
        <v>66</v>
      </c>
      <c r="AB45" s="311" t="s">
        <v>67</v>
      </c>
      <c r="AC45" s="312" t="s">
        <v>68</v>
      </c>
      <c r="AD45" s="156"/>
      <c r="AE45" s="304"/>
      <c r="AF45" s="310" t="s">
        <v>65</v>
      </c>
      <c r="AG45" s="293" t="s">
        <v>66</v>
      </c>
      <c r="AH45" s="311" t="s">
        <v>67</v>
      </c>
      <c r="AI45" s="312" t="s">
        <v>68</v>
      </c>
      <c r="AJ45" s="156"/>
      <c r="AK45" s="33"/>
      <c r="AL45" s="33"/>
      <c r="AM45" s="33"/>
      <c r="AN45" s="33"/>
      <c r="AO45" s="195"/>
    </row>
    <row r="46" spans="6:44" x14ac:dyDescent="0.2">
      <c r="F46" s="155" t="str">
        <f>M46</f>
        <v>Management</v>
      </c>
      <c r="G46" s="314"/>
      <c r="H46" s="239">
        <f>O46</f>
        <v>81486.911999999997</v>
      </c>
      <c r="I46" s="38">
        <f>P46</f>
        <v>2.15</v>
      </c>
      <c r="J46" s="307">
        <f>H46*I46</f>
        <v>175196.86079999999</v>
      </c>
      <c r="M46" s="155" t="s">
        <v>352</v>
      </c>
      <c r="N46" s="314"/>
      <c r="O46" s="239">
        <f>$AM$5</f>
        <v>81486.911999999997</v>
      </c>
      <c r="P46" s="38">
        <f>AL12</f>
        <v>2.15</v>
      </c>
      <c r="Q46" s="307">
        <f>O46*P46</f>
        <v>175196.86079999999</v>
      </c>
      <c r="R46" s="434"/>
      <c r="S46" s="155" t="s">
        <v>352</v>
      </c>
      <c r="T46" s="314"/>
      <c r="U46" s="239">
        <f>$AM$5</f>
        <v>81486.911999999997</v>
      </c>
      <c r="V46" s="38">
        <f>AM12</f>
        <v>2.15</v>
      </c>
      <c r="W46" s="307">
        <f>U46*V46</f>
        <v>175196.86079999999</v>
      </c>
      <c r="X46" s="156"/>
      <c r="Y46" s="155" t="s">
        <v>352</v>
      </c>
      <c r="Z46" s="314"/>
      <c r="AA46" s="239">
        <f>$AM$5</f>
        <v>81486.911999999997</v>
      </c>
      <c r="AB46" s="38">
        <f>AN12</f>
        <v>2.15</v>
      </c>
      <c r="AC46" s="307">
        <f>AA46*AB46</f>
        <v>175196.86079999999</v>
      </c>
      <c r="AD46" s="156"/>
      <c r="AE46" s="155" t="s">
        <v>352</v>
      </c>
      <c r="AF46" s="314"/>
      <c r="AG46" s="239">
        <f>$AM$5</f>
        <v>81486.911999999997</v>
      </c>
      <c r="AH46" s="38">
        <f>AO12</f>
        <v>2.15</v>
      </c>
      <c r="AI46" s="307">
        <f>AG46*AH46</f>
        <v>175196.86079999999</v>
      </c>
      <c r="AJ46" s="156"/>
      <c r="AK46" s="33"/>
      <c r="AL46" s="33"/>
      <c r="AM46" s="33"/>
      <c r="AN46" s="33"/>
      <c r="AO46" s="33"/>
    </row>
    <row r="47" spans="6:44" x14ac:dyDescent="0.2">
      <c r="F47" s="155" t="str">
        <f t="shared" ref="F47:F49" si="3">M47</f>
        <v>Clinical Director</v>
      </c>
      <c r="G47" s="314"/>
      <c r="H47" s="239">
        <f t="shared" ref="H47:H49" si="4">O47</f>
        <v>101806.432</v>
      </c>
      <c r="I47" s="38">
        <f t="shared" ref="I47:I48" si="5">P47</f>
        <v>1</v>
      </c>
      <c r="J47" s="307">
        <f>H47*I47</f>
        <v>101806.432</v>
      </c>
      <c r="M47" s="155" t="str">
        <f>AK6</f>
        <v>Clinical Director</v>
      </c>
      <c r="N47" s="314"/>
      <c r="O47" s="239">
        <f>AM6</f>
        <v>101806.432</v>
      </c>
      <c r="P47" s="38">
        <v>1</v>
      </c>
      <c r="Q47" s="307">
        <f>O47*P47</f>
        <v>101806.432</v>
      </c>
      <c r="R47" s="434"/>
      <c r="S47" s="155" t="str">
        <f>AK6</f>
        <v>Clinical Director</v>
      </c>
      <c r="T47" s="314"/>
      <c r="U47" s="239">
        <f>AM6</f>
        <v>101806.432</v>
      </c>
      <c r="V47" s="38">
        <v>1</v>
      </c>
      <c r="W47" s="307">
        <f>U47*V47</f>
        <v>101806.432</v>
      </c>
      <c r="X47" s="156"/>
      <c r="Y47" s="155" t="str">
        <f>AK6</f>
        <v>Clinical Director</v>
      </c>
      <c r="Z47" s="314"/>
      <c r="AA47" s="239">
        <f>AM6</f>
        <v>101806.432</v>
      </c>
      <c r="AB47" s="38">
        <v>1</v>
      </c>
      <c r="AC47" s="307">
        <f>AA47*AB47</f>
        <v>101806.432</v>
      </c>
      <c r="AD47" s="156"/>
      <c r="AE47" s="155" t="str">
        <f>AK6</f>
        <v>Clinical Director</v>
      </c>
      <c r="AF47" s="314"/>
      <c r="AG47" s="239">
        <f>AM6</f>
        <v>101806.432</v>
      </c>
      <c r="AH47" s="38">
        <v>1.5</v>
      </c>
      <c r="AI47" s="307">
        <f>AG47*AH47</f>
        <v>152709.64799999999</v>
      </c>
      <c r="AJ47" s="156"/>
      <c r="AK47" s="33"/>
      <c r="AL47" s="33"/>
      <c r="AM47" s="33"/>
      <c r="AN47" s="33"/>
      <c r="AO47" s="33"/>
    </row>
    <row r="48" spans="6:44" x14ac:dyDescent="0.2">
      <c r="F48" s="155" t="str">
        <f t="shared" si="3"/>
        <v>Clinical (LICSW)</v>
      </c>
      <c r="G48" s="314"/>
      <c r="H48" s="239">
        <f t="shared" si="4"/>
        <v>84174.063999999998</v>
      </c>
      <c r="I48" s="38">
        <f t="shared" si="5"/>
        <v>2</v>
      </c>
      <c r="J48" s="307">
        <f>H48*I48</f>
        <v>168348.128</v>
      </c>
      <c r="M48" s="155" t="str">
        <f>AK7</f>
        <v>Clinical (LICSW)</v>
      </c>
      <c r="N48" s="314"/>
      <c r="O48" s="239">
        <f>AM7</f>
        <v>84174.063999999998</v>
      </c>
      <c r="P48" s="38">
        <v>2</v>
      </c>
      <c r="Q48" s="307">
        <f>O48*P48</f>
        <v>168348.128</v>
      </c>
      <c r="R48" s="434"/>
      <c r="S48" s="155" t="str">
        <f>AK7</f>
        <v>Clinical (LICSW)</v>
      </c>
      <c r="T48" s="314"/>
      <c r="U48" s="239">
        <f>AM7</f>
        <v>84174.063999999998</v>
      </c>
      <c r="V48" s="38">
        <v>2</v>
      </c>
      <c r="W48" s="307">
        <f>U48*V48</f>
        <v>168348.128</v>
      </c>
      <c r="X48" s="156"/>
      <c r="Y48" s="155" t="str">
        <f>AK7</f>
        <v>Clinical (LICSW)</v>
      </c>
      <c r="Z48" s="314"/>
      <c r="AA48" s="239">
        <f>AM7</f>
        <v>84174.063999999998</v>
      </c>
      <c r="AB48" s="38">
        <v>2</v>
      </c>
      <c r="AC48" s="307">
        <f>AA48*AB48</f>
        <v>168348.128</v>
      </c>
      <c r="AD48" s="156"/>
      <c r="AE48" s="155" t="str">
        <f>AK7</f>
        <v>Clinical (LICSW)</v>
      </c>
      <c r="AF48" s="314"/>
      <c r="AG48" s="239">
        <f>AM7</f>
        <v>84174.063999999998</v>
      </c>
      <c r="AH48" s="38">
        <v>2</v>
      </c>
      <c r="AI48" s="307">
        <f>AG48*AH48</f>
        <v>168348.128</v>
      </c>
      <c r="AJ48" s="156"/>
      <c r="AK48" s="33"/>
      <c r="AL48" s="33"/>
      <c r="AM48" s="33"/>
      <c r="AN48" s="33"/>
      <c r="AO48" s="33"/>
    </row>
    <row r="49" spans="6:44" s="242" customFormat="1" x14ac:dyDescent="0.2">
      <c r="F49" s="155" t="str">
        <f t="shared" si="3"/>
        <v>Direct Care Staff</v>
      </c>
      <c r="G49" s="38">
        <v>0.57999999999999996</v>
      </c>
      <c r="H49" s="239">
        <f t="shared" si="4"/>
        <v>46842.432000000008</v>
      </c>
      <c r="I49" s="980">
        <v>21.69</v>
      </c>
      <c r="J49" s="307">
        <f>H49*I49</f>
        <v>1016012.3500800002</v>
      </c>
      <c r="M49" s="319" t="s">
        <v>354</v>
      </c>
      <c r="N49" s="38">
        <v>0.57999999999999996</v>
      </c>
      <c r="O49" s="239">
        <f>AM8</f>
        <v>46842.432000000008</v>
      </c>
      <c r="P49" s="38">
        <v>23.69</v>
      </c>
      <c r="Q49" s="307">
        <f>O49*P49</f>
        <v>1109697.2140800003</v>
      </c>
      <c r="R49" s="434"/>
      <c r="S49" s="319" t="s">
        <v>354</v>
      </c>
      <c r="T49" s="38">
        <v>0.69</v>
      </c>
      <c r="U49" s="239">
        <f>AM8</f>
        <v>46842.432000000008</v>
      </c>
      <c r="V49" s="38">
        <v>25.43</v>
      </c>
      <c r="W49" s="307">
        <f>U49*V49</f>
        <v>1191203.0457600001</v>
      </c>
      <c r="X49" s="156"/>
      <c r="Y49" s="319" t="s">
        <v>354</v>
      </c>
      <c r="Z49" s="38">
        <v>0.89</v>
      </c>
      <c r="AA49" s="239">
        <f>AM8</f>
        <v>46842.432000000008</v>
      </c>
      <c r="AB49" s="38">
        <v>25.43</v>
      </c>
      <c r="AC49" s="307">
        <f>AA49*AB49</f>
        <v>1191203.0457600001</v>
      </c>
      <c r="AD49" s="156"/>
      <c r="AE49" s="319" t="s">
        <v>354</v>
      </c>
      <c r="AF49" s="38">
        <v>1.04</v>
      </c>
      <c r="AG49" s="239">
        <f>AM8</f>
        <v>46842.432000000008</v>
      </c>
      <c r="AH49" s="38">
        <v>28.15</v>
      </c>
      <c r="AI49" s="307">
        <f>AG49*AH49</f>
        <v>1318614.4608000002</v>
      </c>
      <c r="AJ49" s="156"/>
      <c r="AK49" s="294"/>
      <c r="AL49" s="294"/>
      <c r="AM49" s="33"/>
      <c r="AN49" s="33"/>
      <c r="AO49" s="33"/>
      <c r="AQ49" s="33"/>
      <c r="AR49" s="33"/>
    </row>
    <row r="50" spans="6:44" s="242" customFormat="1" x14ac:dyDescent="0.2">
      <c r="F50" s="155"/>
      <c r="G50" s="38"/>
      <c r="H50" s="618"/>
      <c r="I50" s="618"/>
      <c r="J50" s="307"/>
      <c r="M50" s="155"/>
      <c r="N50" s="38"/>
      <c r="O50" s="265"/>
      <c r="P50" s="265"/>
      <c r="Q50" s="307"/>
      <c r="R50" s="434"/>
      <c r="S50" s="155"/>
      <c r="T50" s="38"/>
      <c r="U50" s="265"/>
      <c r="V50" s="265"/>
      <c r="W50" s="307"/>
      <c r="X50" s="156"/>
      <c r="Y50" s="155"/>
      <c r="Z50" s="38"/>
      <c r="AA50" s="265"/>
      <c r="AB50" s="265"/>
      <c r="AC50" s="307"/>
      <c r="AD50" s="156"/>
      <c r="AE50" s="155"/>
      <c r="AF50" s="38"/>
      <c r="AG50" s="265"/>
      <c r="AH50" s="265"/>
      <c r="AI50" s="307"/>
      <c r="AJ50" s="156"/>
      <c r="AK50" s="294"/>
      <c r="AL50" s="294"/>
      <c r="AM50" s="33"/>
      <c r="AN50" s="33"/>
      <c r="AO50" s="33"/>
    </row>
    <row r="51" spans="6:44" s="242" customFormat="1" x14ac:dyDescent="0.2">
      <c r="F51" s="589" t="s">
        <v>538</v>
      </c>
      <c r="G51" s="585"/>
      <c r="H51" s="586"/>
      <c r="I51" s="587">
        <f>SUM(I46:I49)</f>
        <v>26.840000000000003</v>
      </c>
      <c r="J51" s="588">
        <f>SUM(J46:J50)</f>
        <v>1461363.7708800002</v>
      </c>
      <c r="M51" s="589" t="s">
        <v>538</v>
      </c>
      <c r="N51" s="585"/>
      <c r="O51" s="586"/>
      <c r="P51" s="587">
        <f>SUM(P46:P49)</f>
        <v>28.840000000000003</v>
      </c>
      <c r="Q51" s="588">
        <f>SUM(Q46:Q50)</f>
        <v>1555048.6348800003</v>
      </c>
      <c r="R51" s="434"/>
      <c r="S51" s="589" t="s">
        <v>538</v>
      </c>
      <c r="T51" s="585"/>
      <c r="U51" s="586"/>
      <c r="V51" s="587">
        <f>SUM(V46:V49)</f>
        <v>30.58</v>
      </c>
      <c r="W51" s="588">
        <f>SUM(W46:W50)</f>
        <v>1636554.4665600001</v>
      </c>
      <c r="X51" s="156"/>
      <c r="Y51" s="589" t="s">
        <v>538</v>
      </c>
      <c r="Z51" s="585"/>
      <c r="AA51" s="586"/>
      <c r="AB51" s="587">
        <f>SUM(AB46:AB49)</f>
        <v>30.58</v>
      </c>
      <c r="AC51" s="588">
        <f>SUM(AC46:AC50)</f>
        <v>1636554.4665600001</v>
      </c>
      <c r="AD51" s="156"/>
      <c r="AE51" s="589" t="s">
        <v>538</v>
      </c>
      <c r="AF51" s="585"/>
      <c r="AG51" s="586"/>
      <c r="AH51" s="587">
        <f>SUM(AH46:AH49)</f>
        <v>33.799999999999997</v>
      </c>
      <c r="AI51" s="588">
        <f>SUM(AI46:AI50)</f>
        <v>1814869.0976000002</v>
      </c>
      <c r="AJ51" s="156"/>
      <c r="AK51" s="334"/>
      <c r="AL51" s="208"/>
    </row>
    <row r="52" spans="6:44" s="239" customFormat="1" ht="14.25" x14ac:dyDescent="0.2">
      <c r="F52" s="604" t="s">
        <v>80</v>
      </c>
      <c r="G52" s="38"/>
      <c r="H52" s="618"/>
      <c r="I52" s="618">
        <f>I15</f>
        <v>0.24970000000000001</v>
      </c>
      <c r="J52" s="307">
        <f>J51*I52</f>
        <v>364902.53358873609</v>
      </c>
      <c r="M52" s="604" t="s">
        <v>80</v>
      </c>
      <c r="N52" s="38"/>
      <c r="O52" s="265"/>
      <c r="P52" s="265">
        <f>P15</f>
        <v>0.24970000000000001</v>
      </c>
      <c r="Q52" s="307">
        <f>Q51*P52</f>
        <v>388295.64412953606</v>
      </c>
      <c r="R52" s="434"/>
      <c r="S52" s="604" t="s">
        <v>80</v>
      </c>
      <c r="T52" s="38"/>
      <c r="U52" s="265"/>
      <c r="V52" s="265">
        <f>P52</f>
        <v>0.24970000000000001</v>
      </c>
      <c r="W52" s="307">
        <f>W51*V52</f>
        <v>408647.65030003205</v>
      </c>
      <c r="X52" s="156"/>
      <c r="Y52" s="604" t="s">
        <v>80</v>
      </c>
      <c r="Z52" s="38"/>
      <c r="AA52" s="265"/>
      <c r="AB52" s="265">
        <f>V52</f>
        <v>0.24970000000000001</v>
      </c>
      <c r="AC52" s="307">
        <f>AC51*AB52</f>
        <v>408647.65030003205</v>
      </c>
      <c r="AD52" s="156"/>
      <c r="AE52" s="604" t="s">
        <v>80</v>
      </c>
      <c r="AF52" s="38"/>
      <c r="AG52" s="265"/>
      <c r="AH52" s="265">
        <f>AB52</f>
        <v>0.24970000000000001</v>
      </c>
      <c r="AI52" s="307">
        <f>AI51*AH52</f>
        <v>453172.81367072009</v>
      </c>
      <c r="AJ52" s="156"/>
      <c r="AK52" s="334"/>
      <c r="AL52" s="334"/>
      <c r="AM52" s="363"/>
      <c r="AN52" s="363"/>
      <c r="AO52" s="363"/>
      <c r="AQ52" s="242"/>
      <c r="AR52" s="242"/>
    </row>
    <row r="53" spans="6:44" s="309" customFormat="1" ht="15.75" thickBot="1" x14ac:dyDescent="0.3">
      <c r="F53" s="590" t="s">
        <v>539</v>
      </c>
      <c r="G53" s="584"/>
      <c r="H53" s="584"/>
      <c r="I53" s="584"/>
      <c r="J53" s="605">
        <f>SUM(J51:J52)</f>
        <v>1826266.3044687363</v>
      </c>
      <c r="M53" s="590" t="s">
        <v>539</v>
      </c>
      <c r="N53" s="584"/>
      <c r="O53" s="584"/>
      <c r="P53" s="584"/>
      <c r="Q53" s="605">
        <f>SUM(Q51:Q52)</f>
        <v>1943344.2790095364</v>
      </c>
      <c r="R53" s="434"/>
      <c r="S53" s="590" t="s">
        <v>539</v>
      </c>
      <c r="T53" s="584"/>
      <c r="U53" s="584"/>
      <c r="V53" s="584"/>
      <c r="W53" s="605">
        <f>SUM(W51:W52)</f>
        <v>2045202.1168600321</v>
      </c>
      <c r="X53" s="156"/>
      <c r="Y53" s="590" t="s">
        <v>539</v>
      </c>
      <c r="Z53" s="584"/>
      <c r="AA53" s="584"/>
      <c r="AB53" s="584"/>
      <c r="AC53" s="605">
        <f>SUM(AC51:AC52)</f>
        <v>2045202.1168600321</v>
      </c>
      <c r="AD53" s="156"/>
      <c r="AE53" s="590" t="s">
        <v>539</v>
      </c>
      <c r="AF53" s="584"/>
      <c r="AG53" s="584"/>
      <c r="AH53" s="584"/>
      <c r="AI53" s="605">
        <f>SUM(AI51:AI52)</f>
        <v>2268041.9112707204</v>
      </c>
      <c r="AJ53" s="156"/>
      <c r="AK53" s="334"/>
      <c r="AL53" s="334"/>
      <c r="AM53" s="363"/>
      <c r="AN53" s="363"/>
      <c r="AO53" s="363"/>
      <c r="AQ53" s="239"/>
      <c r="AR53" s="239"/>
    </row>
    <row r="54" spans="6:44" s="309" customFormat="1" ht="15.75" thickTop="1" x14ac:dyDescent="0.25">
      <c r="F54" s="583"/>
      <c r="G54" s="242"/>
      <c r="H54" s="242"/>
      <c r="I54" s="242"/>
      <c r="J54" s="358"/>
      <c r="M54" s="583"/>
      <c r="N54" s="242"/>
      <c r="O54" s="242"/>
      <c r="P54" s="242"/>
      <c r="Q54" s="358"/>
      <c r="R54" s="242"/>
      <c r="S54" s="583"/>
      <c r="T54" s="242"/>
      <c r="U54" s="242"/>
      <c r="V54" s="242"/>
      <c r="W54" s="358"/>
      <c r="X54" s="242"/>
      <c r="Y54" s="583"/>
      <c r="Z54" s="242"/>
      <c r="AA54" s="242"/>
      <c r="AB54" s="242"/>
      <c r="AC54" s="358"/>
      <c r="AD54" s="242"/>
      <c r="AE54" s="583"/>
      <c r="AF54" s="242"/>
      <c r="AG54" s="242"/>
      <c r="AH54" s="242"/>
      <c r="AI54" s="358"/>
      <c r="AJ54" s="156"/>
      <c r="AK54" s="208"/>
      <c r="AL54" s="208"/>
      <c r="AM54" s="33"/>
      <c r="AN54" s="33"/>
      <c r="AO54" s="33"/>
    </row>
    <row r="55" spans="6:44" s="309" customFormat="1" ht="30" x14ac:dyDescent="0.25">
      <c r="F55" s="583" t="s">
        <v>540</v>
      </c>
      <c r="G55" s="242"/>
      <c r="H55" s="195"/>
      <c r="I55" s="294" t="s">
        <v>78</v>
      </c>
      <c r="J55" s="336"/>
      <c r="M55" s="583" t="s">
        <v>540</v>
      </c>
      <c r="N55" s="242"/>
      <c r="O55" s="195"/>
      <c r="P55" s="294" t="s">
        <v>78</v>
      </c>
      <c r="Q55" s="336"/>
      <c r="R55" s="242"/>
      <c r="S55" s="583" t="s">
        <v>540</v>
      </c>
      <c r="T55" s="242"/>
      <c r="U55" s="195"/>
      <c r="V55" s="294" t="s">
        <v>78</v>
      </c>
      <c r="W55" s="336"/>
      <c r="X55" s="242"/>
      <c r="Y55" s="583" t="s">
        <v>540</v>
      </c>
      <c r="Z55" s="242"/>
      <c r="AA55" s="195"/>
      <c r="AB55" s="294" t="s">
        <v>78</v>
      </c>
      <c r="AC55" s="336"/>
      <c r="AD55" s="242"/>
      <c r="AE55" s="583" t="s">
        <v>540</v>
      </c>
      <c r="AF55" s="242"/>
      <c r="AG55" s="195"/>
      <c r="AH55" s="294" t="s">
        <v>78</v>
      </c>
      <c r="AI55" s="336"/>
      <c r="AJ55" s="156"/>
      <c r="AK55" s="208"/>
      <c r="AL55" s="208"/>
      <c r="AM55" s="33"/>
      <c r="AN55" s="33"/>
      <c r="AO55" s="33"/>
    </row>
    <row r="56" spans="6:44" s="309" customFormat="1" x14ac:dyDescent="0.2">
      <c r="F56" s="241" t="s">
        <v>82</v>
      </c>
      <c r="G56" s="33"/>
      <c r="H56" s="239"/>
      <c r="I56" s="248"/>
      <c r="J56" s="307">
        <v>25000</v>
      </c>
      <c r="M56" s="241" t="s">
        <v>82</v>
      </c>
      <c r="N56" s="33"/>
      <c r="O56" s="239"/>
      <c r="P56" s="248"/>
      <c r="Q56" s="307">
        <v>25000</v>
      </c>
      <c r="R56" s="434"/>
      <c r="S56" s="241" t="s">
        <v>82</v>
      </c>
      <c r="T56" s="33"/>
      <c r="U56" s="239"/>
      <c r="V56" s="248"/>
      <c r="W56" s="307">
        <v>25000</v>
      </c>
      <c r="X56" s="156"/>
      <c r="Y56" s="241" t="s">
        <v>82</v>
      </c>
      <c r="Z56" s="33"/>
      <c r="AA56" s="239"/>
      <c r="AB56" s="248"/>
      <c r="AC56" s="307">
        <v>30000</v>
      </c>
      <c r="AD56" s="156"/>
      <c r="AE56" s="241" t="s">
        <v>82</v>
      </c>
      <c r="AF56" s="33"/>
      <c r="AG56" s="239"/>
      <c r="AH56" s="248"/>
      <c r="AI56" s="307">
        <v>30000</v>
      </c>
      <c r="AJ56" s="156"/>
      <c r="AK56" s="353"/>
      <c r="AL56" s="353"/>
      <c r="AM56" s="33"/>
      <c r="AN56" s="33"/>
      <c r="AO56" s="33"/>
    </row>
    <row r="57" spans="6:44" s="239" customFormat="1" x14ac:dyDescent="0.2">
      <c r="F57" s="241" t="s">
        <v>83</v>
      </c>
      <c r="G57" s="33"/>
      <c r="I57" s="38">
        <f>P57</f>
        <v>13.198061579248117</v>
      </c>
      <c r="J57" s="307">
        <f>I57*J$42</f>
        <v>48172.924764255629</v>
      </c>
      <c r="M57" s="241" t="s">
        <v>83</v>
      </c>
      <c r="N57" s="33"/>
      <c r="P57" s="38">
        <f>AL24</f>
        <v>13.198061579248117</v>
      </c>
      <c r="Q57" s="307">
        <f>P57*Q$42</f>
        <v>57807.509717106754</v>
      </c>
      <c r="R57" s="434"/>
      <c r="S57" s="241" t="s">
        <v>83</v>
      </c>
      <c r="T57" s="33"/>
      <c r="V57" s="38">
        <f>$AL$24</f>
        <v>13.198061579248117</v>
      </c>
      <c r="W57" s="307">
        <f>V57*W$42</f>
        <v>74668.033384596216</v>
      </c>
      <c r="X57" s="156"/>
      <c r="Y57" s="241" t="s">
        <v>83</v>
      </c>
      <c r="Z57" s="33"/>
      <c r="AB57" s="38">
        <f>$AL$24</f>
        <v>13.198061579248117</v>
      </c>
      <c r="AC57" s="307">
        <f>AB57*AC$42</f>
        <v>96345.849528511259</v>
      </c>
      <c r="AD57" s="156"/>
      <c r="AE57" s="241" t="s">
        <v>83</v>
      </c>
      <c r="AF57" s="33"/>
      <c r="AH57" s="38">
        <f>$AL$24</f>
        <v>13.198061579248117</v>
      </c>
      <c r="AI57" s="307">
        <f>AH57*AI$42</f>
        <v>120432.31191063907</v>
      </c>
      <c r="AJ57" s="156"/>
      <c r="AK57" s="328"/>
      <c r="AL57" s="328"/>
      <c r="AM57" s="33"/>
      <c r="AN57" s="33"/>
      <c r="AO57" s="33"/>
      <c r="AQ57" s="309"/>
      <c r="AR57" s="309"/>
    </row>
    <row r="58" spans="6:44" s="242" customFormat="1" x14ac:dyDescent="0.2">
      <c r="F58" s="241" t="s">
        <v>86</v>
      </c>
      <c r="G58" s="33"/>
      <c r="H58" s="239"/>
      <c r="I58" s="38">
        <f>$AL$26</f>
        <v>15.901681537562935</v>
      </c>
      <c r="J58" s="307">
        <f>I58*J$42</f>
        <v>58041.137612104714</v>
      </c>
      <c r="M58" s="241" t="s">
        <v>86</v>
      </c>
      <c r="N58" s="33"/>
      <c r="O58" s="239"/>
      <c r="P58" s="38">
        <f>$AL$26</f>
        <v>15.901681537562935</v>
      </c>
      <c r="Q58" s="307">
        <f>P58*Q$42</f>
        <v>69649.365134525651</v>
      </c>
      <c r="R58" s="434"/>
      <c r="S58" s="241" t="s">
        <v>86</v>
      </c>
      <c r="T58" s="33"/>
      <c r="U58" s="239"/>
      <c r="V58" s="38">
        <f>$AL$26</f>
        <v>15.901681537562935</v>
      </c>
      <c r="W58" s="307">
        <f>V58*W$42</f>
        <v>89963.763298762307</v>
      </c>
      <c r="X58" s="156"/>
      <c r="Y58" s="241" t="s">
        <v>86</v>
      </c>
      <c r="Z58" s="33"/>
      <c r="AA58" s="239"/>
      <c r="AB58" s="38">
        <f>$AL$26</f>
        <v>15.901681537562935</v>
      </c>
      <c r="AC58" s="307">
        <f>AB58*AC$42</f>
        <v>116082.27522420943</v>
      </c>
      <c r="AD58" s="156"/>
      <c r="AE58" s="241" t="s">
        <v>86</v>
      </c>
      <c r="AF58" s="33"/>
      <c r="AG58" s="239"/>
      <c r="AH58" s="38">
        <f>$AL$26</f>
        <v>15.901681537562935</v>
      </c>
      <c r="AI58" s="307">
        <f>AH58*AI$42</f>
        <v>145102.84403026177</v>
      </c>
      <c r="AJ58" s="156"/>
      <c r="AK58" s="334"/>
      <c r="AL58" s="334"/>
      <c r="AM58" s="33"/>
      <c r="AN58" s="33"/>
      <c r="AO58" s="33"/>
      <c r="AQ58" s="239"/>
      <c r="AR58" s="239"/>
    </row>
    <row r="59" spans="6:44" ht="15.75" thickBot="1" x14ac:dyDescent="0.3">
      <c r="F59" s="1024" t="s">
        <v>541</v>
      </c>
      <c r="G59" s="1025"/>
      <c r="H59" s="592"/>
      <c r="I59" s="593"/>
      <c r="J59" s="594">
        <f>SUM(J56:J58)</f>
        <v>131214.06237636035</v>
      </c>
      <c r="M59" s="1045" t="s">
        <v>541</v>
      </c>
      <c r="N59" s="1025"/>
      <c r="O59" s="592"/>
      <c r="P59" s="593"/>
      <c r="Q59" s="594">
        <f>SUM(Q56:Q58)</f>
        <v>152456.8748516324</v>
      </c>
      <c r="R59" s="195"/>
      <c r="S59" s="1046" t="s">
        <v>541</v>
      </c>
      <c r="T59" s="1025"/>
      <c r="U59" s="592"/>
      <c r="V59" s="593"/>
      <c r="W59" s="594">
        <f>SUM(W56:W58)</f>
        <v>189631.79668335852</v>
      </c>
      <c r="Y59" s="1046" t="s">
        <v>541</v>
      </c>
      <c r="Z59" s="1025"/>
      <c r="AA59" s="592"/>
      <c r="AB59" s="593"/>
      <c r="AC59" s="594">
        <f>SUM(AC56:AC58)</f>
        <v>242428.1247527207</v>
      </c>
      <c r="AD59" s="195"/>
      <c r="AE59" s="1046" t="s">
        <v>541</v>
      </c>
      <c r="AF59" s="1025"/>
      <c r="AG59" s="592"/>
      <c r="AH59" s="593"/>
      <c r="AI59" s="594">
        <f>SUM(AI56:AI58)</f>
        <v>295535.15594090079</v>
      </c>
      <c r="AK59" s="33"/>
      <c r="AL59" s="346"/>
      <c r="AM59" s="571"/>
      <c r="AN59" s="33"/>
      <c r="AO59" s="33"/>
      <c r="AR59" s="324"/>
    </row>
    <row r="60" spans="6:44" ht="15.75" thickTop="1" x14ac:dyDescent="0.25">
      <c r="F60" s="981"/>
      <c r="G60" s="596"/>
      <c r="H60" s="597"/>
      <c r="I60" s="598"/>
      <c r="J60" s="599"/>
      <c r="M60" s="595"/>
      <c r="N60" s="596"/>
      <c r="O60" s="597"/>
      <c r="P60" s="598"/>
      <c r="Q60" s="599"/>
      <c r="R60" s="195"/>
      <c r="S60" s="600"/>
      <c r="T60" s="596"/>
      <c r="U60" s="597"/>
      <c r="V60" s="598"/>
      <c r="W60" s="599"/>
      <c r="Y60" s="600"/>
      <c r="Z60" s="596"/>
      <c r="AA60" s="597"/>
      <c r="AB60" s="598"/>
      <c r="AC60" s="599"/>
      <c r="AD60" s="195"/>
      <c r="AE60" s="600"/>
      <c r="AF60" s="596"/>
      <c r="AG60" s="597"/>
      <c r="AH60" s="598"/>
      <c r="AI60" s="599"/>
      <c r="AK60" s="33"/>
      <c r="AL60" s="233"/>
      <c r="AM60" s="571"/>
      <c r="AN60" s="33"/>
      <c r="AO60" s="33"/>
      <c r="AR60" s="324"/>
    </row>
    <row r="61" spans="6:44" ht="45" x14ac:dyDescent="0.25">
      <c r="F61" s="591" t="s">
        <v>357</v>
      </c>
      <c r="G61" s="579"/>
      <c r="H61" s="422"/>
      <c r="I61" s="423"/>
      <c r="J61" s="424">
        <f>J53+J59</f>
        <v>1957480.3668450967</v>
      </c>
      <c r="M61" s="591" t="s">
        <v>357</v>
      </c>
      <c r="N61" s="579"/>
      <c r="O61" s="422"/>
      <c r="P61" s="423"/>
      <c r="Q61" s="424">
        <f>Q53+Q59</f>
        <v>2095801.1538611688</v>
      </c>
      <c r="R61" s="195"/>
      <c r="S61" s="591" t="s">
        <v>357</v>
      </c>
      <c r="T61" s="579"/>
      <c r="U61" s="422"/>
      <c r="V61" s="423"/>
      <c r="W61" s="424">
        <f>W53+W59</f>
        <v>2234833.9135433906</v>
      </c>
      <c r="Y61" s="591" t="s">
        <v>357</v>
      </c>
      <c r="Z61" s="579"/>
      <c r="AA61" s="422"/>
      <c r="AB61" s="423"/>
      <c r="AC61" s="424">
        <f>AC53+AC59</f>
        <v>2287630.2416127529</v>
      </c>
      <c r="AD61" s="195"/>
      <c r="AE61" s="591" t="s">
        <v>357</v>
      </c>
      <c r="AF61" s="579"/>
      <c r="AG61" s="422"/>
      <c r="AH61" s="423"/>
      <c r="AI61" s="424">
        <f>AI53+AI59</f>
        <v>2563577.0672116214</v>
      </c>
      <c r="AK61" s="33"/>
      <c r="AL61" s="233"/>
      <c r="AM61" s="571"/>
      <c r="AN61" s="33"/>
      <c r="AO61" s="33"/>
      <c r="AR61" s="324"/>
    </row>
    <row r="62" spans="6:44" x14ac:dyDescent="0.2">
      <c r="F62" s="241" t="s">
        <v>89</v>
      </c>
      <c r="H62" s="346">
        <f>H25</f>
        <v>0.12</v>
      </c>
      <c r="I62" s="38"/>
      <c r="J62" s="307">
        <f>J61*H62</f>
        <v>234897.6440214116</v>
      </c>
      <c r="M62" s="241" t="s">
        <v>89</v>
      </c>
      <c r="O62" s="346">
        <f>O25</f>
        <v>0.12</v>
      </c>
      <c r="P62" s="38"/>
      <c r="Q62" s="307">
        <f>Q61*O62</f>
        <v>251496.13846334023</v>
      </c>
      <c r="R62" s="239"/>
      <c r="S62" s="241" t="s">
        <v>89</v>
      </c>
      <c r="U62" s="346">
        <f>O62</f>
        <v>0.12</v>
      </c>
      <c r="V62" s="38"/>
      <c r="W62" s="307">
        <f>W61*U62</f>
        <v>268180.06962520687</v>
      </c>
      <c r="Y62" s="241" t="s">
        <v>89</v>
      </c>
      <c r="Z62" s="33"/>
      <c r="AA62" s="346">
        <f>U62</f>
        <v>0.12</v>
      </c>
      <c r="AB62" s="38"/>
      <c r="AC62" s="307">
        <f>AC61*AA62</f>
        <v>274515.62899353035</v>
      </c>
      <c r="AD62" s="239"/>
      <c r="AE62" s="241" t="s">
        <v>89</v>
      </c>
      <c r="AF62" s="33"/>
      <c r="AG62" s="346">
        <f>AA62</f>
        <v>0.12</v>
      </c>
      <c r="AH62" s="38"/>
      <c r="AI62" s="307">
        <f>AI61*AG62</f>
        <v>307629.24806539458</v>
      </c>
      <c r="AK62" s="33"/>
      <c r="AL62" s="233"/>
      <c r="AM62" s="571"/>
      <c r="AN62" s="33"/>
      <c r="AO62" s="242"/>
      <c r="AR62" s="324"/>
    </row>
    <row r="63" spans="6:44" x14ac:dyDescent="0.2">
      <c r="F63" s="241" t="s">
        <v>46</v>
      </c>
      <c r="H63" s="346">
        <f>H26</f>
        <v>2.5282070971092779E-2</v>
      </c>
      <c r="I63" s="38"/>
      <c r="J63" s="307">
        <f>H63*(J61+J62)</f>
        <v>55427.856466190278</v>
      </c>
      <c r="M63" s="241" t="s">
        <v>46</v>
      </c>
      <c r="O63" s="346">
        <f>O26</f>
        <v>2.5282070971092779E-2</v>
      </c>
      <c r="P63" s="38"/>
      <c r="Q63" s="307">
        <f>O63*(Q61+Q62)</f>
        <v>59344.536734802154</v>
      </c>
      <c r="R63" s="239"/>
      <c r="S63" s="241" t="s">
        <v>46</v>
      </c>
      <c r="U63" s="346">
        <f>O63</f>
        <v>2.5282070971092779E-2</v>
      </c>
      <c r="V63" s="38"/>
      <c r="W63" s="307">
        <f>U63*(W61+W62)</f>
        <v>63281.377164106103</v>
      </c>
      <c r="Y63" s="241" t="s">
        <v>46</v>
      </c>
      <c r="Z63" s="33"/>
      <c r="AA63" s="346">
        <f>U63</f>
        <v>2.5282070971092779E-2</v>
      </c>
      <c r="AB63" s="38"/>
      <c r="AC63" s="307">
        <f>AA63*(AC61+AC62)</f>
        <v>64776.353738960352</v>
      </c>
      <c r="AD63" s="239"/>
      <c r="AE63" s="241" t="s">
        <v>46</v>
      </c>
      <c r="AF63" s="33"/>
      <c r="AG63" s="346">
        <f>AA63</f>
        <v>2.5282070971092779E-2</v>
      </c>
      <c r="AH63" s="38"/>
      <c r="AI63" s="307">
        <f>AG63*(AI61+AI62)</f>
        <v>72590.041835483309</v>
      </c>
      <c r="AK63" s="33"/>
      <c r="AL63" s="233"/>
      <c r="AM63" s="571"/>
      <c r="AN63" s="33"/>
      <c r="AO63" s="242"/>
    </row>
    <row r="64" spans="6:44" ht="13.5" thickBot="1" x14ac:dyDescent="0.25">
      <c r="F64" s="348" t="s">
        <v>91</v>
      </c>
      <c r="G64" s="349"/>
      <c r="H64" s="350"/>
      <c r="I64" s="351"/>
      <c r="J64" s="352">
        <f>SUM(J61:J63)</f>
        <v>2247805.8673326988</v>
      </c>
      <c r="M64" s="348" t="s">
        <v>91</v>
      </c>
      <c r="N64" s="349"/>
      <c r="O64" s="350"/>
      <c r="P64" s="351"/>
      <c r="Q64" s="352">
        <f>SUM(Q61:Q63)</f>
        <v>2406641.8290593112</v>
      </c>
      <c r="R64" s="195"/>
      <c r="S64" s="348" t="s">
        <v>91</v>
      </c>
      <c r="T64" s="349"/>
      <c r="U64" s="350"/>
      <c r="V64" s="351"/>
      <c r="W64" s="352">
        <f>SUM(W61:W63)</f>
        <v>2566295.3603327032</v>
      </c>
      <c r="Y64" s="348" t="s">
        <v>91</v>
      </c>
      <c r="Z64" s="349"/>
      <c r="AA64" s="350"/>
      <c r="AB64" s="351"/>
      <c r="AC64" s="352">
        <f>SUM(AC61:AC63)</f>
        <v>2626922.2243452435</v>
      </c>
      <c r="AD64" s="195"/>
      <c r="AE64" s="348" t="s">
        <v>91</v>
      </c>
      <c r="AF64" s="349"/>
      <c r="AG64" s="350"/>
      <c r="AH64" s="351"/>
      <c r="AI64" s="352">
        <f>SUM(AI61:AI63)</f>
        <v>2943796.357112499</v>
      </c>
      <c r="AK64" s="33"/>
      <c r="AL64" s="346"/>
      <c r="AM64" s="39"/>
      <c r="AN64" s="242"/>
      <c r="AO64" s="33"/>
    </row>
    <row r="65" spans="6:44" ht="14.25" thickTop="1" thickBot="1" x14ac:dyDescent="0.25">
      <c r="F65" s="355" t="s">
        <v>93</v>
      </c>
      <c r="G65" s="324"/>
      <c r="H65" s="324"/>
      <c r="I65" s="324"/>
      <c r="J65" s="425">
        <f>J64/J42</f>
        <v>615.8372239267668</v>
      </c>
      <c r="M65" s="355" t="s">
        <v>93</v>
      </c>
      <c r="N65" s="324"/>
      <c r="O65" s="324"/>
      <c r="P65" s="324"/>
      <c r="Q65" s="601">
        <f>Q64/Q42</f>
        <v>549.46160480806191</v>
      </c>
      <c r="R65" s="426"/>
      <c r="S65" s="355" t="s">
        <v>93</v>
      </c>
      <c r="T65" s="324"/>
      <c r="U65" s="324"/>
      <c r="V65" s="324"/>
      <c r="W65" s="602">
        <f>W64/W42</f>
        <v>453.60943178660244</v>
      </c>
      <c r="X65" s="426"/>
      <c r="Y65" s="355" t="s">
        <v>93</v>
      </c>
      <c r="Z65" s="324"/>
      <c r="AA65" s="324"/>
      <c r="AB65" s="324"/>
      <c r="AC65" s="602">
        <f>AC64/AC42</f>
        <v>359.85235949934844</v>
      </c>
      <c r="AD65" s="426"/>
      <c r="AE65" s="355" t="s">
        <v>93</v>
      </c>
      <c r="AF65" s="324"/>
      <c r="AG65" s="324"/>
      <c r="AH65" s="324"/>
      <c r="AI65" s="602">
        <f>AI64/AI42</f>
        <v>322.6078199575341</v>
      </c>
      <c r="AJ65" s="324"/>
      <c r="AK65" s="33"/>
      <c r="AL65" s="346"/>
      <c r="AM65" s="606"/>
      <c r="AN65" s="242"/>
      <c r="AO65" s="33"/>
    </row>
    <row r="66" spans="6:44" x14ac:dyDescent="0.2">
      <c r="F66" s="359" t="s">
        <v>95</v>
      </c>
      <c r="G66" s="295"/>
      <c r="H66" s="360">
        <v>0.9</v>
      </c>
      <c r="I66" s="361"/>
      <c r="J66" s="427">
        <f>J$64*(H63+1)/(J$5*H66)</f>
        <v>701.56318258747126</v>
      </c>
      <c r="M66" s="359" t="s">
        <v>95</v>
      </c>
      <c r="N66" s="295"/>
      <c r="O66" s="360">
        <v>0.9</v>
      </c>
      <c r="P66" s="361"/>
      <c r="Q66" s="427">
        <f>Q$64*(O63+1)/(Q$5*O66)</f>
        <v>625.94792455189986</v>
      </c>
      <c r="R66" s="426"/>
      <c r="S66" s="359" t="s">
        <v>95</v>
      </c>
      <c r="T66" s="295"/>
      <c r="U66" s="360">
        <v>0.9</v>
      </c>
      <c r="V66" s="361"/>
      <c r="W66" s="427">
        <f>W$64*(U63+1)/(W$5*U66)</f>
        <v>516.75290848243151</v>
      </c>
      <c r="X66" s="426"/>
      <c r="Y66" s="359" t="s">
        <v>95</v>
      </c>
      <c r="Z66" s="295"/>
      <c r="AA66" s="360">
        <v>0.9</v>
      </c>
      <c r="AB66" s="361"/>
      <c r="AC66" s="427">
        <f>AC$64*(AA63+1)/(AC$5*AA66)</f>
        <v>409.94463599036237</v>
      </c>
      <c r="AD66" s="426"/>
      <c r="AE66" s="359" t="s">
        <v>95</v>
      </c>
      <c r="AF66" s="295"/>
      <c r="AG66" s="360">
        <v>0.9</v>
      </c>
      <c r="AH66" s="361"/>
      <c r="AI66" s="427">
        <f>AI$64*(AG63+1)/(AI$5*AG66)</f>
        <v>367.51557084170003</v>
      </c>
      <c r="AJ66" s="265"/>
      <c r="AK66" s="353"/>
      <c r="AL66" s="33"/>
      <c r="AM66" s="33"/>
      <c r="AN66" s="33"/>
      <c r="AO66" s="33"/>
    </row>
    <row r="67" spans="6:44" x14ac:dyDescent="0.2">
      <c r="F67" s="355"/>
      <c r="H67" s="364">
        <v>0.85</v>
      </c>
      <c r="I67" s="239"/>
      <c r="J67" s="427">
        <f>J$64*(H63+1)/(J$5*H67)</f>
        <v>742.83160509261666</v>
      </c>
      <c r="M67" s="355"/>
      <c r="O67" s="364">
        <v>0.85</v>
      </c>
      <c r="P67" s="239"/>
      <c r="Q67" s="427">
        <f>Q$64*(O63+1)/(Q$5*O67)</f>
        <v>662.76839070201163</v>
      </c>
      <c r="R67" s="426"/>
      <c r="S67" s="355"/>
      <c r="U67" s="364">
        <v>0.85</v>
      </c>
      <c r="V67" s="239"/>
      <c r="W67" s="427">
        <f>W$64*(U63+1)/(W$5*U67)</f>
        <v>547.15013839316282</v>
      </c>
      <c r="X67" s="426"/>
      <c r="Y67" s="355"/>
      <c r="Z67" s="33"/>
      <c r="AA67" s="364">
        <v>0.85</v>
      </c>
      <c r="AC67" s="427">
        <f>AC$64*(AA63+1)/(AC$5*AA67)</f>
        <v>434.05902634273667</v>
      </c>
      <c r="AD67" s="426"/>
      <c r="AE67" s="355"/>
      <c r="AF67" s="33"/>
      <c r="AG67" s="364">
        <v>0.85</v>
      </c>
      <c r="AI67" s="427">
        <f>AI$64*(AG63+1)/(AI$5*AG67)</f>
        <v>389.13413383238827</v>
      </c>
      <c r="AJ67" s="156"/>
      <c r="AK67" s="353"/>
      <c r="AL67" s="33"/>
      <c r="AM67" s="33"/>
      <c r="AN67" s="33"/>
      <c r="AO67" s="33"/>
    </row>
    <row r="68" spans="6:44" x14ac:dyDescent="0.2">
      <c r="F68" s="355"/>
      <c r="H68" s="364">
        <v>0.8</v>
      </c>
      <c r="I68" s="239"/>
      <c r="J68" s="427">
        <f>J$64*(H63+1)/(J$5*H68)</f>
        <v>789.25858041090521</v>
      </c>
      <c r="M68" s="355"/>
      <c r="O68" s="364">
        <v>0.8</v>
      </c>
      <c r="P68" s="239"/>
      <c r="Q68" s="427">
        <f>Q$64*(O63+1)/(Q$5*O68)</f>
        <v>704.19141512088743</v>
      </c>
      <c r="R68" s="426"/>
      <c r="S68" s="355"/>
      <c r="U68" s="364">
        <v>0.8</v>
      </c>
      <c r="V68" s="239"/>
      <c r="W68" s="427">
        <f>W$64*(U63+1)/(W$5*U68)</f>
        <v>581.34702204273549</v>
      </c>
      <c r="X68" s="426"/>
      <c r="Y68" s="355"/>
      <c r="Z68" s="33"/>
      <c r="AA68" s="364">
        <v>0.8</v>
      </c>
      <c r="AC68" s="427">
        <f>AC$64*(AA63+1)/(AC$5*AA68)</f>
        <v>461.18771548915771</v>
      </c>
      <c r="AD68" s="426"/>
      <c r="AE68" s="355"/>
      <c r="AF68" s="33"/>
      <c r="AG68" s="364">
        <v>0.8</v>
      </c>
      <c r="AI68" s="427">
        <f>AI$64*(AG63+1)/(AI$5*AG68)</f>
        <v>413.45501719691254</v>
      </c>
      <c r="AJ68" s="156"/>
      <c r="AK68" s="353"/>
      <c r="AL68" s="33"/>
      <c r="AM68" s="33"/>
      <c r="AN68" s="33"/>
      <c r="AO68" s="33"/>
    </row>
    <row r="69" spans="6:44" x14ac:dyDescent="0.2">
      <c r="F69" s="355"/>
      <c r="H69" s="364">
        <v>0.75</v>
      </c>
      <c r="I69" s="239"/>
      <c r="J69" s="427">
        <f>J$64*(H63+1)/(J$5*H69)</f>
        <v>841.87581910496556</v>
      </c>
      <c r="M69" s="355"/>
      <c r="O69" s="364">
        <v>0.75</v>
      </c>
      <c r="P69" s="239"/>
      <c r="Q69" s="427">
        <f>Q$64*(O63+1)/(Q$5*O69)</f>
        <v>751.13750946227992</v>
      </c>
      <c r="R69" s="426"/>
      <c r="S69" s="355"/>
      <c r="U69" s="364">
        <v>0.75</v>
      </c>
      <c r="V69" s="239"/>
      <c r="W69" s="427">
        <f>W$64*(U63+1)/(W$5*U69)</f>
        <v>620.10349017891781</v>
      </c>
      <c r="X69" s="426"/>
      <c r="Y69" s="355"/>
      <c r="Z69" s="33"/>
      <c r="AA69" s="364">
        <v>0.75</v>
      </c>
      <c r="AC69" s="427">
        <f>AC$64*(AA63+1)/(AC$5*AA69)</f>
        <v>491.93356318843485</v>
      </c>
      <c r="AD69" s="426"/>
      <c r="AE69" s="355"/>
      <c r="AF69" s="33"/>
      <c r="AG69" s="364">
        <v>0.75</v>
      </c>
      <c r="AI69" s="427">
        <f>AI$64*(AG63+1)/(AI$5*AG69)</f>
        <v>441.01868501004003</v>
      </c>
      <c r="AJ69" s="156"/>
      <c r="AL69" s="248"/>
      <c r="AN69" s="33"/>
      <c r="AO69" s="33"/>
    </row>
    <row r="70" spans="6:44" x14ac:dyDescent="0.2">
      <c r="F70" s="355"/>
      <c r="H70" s="364">
        <v>0.7</v>
      </c>
      <c r="I70" s="239"/>
      <c r="J70" s="427">
        <f>J$64*(H63+1)/(J$5*H70)</f>
        <v>902.00980618389167</v>
      </c>
      <c r="M70" s="355"/>
      <c r="O70" s="364">
        <v>0.7</v>
      </c>
      <c r="P70" s="239"/>
      <c r="Q70" s="427">
        <f>Q$64*(O63+1)/(Q$5*O70)</f>
        <v>804.79018870958555</v>
      </c>
      <c r="R70" s="426"/>
      <c r="S70" s="355"/>
      <c r="U70" s="364">
        <v>0.7</v>
      </c>
      <c r="V70" s="239"/>
      <c r="W70" s="427">
        <f>W$64*(U63+1)/(W$5*U70)</f>
        <v>664.39659662026918</v>
      </c>
      <c r="X70" s="426"/>
      <c r="Y70" s="355"/>
      <c r="Z70" s="33"/>
      <c r="AA70" s="364">
        <v>0.7</v>
      </c>
      <c r="AC70" s="427">
        <f>AC$64*(AA63+1)/(AC$5*AA70)</f>
        <v>527.07167484475167</v>
      </c>
      <c r="AD70" s="426"/>
      <c r="AE70" s="355"/>
      <c r="AF70" s="33"/>
      <c r="AG70" s="364">
        <v>0.7</v>
      </c>
      <c r="AI70" s="427">
        <f>AI$64*(AG63+1)/(AI$5*AG70)</f>
        <v>472.52001965361433</v>
      </c>
      <c r="AJ70" s="156"/>
      <c r="AL70" s="33"/>
      <c r="AM70" s="33"/>
      <c r="AN70" s="33"/>
      <c r="AO70" s="33"/>
    </row>
    <row r="71" spans="6:44" x14ac:dyDescent="0.2">
      <c r="F71" s="355"/>
      <c r="H71" s="364">
        <v>0.65</v>
      </c>
      <c r="I71" s="239"/>
      <c r="J71" s="427">
        <f>J$64*(H63+1)/(J$5*H71)</f>
        <v>971.39517589034483</v>
      </c>
      <c r="M71" s="355"/>
      <c r="O71" s="364">
        <v>0.65</v>
      </c>
      <c r="P71" s="239"/>
      <c r="Q71" s="427">
        <f>Q$64*(O63+1)/(Q$5*O71)</f>
        <v>866.69712630263064</v>
      </c>
      <c r="R71" s="426"/>
      <c r="S71" s="355"/>
      <c r="U71" s="364">
        <v>0.65</v>
      </c>
      <c r="V71" s="239"/>
      <c r="W71" s="427">
        <f>W$64*(U63+1)/(W$5*U71)</f>
        <v>715.50402712952064</v>
      </c>
      <c r="X71" s="426"/>
      <c r="Y71" s="355"/>
      <c r="Z71" s="33"/>
      <c r="AA71" s="364">
        <v>0.65</v>
      </c>
      <c r="AC71" s="427">
        <f>AC$64*(AA63+1)/(AC$5*AA71)</f>
        <v>567.61564983280948</v>
      </c>
      <c r="AD71" s="426"/>
      <c r="AE71" s="355"/>
      <c r="AF71" s="33"/>
      <c r="AG71" s="364">
        <v>0.65</v>
      </c>
      <c r="AI71" s="427">
        <f>AI$64*(AG63+1)/(AI$5*AG71)</f>
        <v>508.86771347312316</v>
      </c>
      <c r="AJ71" s="156"/>
      <c r="AL71" s="33"/>
      <c r="AM71" s="33"/>
      <c r="AN71" s="33"/>
      <c r="AO71" s="33"/>
    </row>
    <row r="72" spans="6:44" s="242" customFormat="1" x14ac:dyDescent="0.2">
      <c r="F72" s="355"/>
      <c r="G72" s="33"/>
      <c r="H72" s="364">
        <v>0.6</v>
      </c>
      <c r="I72" s="239"/>
      <c r="J72" s="427">
        <f>J$64*(H63+1)/(J$5*H72)</f>
        <v>1052.3447738812069</v>
      </c>
      <c r="M72" s="355"/>
      <c r="N72" s="33"/>
      <c r="O72" s="364">
        <v>0.6</v>
      </c>
      <c r="P72" s="239"/>
      <c r="Q72" s="427">
        <f>Q$64*(O63+1)/(Q$5*O72)</f>
        <v>938.9218868278499</v>
      </c>
      <c r="R72" s="426"/>
      <c r="S72" s="355"/>
      <c r="T72" s="33"/>
      <c r="U72" s="364">
        <v>0.6</v>
      </c>
      <c r="V72" s="239"/>
      <c r="W72" s="427">
        <f>W$64*(U63+1)/(W$5*U72)</f>
        <v>775.12936272364732</v>
      </c>
      <c r="X72" s="426"/>
      <c r="Y72" s="355"/>
      <c r="Z72" s="33"/>
      <c r="AA72" s="364">
        <v>0.6</v>
      </c>
      <c r="AB72" s="239"/>
      <c r="AC72" s="427">
        <f>AC$64*(AA63+1)/(AC$5*AA72)</f>
        <v>614.91695398554361</v>
      </c>
      <c r="AD72" s="426"/>
      <c r="AE72" s="355"/>
      <c r="AF72" s="33"/>
      <c r="AG72" s="364">
        <v>0.6</v>
      </c>
      <c r="AH72" s="239"/>
      <c r="AI72" s="427">
        <f>AI$64*(AG63+1)/(AI$5*AG72)</f>
        <v>551.27335626255001</v>
      </c>
      <c r="AJ72" s="156"/>
      <c r="AN72" s="353"/>
      <c r="AQ72" s="33"/>
      <c r="AR72" s="33"/>
    </row>
    <row r="73" spans="6:44" s="363" customFormat="1" ht="13.15" customHeight="1" x14ac:dyDescent="0.2">
      <c r="F73" s="355"/>
      <c r="G73" s="33"/>
      <c r="H73" s="364">
        <v>0.55000000000000004</v>
      </c>
      <c r="I73" s="239"/>
      <c r="J73" s="427">
        <f>J$64*(H63+1)/(J$5*H73)</f>
        <v>1148.0124805976802</v>
      </c>
      <c r="M73" s="355"/>
      <c r="N73" s="33"/>
      <c r="O73" s="364">
        <v>0.55000000000000004</v>
      </c>
      <c r="P73" s="239"/>
      <c r="Q73" s="427">
        <f>Q$64*(O63+1)/(Q$5*O73)</f>
        <v>1024.2784219940181</v>
      </c>
      <c r="R73" s="426"/>
      <c r="S73" s="355"/>
      <c r="T73" s="33"/>
      <c r="U73" s="364">
        <v>0.55000000000000004</v>
      </c>
      <c r="V73" s="239"/>
      <c r="W73" s="427">
        <f>W$64*(U63+1)/(W$5*U73)</f>
        <v>845.59566842579693</v>
      </c>
      <c r="X73" s="426"/>
      <c r="Y73" s="355"/>
      <c r="Z73" s="33"/>
      <c r="AA73" s="364">
        <v>0.55000000000000004</v>
      </c>
      <c r="AB73" s="239"/>
      <c r="AC73" s="427">
        <f>AC$64*(AA63+1)/(AC$5*AA73)</f>
        <v>670.81849525695657</v>
      </c>
      <c r="AD73" s="426"/>
      <c r="AE73" s="355"/>
      <c r="AF73" s="33"/>
      <c r="AG73" s="364">
        <v>0.55000000000000004</v>
      </c>
      <c r="AH73" s="239"/>
      <c r="AI73" s="427">
        <f>AI$64*(AG63+1)/(AI$5*AG73)</f>
        <v>601.38911592278191</v>
      </c>
      <c r="AJ73" s="156"/>
      <c r="AK73" s="294"/>
      <c r="AL73" s="242"/>
      <c r="AM73" s="242"/>
      <c r="AN73" s="242"/>
      <c r="AO73" s="242"/>
      <c r="AQ73" s="242"/>
      <c r="AR73" s="242"/>
    </row>
    <row r="74" spans="6:44" s="363" customFormat="1" ht="13.5" thickBot="1" x14ac:dyDescent="0.25">
      <c r="F74" s="373"/>
      <c r="G74" s="36"/>
      <c r="H74" s="374">
        <v>0.5</v>
      </c>
      <c r="I74" s="375"/>
      <c r="J74" s="427">
        <f>J$64*(H63+1)/(J$5*H74)</f>
        <v>1262.8137286574483</v>
      </c>
      <c r="M74" s="373"/>
      <c r="N74" s="36"/>
      <c r="O74" s="374">
        <v>0.5</v>
      </c>
      <c r="P74" s="375"/>
      <c r="Q74" s="427">
        <f>Q$64*(O63+1)/(Q$5*O74)</f>
        <v>1126.7062641934199</v>
      </c>
      <c r="R74" s="426"/>
      <c r="S74" s="373"/>
      <c r="T74" s="36"/>
      <c r="U74" s="374">
        <v>0.5</v>
      </c>
      <c r="V74" s="375"/>
      <c r="W74" s="427">
        <f>W$64*(U63+1)/(W$5*U74)</f>
        <v>930.15523526837671</v>
      </c>
      <c r="X74" s="426"/>
      <c r="Y74" s="373"/>
      <c r="Z74" s="36"/>
      <c r="AA74" s="374">
        <v>0.5</v>
      </c>
      <c r="AB74" s="375"/>
      <c r="AC74" s="427">
        <f>AC$64*(AA63+1)/(AC$5*AA74)</f>
        <v>737.90034478265227</v>
      </c>
      <c r="AD74" s="426"/>
      <c r="AE74" s="373"/>
      <c r="AF74" s="36"/>
      <c r="AG74" s="374">
        <v>0.5</v>
      </c>
      <c r="AH74" s="375"/>
      <c r="AI74" s="427">
        <f>AI$64*(AG63+1)/(AI$5*AG74)</f>
        <v>661.5280275150601</v>
      </c>
      <c r="AJ74" s="156"/>
      <c r="AK74" s="294"/>
      <c r="AL74" s="242"/>
      <c r="AM74" s="242"/>
      <c r="AN74" s="242"/>
      <c r="AO74" s="242"/>
    </row>
    <row r="75" spans="6:44" x14ac:dyDescent="0.2">
      <c r="I75" s="187"/>
      <c r="P75" s="187"/>
      <c r="R75" s="944"/>
      <c r="U75" s="33"/>
      <c r="V75" s="187"/>
      <c r="W75" s="33"/>
      <c r="X75" s="943"/>
      <c r="Z75" s="33"/>
      <c r="AA75" s="33"/>
      <c r="AB75" s="187"/>
      <c r="AC75" s="33"/>
      <c r="AD75" s="943"/>
      <c r="AF75" s="33"/>
      <c r="AG75" s="33"/>
      <c r="AH75" s="187"/>
      <c r="AI75" s="33"/>
      <c r="AJ75" s="943"/>
      <c r="AK75" s="293"/>
      <c r="AL75" s="293"/>
      <c r="AM75" s="240"/>
      <c r="AN75" s="240"/>
      <c r="AO75" s="240"/>
      <c r="AQ75" s="363"/>
      <c r="AR75" s="363"/>
    </row>
    <row r="76" spans="6:44" ht="13.5" thickBot="1" x14ac:dyDescent="0.25">
      <c r="F76" s="239"/>
      <c r="I76" s="239"/>
      <c r="J76" s="248"/>
      <c r="M76" s="239"/>
      <c r="P76" s="239"/>
      <c r="Q76" s="248"/>
      <c r="R76" s="944"/>
      <c r="S76" s="239"/>
      <c r="U76" s="33"/>
      <c r="V76" s="239"/>
      <c r="W76" s="248"/>
      <c r="X76" s="943"/>
      <c r="AC76" s="33"/>
      <c r="AD76" s="943"/>
      <c r="AI76" s="33"/>
      <c r="AJ76" s="943"/>
      <c r="AN76" s="239"/>
    </row>
    <row r="77" spans="6:44" ht="13.5" thickBot="1" x14ac:dyDescent="0.25">
      <c r="F77" s="1022" t="s">
        <v>102</v>
      </c>
      <c r="G77" s="1023"/>
      <c r="M77" s="1047" t="s">
        <v>102</v>
      </c>
      <c r="N77" s="1048"/>
      <c r="R77" s="434"/>
      <c r="X77" s="156"/>
      <c r="AD77" s="156"/>
      <c r="AJ77" s="156"/>
      <c r="AK77" s="435"/>
      <c r="AN77" s="239"/>
    </row>
    <row r="78" spans="6:44" ht="13.5" thickBot="1" x14ac:dyDescent="0.25">
      <c r="F78" s="337"/>
      <c r="G78" s="35"/>
      <c r="H78" s="347" t="s">
        <v>49</v>
      </c>
      <c r="I78" s="302"/>
      <c r="J78" s="979"/>
      <c r="M78" s="406"/>
      <c r="N78" s="407"/>
      <c r="O78" s="408" t="s">
        <v>49</v>
      </c>
      <c r="P78" s="409"/>
      <c r="Q78" s="410"/>
      <c r="R78" s="434"/>
      <c r="S78" s="406"/>
      <c r="T78" s="407"/>
      <c r="U78" s="408" t="s">
        <v>50</v>
      </c>
      <c r="V78" s="409"/>
      <c r="W78" s="410"/>
      <c r="X78" s="156"/>
      <c r="Y78" s="406"/>
      <c r="Z78" s="407"/>
      <c r="AA78" s="408" t="s">
        <v>51</v>
      </c>
      <c r="AB78" s="409"/>
      <c r="AC78" s="410"/>
      <c r="AD78" s="156"/>
      <c r="AE78" s="406"/>
      <c r="AF78" s="407"/>
      <c r="AG78" s="408" t="s">
        <v>52</v>
      </c>
      <c r="AH78" s="409"/>
      <c r="AI78" s="410"/>
      <c r="AJ78" s="156"/>
      <c r="AK78" s="435"/>
      <c r="AN78" s="239"/>
    </row>
    <row r="79" spans="6:44" x14ac:dyDescent="0.2">
      <c r="F79" s="258" t="s">
        <v>56</v>
      </c>
      <c r="G79" s="279" t="s">
        <v>691</v>
      </c>
      <c r="H79" s="204" t="s">
        <v>58</v>
      </c>
      <c r="I79" s="294">
        <v>365</v>
      </c>
      <c r="J79" s="305">
        <f>I79*G80</f>
        <v>3650</v>
      </c>
      <c r="M79" s="258" t="s">
        <v>56</v>
      </c>
      <c r="N79" s="279" t="s">
        <v>57</v>
      </c>
      <c r="O79" s="204" t="s">
        <v>58</v>
      </c>
      <c r="P79" s="294">
        <v>365</v>
      </c>
      <c r="Q79" s="305">
        <f>P79*N80</f>
        <v>4380</v>
      </c>
      <c r="R79" s="434"/>
      <c r="S79" s="258" t="s">
        <v>56</v>
      </c>
      <c r="T79" s="411" t="s">
        <v>59</v>
      </c>
      <c r="U79" s="204" t="s">
        <v>58</v>
      </c>
      <c r="V79" s="294">
        <v>365</v>
      </c>
      <c r="W79" s="305">
        <f>T80*V79</f>
        <v>5657.5</v>
      </c>
      <c r="X79" s="156"/>
      <c r="Y79" s="258" t="s">
        <v>56</v>
      </c>
      <c r="Z79" s="242" t="s">
        <v>60</v>
      </c>
      <c r="AA79" s="204" t="s">
        <v>58</v>
      </c>
      <c r="AB79" s="294">
        <v>365</v>
      </c>
      <c r="AC79" s="305">
        <f>Z80*AB79</f>
        <v>7300</v>
      </c>
      <c r="AD79" s="156"/>
      <c r="AE79" s="258" t="s">
        <v>56</v>
      </c>
      <c r="AF79" s="242" t="s">
        <v>61</v>
      </c>
      <c r="AG79" s="204" t="s">
        <v>58</v>
      </c>
      <c r="AH79" s="294">
        <v>365</v>
      </c>
      <c r="AI79" s="305">
        <f>AF80*AH79</f>
        <v>9125</v>
      </c>
      <c r="AJ79" s="156"/>
      <c r="AK79" s="435"/>
      <c r="AL79" s="242"/>
      <c r="AM79" s="242"/>
      <c r="AN79" s="242"/>
      <c r="AO79" s="242"/>
    </row>
    <row r="80" spans="6:44" x14ac:dyDescent="0.2">
      <c r="F80" s="258"/>
      <c r="G80" s="242">
        <v>10</v>
      </c>
      <c r="H80" s="204"/>
      <c r="I80" s="294"/>
      <c r="J80" s="305"/>
      <c r="M80" s="258"/>
      <c r="N80" s="242">
        <v>12</v>
      </c>
      <c r="O80" s="204"/>
      <c r="P80" s="294"/>
      <c r="Q80" s="305"/>
      <c r="R80" s="434"/>
      <c r="S80" s="258"/>
      <c r="T80" s="242">
        <v>15.5</v>
      </c>
      <c r="U80" s="204"/>
      <c r="V80" s="294"/>
      <c r="W80" s="305"/>
      <c r="X80" s="156"/>
      <c r="Y80" s="258"/>
      <c r="Z80" s="242">
        <v>20</v>
      </c>
      <c r="AA80" s="204"/>
      <c r="AB80" s="294"/>
      <c r="AC80" s="305"/>
      <c r="AD80" s="156"/>
      <c r="AE80" s="258"/>
      <c r="AF80" s="242">
        <v>25</v>
      </c>
      <c r="AG80" s="204"/>
      <c r="AH80" s="294"/>
      <c r="AI80" s="305"/>
      <c r="AJ80" s="156"/>
      <c r="AK80" s="435"/>
      <c r="AL80" s="242"/>
      <c r="AM80" s="242"/>
      <c r="AN80" s="242"/>
      <c r="AO80" s="242"/>
    </row>
    <row r="81" spans="6:44" x14ac:dyDescent="0.2">
      <c r="F81" s="258"/>
      <c r="G81" s="242"/>
      <c r="H81" s="414"/>
      <c r="I81" s="294"/>
      <c r="J81" s="305"/>
      <c r="M81" s="258"/>
      <c r="N81" s="242"/>
      <c r="O81" s="414"/>
      <c r="P81" s="294"/>
      <c r="Q81" s="305"/>
      <c r="R81" s="434"/>
      <c r="S81" s="258"/>
      <c r="T81" s="242"/>
      <c r="U81" s="204"/>
      <c r="V81" s="294"/>
      <c r="W81" s="305"/>
      <c r="X81" s="156"/>
      <c r="Y81" s="258"/>
      <c r="Z81" s="242"/>
      <c r="AA81" s="204"/>
      <c r="AB81" s="294"/>
      <c r="AC81" s="305"/>
      <c r="AD81" s="156"/>
      <c r="AE81" s="258"/>
      <c r="AF81" s="242"/>
      <c r="AG81" s="204"/>
      <c r="AH81" s="294"/>
      <c r="AI81" s="305"/>
      <c r="AJ81" s="156"/>
      <c r="AK81" s="33"/>
      <c r="AL81" s="33"/>
      <c r="AM81" s="33"/>
      <c r="AN81" s="33"/>
      <c r="AO81" s="33"/>
    </row>
    <row r="82" spans="6:44" ht="25.5" x14ac:dyDescent="0.2">
      <c r="F82" s="378"/>
      <c r="G82" s="310" t="s">
        <v>65</v>
      </c>
      <c r="H82" s="293" t="s">
        <v>66</v>
      </c>
      <c r="I82" s="311" t="s">
        <v>67</v>
      </c>
      <c r="J82" s="312" t="s">
        <v>68</v>
      </c>
      <c r="M82" s="378"/>
      <c r="N82" s="310" t="s">
        <v>65</v>
      </c>
      <c r="O82" s="293" t="s">
        <v>66</v>
      </c>
      <c r="P82" s="311" t="s">
        <v>67</v>
      </c>
      <c r="Q82" s="312" t="s">
        <v>68</v>
      </c>
      <c r="R82" s="434"/>
      <c r="S82" s="378"/>
      <c r="T82" s="310" t="s">
        <v>65</v>
      </c>
      <c r="U82" s="293" t="s">
        <v>66</v>
      </c>
      <c r="V82" s="311" t="s">
        <v>67</v>
      </c>
      <c r="W82" s="312" t="s">
        <v>68</v>
      </c>
      <c r="X82" s="156"/>
      <c r="Y82" s="378"/>
      <c r="Z82" s="310" t="s">
        <v>65</v>
      </c>
      <c r="AA82" s="293" t="s">
        <v>66</v>
      </c>
      <c r="AB82" s="311" t="s">
        <v>67</v>
      </c>
      <c r="AC82" s="312" t="s">
        <v>68</v>
      </c>
      <c r="AD82" s="156"/>
      <c r="AE82" s="378"/>
      <c r="AF82" s="310" t="s">
        <v>65</v>
      </c>
      <c r="AG82" s="293" t="s">
        <v>66</v>
      </c>
      <c r="AH82" s="311" t="s">
        <v>67</v>
      </c>
      <c r="AI82" s="312" t="s">
        <v>68</v>
      </c>
      <c r="AJ82" s="156"/>
      <c r="AK82" s="33"/>
      <c r="AL82" s="33"/>
      <c r="AM82" s="33"/>
      <c r="AN82" s="33"/>
      <c r="AO82" s="33"/>
    </row>
    <row r="83" spans="6:44" x14ac:dyDescent="0.2">
      <c r="F83" s="437" t="str">
        <f>M83</f>
        <v>Management</v>
      </c>
      <c r="G83" s="314"/>
      <c r="H83" s="239">
        <f>O83</f>
        <v>81486.911999999997</v>
      </c>
      <c r="I83" s="38">
        <f>P83</f>
        <v>2.15</v>
      </c>
      <c r="J83" s="307">
        <f>H83*I83</f>
        <v>175196.86079999999</v>
      </c>
      <c r="M83" s="437" t="s">
        <v>352</v>
      </c>
      <c r="N83" s="314"/>
      <c r="O83" s="239">
        <f>$AM$5</f>
        <v>81486.911999999997</v>
      </c>
      <c r="P83" s="38">
        <f>AL12</f>
        <v>2.15</v>
      </c>
      <c r="Q83" s="307">
        <f>O83*P83</f>
        <v>175196.86079999999</v>
      </c>
      <c r="R83" s="434"/>
      <c r="S83" s="437" t="s">
        <v>352</v>
      </c>
      <c r="T83" s="314"/>
      <c r="U83" s="239">
        <f>$AM$5</f>
        <v>81486.911999999997</v>
      </c>
      <c r="V83" s="38">
        <f>AM12</f>
        <v>2.15</v>
      </c>
      <c r="W83" s="307">
        <f>U83*V83</f>
        <v>175196.86079999999</v>
      </c>
      <c r="X83" s="156"/>
      <c r="Y83" s="437" t="s">
        <v>352</v>
      </c>
      <c r="Z83" s="314"/>
      <c r="AA83" s="239">
        <f>$AM$5</f>
        <v>81486.911999999997</v>
      </c>
      <c r="AB83" s="38">
        <f>AN12</f>
        <v>2.15</v>
      </c>
      <c r="AC83" s="307">
        <f>AA83*AB83</f>
        <v>175196.86079999999</v>
      </c>
      <c r="AD83" s="156"/>
      <c r="AE83" s="437" t="s">
        <v>352</v>
      </c>
      <c r="AF83" s="314"/>
      <c r="AG83" s="239">
        <f>$AM$5</f>
        <v>81486.911999999997</v>
      </c>
      <c r="AH83" s="38">
        <f>AO12</f>
        <v>2.15</v>
      </c>
      <c r="AI83" s="307">
        <f>AG83*AH83</f>
        <v>175196.86079999999</v>
      </c>
      <c r="AJ83" s="156"/>
      <c r="AK83" s="33"/>
      <c r="AL83" s="33"/>
      <c r="AM83" s="33"/>
      <c r="AN83" s="33"/>
      <c r="AO83" s="33"/>
    </row>
    <row r="84" spans="6:44" ht="15" customHeight="1" x14ac:dyDescent="0.2">
      <c r="F84" s="437" t="str">
        <f t="shared" ref="F84:F86" si="6">M84</f>
        <v>Clinical Director</v>
      </c>
      <c r="G84" s="314"/>
      <c r="H84" s="239">
        <f t="shared" ref="H84:H86" si="7">O84</f>
        <v>101806.432</v>
      </c>
      <c r="I84" s="38">
        <v>1</v>
      </c>
      <c r="J84" s="307">
        <f>H84*I84</f>
        <v>101806.432</v>
      </c>
      <c r="M84" s="437" t="str">
        <f>AK6</f>
        <v>Clinical Director</v>
      </c>
      <c r="N84" s="314"/>
      <c r="O84" s="239">
        <f>AM6</f>
        <v>101806.432</v>
      </c>
      <c r="P84" s="38">
        <v>1</v>
      </c>
      <c r="Q84" s="307">
        <f>O84*P84</f>
        <v>101806.432</v>
      </c>
      <c r="R84" s="434"/>
      <c r="S84" s="437" t="str">
        <f>AK6</f>
        <v>Clinical Director</v>
      </c>
      <c r="T84" s="314"/>
      <c r="U84" s="239">
        <f>AM6</f>
        <v>101806.432</v>
      </c>
      <c r="V84" s="38">
        <v>1</v>
      </c>
      <c r="W84" s="307">
        <f>U84*V84</f>
        <v>101806.432</v>
      </c>
      <c r="X84" s="156"/>
      <c r="Y84" s="437" t="str">
        <f>AK6</f>
        <v>Clinical Director</v>
      </c>
      <c r="Z84" s="314"/>
      <c r="AA84" s="239">
        <f>AM6</f>
        <v>101806.432</v>
      </c>
      <c r="AB84" s="38">
        <v>1</v>
      </c>
      <c r="AC84" s="307">
        <f>AA84*AB84</f>
        <v>101806.432</v>
      </c>
      <c r="AD84" s="156"/>
      <c r="AE84" s="437" t="str">
        <f>AK6</f>
        <v>Clinical Director</v>
      </c>
      <c r="AF84" s="314"/>
      <c r="AG84" s="239">
        <f>AM6</f>
        <v>101806.432</v>
      </c>
      <c r="AH84" s="38">
        <v>1.5</v>
      </c>
      <c r="AI84" s="307">
        <f>AG84*AH84</f>
        <v>152709.64799999999</v>
      </c>
      <c r="AJ84" s="156"/>
      <c r="AK84" s="33"/>
      <c r="AL84" s="33"/>
      <c r="AM84" s="33"/>
      <c r="AN84" s="33"/>
      <c r="AO84" s="33"/>
    </row>
    <row r="85" spans="6:44" ht="15" customHeight="1" x14ac:dyDescent="0.2">
      <c r="F85" s="437" t="str">
        <f t="shared" si="6"/>
        <v>Clinical (LICSW)</v>
      </c>
      <c r="G85" s="314"/>
      <c r="H85" s="239">
        <f t="shared" si="7"/>
        <v>84174.063999999998</v>
      </c>
      <c r="I85" s="38">
        <v>2</v>
      </c>
      <c r="J85" s="307">
        <f>H85*I85</f>
        <v>168348.128</v>
      </c>
      <c r="M85" s="437" t="str">
        <f>AK7</f>
        <v>Clinical (LICSW)</v>
      </c>
      <c r="N85" s="314"/>
      <c r="O85" s="239">
        <f>AM7</f>
        <v>84174.063999999998</v>
      </c>
      <c r="P85" s="38">
        <v>2</v>
      </c>
      <c r="Q85" s="307">
        <f>O85*P85</f>
        <v>168348.128</v>
      </c>
      <c r="R85" s="434"/>
      <c r="S85" s="437" t="str">
        <f>AK7</f>
        <v>Clinical (LICSW)</v>
      </c>
      <c r="T85" s="314"/>
      <c r="U85" s="239">
        <f>AM7</f>
        <v>84174.063999999998</v>
      </c>
      <c r="V85" s="38">
        <v>2</v>
      </c>
      <c r="W85" s="307">
        <f>U85*V85</f>
        <v>168348.128</v>
      </c>
      <c r="X85" s="156"/>
      <c r="Y85" s="437" t="str">
        <f>AK7</f>
        <v>Clinical (LICSW)</v>
      </c>
      <c r="Z85" s="314"/>
      <c r="AA85" s="239">
        <f>AM7</f>
        <v>84174.063999999998</v>
      </c>
      <c r="AB85" s="38">
        <v>2</v>
      </c>
      <c r="AC85" s="307">
        <f>AA85*AB85</f>
        <v>168348.128</v>
      </c>
      <c r="AD85" s="156"/>
      <c r="AE85" s="437" t="str">
        <f>AK7</f>
        <v>Clinical (LICSW)</v>
      </c>
      <c r="AF85" s="314"/>
      <c r="AG85" s="239">
        <f>AM7</f>
        <v>84174.063999999998</v>
      </c>
      <c r="AH85" s="38">
        <v>2</v>
      </c>
      <c r="AI85" s="307">
        <f>AG85*AH85</f>
        <v>168348.128</v>
      </c>
      <c r="AJ85" s="156"/>
      <c r="AK85" s="33"/>
      <c r="AL85" s="33"/>
      <c r="AM85" s="33"/>
      <c r="AN85" s="33"/>
      <c r="AO85" s="33"/>
    </row>
    <row r="86" spans="6:44" ht="15" customHeight="1" x14ac:dyDescent="0.2">
      <c r="F86" s="437" t="str">
        <f t="shared" si="6"/>
        <v>Direct Care Staff</v>
      </c>
      <c r="G86" s="38">
        <v>0.57999999999999996</v>
      </c>
      <c r="H86" s="239">
        <f t="shared" si="7"/>
        <v>46842.432000000008</v>
      </c>
      <c r="I86" s="980">
        <v>21.69</v>
      </c>
      <c r="J86" s="307">
        <f>H86*I86</f>
        <v>1016012.3500800002</v>
      </c>
      <c r="M86" s="438" t="s">
        <v>354</v>
      </c>
      <c r="N86" s="38">
        <v>0.57999999999999996</v>
      </c>
      <c r="O86" s="239">
        <f>AM8</f>
        <v>46842.432000000008</v>
      </c>
      <c r="P86" s="38">
        <v>23.69</v>
      </c>
      <c r="Q86" s="307">
        <f>O86*P86</f>
        <v>1109697.2140800003</v>
      </c>
      <c r="R86" s="434"/>
      <c r="S86" s="438" t="s">
        <v>354</v>
      </c>
      <c r="T86" s="38">
        <v>0.69</v>
      </c>
      <c r="U86" s="239">
        <f>AM8</f>
        <v>46842.432000000008</v>
      </c>
      <c r="V86" s="38">
        <v>25.43</v>
      </c>
      <c r="W86" s="307">
        <f>U86*V86</f>
        <v>1191203.0457600001</v>
      </c>
      <c r="X86" s="156"/>
      <c r="Y86" s="438" t="s">
        <v>354</v>
      </c>
      <c r="Z86" s="38">
        <v>0.89</v>
      </c>
      <c r="AA86" s="239">
        <f>AM8</f>
        <v>46842.432000000008</v>
      </c>
      <c r="AB86" s="38">
        <v>25.43</v>
      </c>
      <c r="AC86" s="307">
        <f>AA86*AB86</f>
        <v>1191203.0457600001</v>
      </c>
      <c r="AD86" s="156"/>
      <c r="AE86" s="438" t="s">
        <v>354</v>
      </c>
      <c r="AF86" s="38">
        <v>0.94</v>
      </c>
      <c r="AG86" s="239">
        <f>AM8</f>
        <v>46842.432000000008</v>
      </c>
      <c r="AH86" s="38">
        <v>30.73</v>
      </c>
      <c r="AI86" s="307">
        <f>AG86*AH86</f>
        <v>1439467.9353600002</v>
      </c>
      <c r="AJ86" s="156"/>
      <c r="AK86" s="33"/>
      <c r="AL86" s="33"/>
      <c r="AM86" s="33"/>
      <c r="AN86" s="33"/>
      <c r="AO86" s="33"/>
    </row>
    <row r="87" spans="6:44" x14ac:dyDescent="0.2">
      <c r="F87" s="155"/>
      <c r="G87" s="38"/>
      <c r="H87" s="618"/>
      <c r="I87" s="618"/>
      <c r="J87" s="307"/>
      <c r="M87" s="155"/>
      <c r="N87" s="38"/>
      <c r="O87" s="265"/>
      <c r="P87" s="265"/>
      <c r="Q87" s="307"/>
      <c r="R87" s="434"/>
      <c r="S87" s="155"/>
      <c r="T87" s="38"/>
      <c r="U87" s="265"/>
      <c r="V87" s="265"/>
      <c r="W87" s="307"/>
      <c r="X87" s="156"/>
      <c r="Y87" s="155"/>
      <c r="Z87" s="38"/>
      <c r="AA87" s="265"/>
      <c r="AB87" s="265"/>
      <c r="AC87" s="307"/>
      <c r="AD87" s="156"/>
      <c r="AE87" s="155"/>
      <c r="AF87" s="38"/>
      <c r="AG87" s="265"/>
      <c r="AH87" s="265"/>
      <c r="AI87" s="307"/>
      <c r="AJ87" s="156"/>
      <c r="AK87" s="294"/>
      <c r="AL87" s="294"/>
      <c r="AM87" s="33"/>
      <c r="AN87" s="33"/>
      <c r="AO87" s="33"/>
    </row>
    <row r="88" spans="6:44" x14ac:dyDescent="0.2">
      <c r="F88" s="589" t="s">
        <v>538</v>
      </c>
      <c r="G88" s="585"/>
      <c r="H88" s="586"/>
      <c r="I88" s="587">
        <f>SUM(I83:I86)</f>
        <v>26.840000000000003</v>
      </c>
      <c r="J88" s="588">
        <f>SUM(J83:J87)</f>
        <v>1461363.7708800002</v>
      </c>
      <c r="M88" s="589" t="s">
        <v>538</v>
      </c>
      <c r="N88" s="585"/>
      <c r="O88" s="586"/>
      <c r="P88" s="587">
        <f>SUM(P83:P86)</f>
        <v>28.840000000000003</v>
      </c>
      <c r="Q88" s="588">
        <f>SUM(Q83:Q87)</f>
        <v>1555048.6348800003</v>
      </c>
      <c r="R88" s="434"/>
      <c r="S88" s="589" t="s">
        <v>538</v>
      </c>
      <c r="T88" s="585"/>
      <c r="U88" s="586"/>
      <c r="V88" s="587">
        <f>SUM(V83:V86)</f>
        <v>30.58</v>
      </c>
      <c r="W88" s="588">
        <f>SUM(W83:W87)</f>
        <v>1636554.4665600001</v>
      </c>
      <c r="X88" s="156"/>
      <c r="Y88" s="589" t="s">
        <v>538</v>
      </c>
      <c r="Z88" s="585"/>
      <c r="AA88" s="586"/>
      <c r="AB88" s="587">
        <f>SUM(AB83:AB86)</f>
        <v>30.58</v>
      </c>
      <c r="AC88" s="588">
        <f>SUM(AC83:AC87)</f>
        <v>1636554.4665600001</v>
      </c>
      <c r="AD88" s="156"/>
      <c r="AE88" s="589" t="s">
        <v>538</v>
      </c>
      <c r="AF88" s="585"/>
      <c r="AG88" s="586"/>
      <c r="AH88" s="587">
        <f>SUM(AH83:AH86)</f>
        <v>36.380000000000003</v>
      </c>
      <c r="AI88" s="588">
        <f>SUM(AI83:AI87)</f>
        <v>1935722.5721600002</v>
      </c>
      <c r="AJ88" s="156"/>
      <c r="AK88" s="294"/>
      <c r="AL88" s="294"/>
      <c r="AM88" s="33"/>
      <c r="AN88" s="33"/>
      <c r="AO88" s="33"/>
    </row>
    <row r="89" spans="6:44" s="242" customFormat="1" ht="14.25" x14ac:dyDescent="0.2">
      <c r="F89" s="604" t="s">
        <v>80</v>
      </c>
      <c r="G89" s="38"/>
      <c r="H89" s="618"/>
      <c r="I89" s="618">
        <f>I52</f>
        <v>0.24970000000000001</v>
      </c>
      <c r="J89" s="307">
        <f>J88*I89</f>
        <v>364902.53358873609</v>
      </c>
      <c r="M89" s="604" t="s">
        <v>80</v>
      </c>
      <c r="N89" s="38"/>
      <c r="O89" s="265"/>
      <c r="P89" s="265">
        <f>P52</f>
        <v>0.24970000000000001</v>
      </c>
      <c r="Q89" s="307">
        <f>Q88*P89</f>
        <v>388295.64412953606</v>
      </c>
      <c r="R89" s="434"/>
      <c r="S89" s="604" t="s">
        <v>80</v>
      </c>
      <c r="T89" s="38"/>
      <c r="U89" s="265"/>
      <c r="V89" s="265">
        <f>P89</f>
        <v>0.24970000000000001</v>
      </c>
      <c r="W89" s="307">
        <f>W88*V89</f>
        <v>408647.65030003205</v>
      </c>
      <c r="X89" s="156"/>
      <c r="Y89" s="604" t="s">
        <v>80</v>
      </c>
      <c r="Z89" s="38"/>
      <c r="AA89" s="265"/>
      <c r="AB89" s="265">
        <f>V89</f>
        <v>0.24970000000000001</v>
      </c>
      <c r="AC89" s="307">
        <f>AC88*AB89</f>
        <v>408647.65030003205</v>
      </c>
      <c r="AD89" s="156"/>
      <c r="AE89" s="604" t="s">
        <v>80</v>
      </c>
      <c r="AF89" s="38"/>
      <c r="AG89" s="265"/>
      <c r="AH89" s="265">
        <f>AB89</f>
        <v>0.24970000000000001</v>
      </c>
      <c r="AI89" s="307">
        <f>AI88*AH89</f>
        <v>483349.92626835208</v>
      </c>
      <c r="AJ89" s="156"/>
      <c r="AK89" s="328"/>
      <c r="AL89" s="328"/>
      <c r="AQ89" s="33"/>
      <c r="AR89" s="33"/>
    </row>
    <row r="90" spans="6:44" s="242" customFormat="1" ht="15.75" thickBot="1" x14ac:dyDescent="0.3">
      <c r="F90" s="590" t="s">
        <v>539</v>
      </c>
      <c r="G90" s="584"/>
      <c r="H90" s="584"/>
      <c r="I90" s="584"/>
      <c r="J90" s="605">
        <f>SUM(J88:J89)</f>
        <v>1826266.3044687363</v>
      </c>
      <c r="M90" s="590" t="s">
        <v>539</v>
      </c>
      <c r="N90" s="584"/>
      <c r="O90" s="584"/>
      <c r="P90" s="584"/>
      <c r="Q90" s="605">
        <f>SUM(Q88:Q89)</f>
        <v>1943344.2790095364</v>
      </c>
      <c r="R90" s="434"/>
      <c r="S90" s="590" t="s">
        <v>539</v>
      </c>
      <c r="T90" s="584"/>
      <c r="U90" s="584"/>
      <c r="V90" s="584"/>
      <c r="W90" s="605">
        <f>SUM(W88:W89)</f>
        <v>2045202.1168600321</v>
      </c>
      <c r="X90" s="156"/>
      <c r="Y90" s="590" t="s">
        <v>539</v>
      </c>
      <c r="Z90" s="584"/>
      <c r="AA90" s="584"/>
      <c r="AB90" s="584"/>
      <c r="AC90" s="605">
        <f>SUM(AC88:AC89)</f>
        <v>2045202.1168600321</v>
      </c>
      <c r="AD90" s="156"/>
      <c r="AE90" s="590" t="s">
        <v>539</v>
      </c>
      <c r="AF90" s="584"/>
      <c r="AG90" s="584"/>
      <c r="AH90" s="584"/>
      <c r="AI90" s="605">
        <f>SUM(AI88:AI89)</f>
        <v>2419072.4984283522</v>
      </c>
      <c r="AJ90" s="156"/>
      <c r="AK90" s="334"/>
      <c r="AL90" s="208"/>
    </row>
    <row r="91" spans="6:44" s="309" customFormat="1" ht="15.75" thickTop="1" x14ac:dyDescent="0.25">
      <c r="F91" s="583"/>
      <c r="G91" s="242"/>
      <c r="H91" s="242"/>
      <c r="I91" s="242"/>
      <c r="J91" s="358"/>
      <c r="M91" s="583"/>
      <c r="N91" s="242"/>
      <c r="O91" s="242"/>
      <c r="P91" s="242"/>
      <c r="Q91" s="358"/>
      <c r="R91" s="242"/>
      <c r="S91" s="583"/>
      <c r="T91" s="242"/>
      <c r="U91" s="242"/>
      <c r="V91" s="242"/>
      <c r="W91" s="358"/>
      <c r="X91" s="242"/>
      <c r="Y91" s="583"/>
      <c r="Z91" s="242"/>
      <c r="AA91" s="242"/>
      <c r="AB91" s="242"/>
      <c r="AC91" s="358"/>
      <c r="AD91" s="242"/>
      <c r="AE91" s="583"/>
      <c r="AF91" s="242"/>
      <c r="AG91" s="242"/>
      <c r="AH91" s="242"/>
      <c r="AI91" s="358"/>
      <c r="AJ91" s="156"/>
      <c r="AK91" s="208"/>
      <c r="AL91" s="208"/>
      <c r="AM91" s="33"/>
      <c r="AN91" s="33"/>
      <c r="AO91" s="33"/>
    </row>
    <row r="92" spans="6:44" s="309" customFormat="1" ht="30" x14ac:dyDescent="0.25">
      <c r="F92" s="583" t="s">
        <v>540</v>
      </c>
      <c r="G92" s="242"/>
      <c r="H92" s="195"/>
      <c r="I92" s="294" t="s">
        <v>78</v>
      </c>
      <c r="J92" s="336"/>
      <c r="M92" s="583" t="s">
        <v>540</v>
      </c>
      <c r="N92" s="242"/>
      <c r="O92" s="195"/>
      <c r="P92" s="294" t="s">
        <v>78</v>
      </c>
      <c r="Q92" s="336"/>
      <c r="R92" s="242"/>
      <c r="S92" s="583" t="s">
        <v>540</v>
      </c>
      <c r="T92" s="242"/>
      <c r="U92" s="195"/>
      <c r="V92" s="294" t="s">
        <v>78</v>
      </c>
      <c r="W92" s="336"/>
      <c r="X92" s="242"/>
      <c r="Y92" s="583" t="s">
        <v>540</v>
      </c>
      <c r="Z92" s="242"/>
      <c r="AA92" s="195"/>
      <c r="AB92" s="294" t="s">
        <v>78</v>
      </c>
      <c r="AC92" s="336"/>
      <c r="AD92" s="242"/>
      <c r="AE92" s="583" t="s">
        <v>540</v>
      </c>
      <c r="AF92" s="242"/>
      <c r="AG92" s="195"/>
      <c r="AH92" s="294" t="s">
        <v>78</v>
      </c>
      <c r="AI92" s="336"/>
      <c r="AJ92" s="156"/>
      <c r="AK92" s="208"/>
      <c r="AL92" s="208"/>
      <c r="AM92" s="33"/>
      <c r="AN92" s="33"/>
      <c r="AO92" s="33"/>
    </row>
    <row r="93" spans="6:44" s="242" customFormat="1" x14ac:dyDescent="0.2">
      <c r="F93" s="241" t="s">
        <v>82</v>
      </c>
      <c r="G93" s="33"/>
      <c r="H93" s="239"/>
      <c r="I93" s="248"/>
      <c r="J93" s="307">
        <v>25000</v>
      </c>
      <c r="M93" s="241" t="s">
        <v>82</v>
      </c>
      <c r="N93" s="33"/>
      <c r="O93" s="239"/>
      <c r="P93" s="248"/>
      <c r="Q93" s="307">
        <v>25000</v>
      </c>
      <c r="R93" s="434"/>
      <c r="S93" s="241" t="s">
        <v>82</v>
      </c>
      <c r="T93" s="33"/>
      <c r="U93" s="239"/>
      <c r="V93" s="248"/>
      <c r="W93" s="307">
        <v>25000</v>
      </c>
      <c r="X93" s="156"/>
      <c r="Y93" s="241" t="s">
        <v>82</v>
      </c>
      <c r="Z93" s="33"/>
      <c r="AA93" s="239"/>
      <c r="AB93" s="248"/>
      <c r="AC93" s="307">
        <v>30000</v>
      </c>
      <c r="AD93" s="156"/>
      <c r="AE93" s="241" t="s">
        <v>82</v>
      </c>
      <c r="AF93" s="33"/>
      <c r="AG93" s="239"/>
      <c r="AH93" s="248"/>
      <c r="AI93" s="307">
        <v>30000</v>
      </c>
      <c r="AJ93" s="156"/>
      <c r="AK93" s="334"/>
      <c r="AL93" s="334"/>
      <c r="AM93" s="363"/>
      <c r="AN93" s="363"/>
      <c r="AO93" s="363"/>
    </row>
    <row r="94" spans="6:44" s="242" customFormat="1" x14ac:dyDescent="0.2">
      <c r="F94" s="241" t="s">
        <v>83</v>
      </c>
      <c r="G94" s="33"/>
      <c r="H94" s="239"/>
      <c r="I94" s="38">
        <f>$AL$25</f>
        <v>7.3322564329156208</v>
      </c>
      <c r="J94" s="307">
        <f>I94*J$79</f>
        <v>26762.735980142017</v>
      </c>
      <c r="M94" s="241" t="s">
        <v>83</v>
      </c>
      <c r="N94" s="33"/>
      <c r="O94" s="239"/>
      <c r="P94" s="38">
        <f>$AL$25</f>
        <v>7.3322564329156208</v>
      </c>
      <c r="Q94" s="307">
        <f>P94*Q$79</f>
        <v>32115.283176170418</v>
      </c>
      <c r="R94" s="434"/>
      <c r="S94" s="241" t="s">
        <v>83</v>
      </c>
      <c r="T94" s="33"/>
      <c r="U94" s="239"/>
      <c r="V94" s="38">
        <f>$AL$25</f>
        <v>7.3322564329156208</v>
      </c>
      <c r="W94" s="307">
        <f>V94*W$79</f>
        <v>41482.240769220123</v>
      </c>
      <c r="X94" s="156"/>
      <c r="Y94" s="241" t="s">
        <v>83</v>
      </c>
      <c r="Z94" s="33"/>
      <c r="AA94" s="239"/>
      <c r="AB94" s="38">
        <f>$AL$25</f>
        <v>7.3322564329156208</v>
      </c>
      <c r="AC94" s="307">
        <f>AB94*AC$79</f>
        <v>53525.471960284034</v>
      </c>
      <c r="AD94" s="156"/>
      <c r="AE94" s="241" t="s">
        <v>83</v>
      </c>
      <c r="AF94" s="33"/>
      <c r="AG94" s="239"/>
      <c r="AH94" s="38">
        <f>$AL$25</f>
        <v>7.3322564329156208</v>
      </c>
      <c r="AI94" s="307">
        <f>AH94*AI$79</f>
        <v>66906.839950355046</v>
      </c>
      <c r="AJ94" s="156"/>
      <c r="AK94" s="334"/>
      <c r="AL94" s="334"/>
      <c r="AM94" s="363"/>
      <c r="AN94" s="363"/>
      <c r="AO94" s="363"/>
    </row>
    <row r="95" spans="6:44" s="239" customFormat="1" x14ac:dyDescent="0.2">
      <c r="F95" s="241" t="s">
        <v>86</v>
      </c>
      <c r="G95" s="33"/>
      <c r="I95" s="38">
        <f>$AL$26</f>
        <v>15.901681537562935</v>
      </c>
      <c r="J95" s="307">
        <f>I95*J$79</f>
        <v>58041.137612104714</v>
      </c>
      <c r="M95" s="241" t="s">
        <v>86</v>
      </c>
      <c r="N95" s="33"/>
      <c r="P95" s="38">
        <f>$AL$26</f>
        <v>15.901681537562935</v>
      </c>
      <c r="Q95" s="307">
        <f>P95*Q$79</f>
        <v>69649.365134525651</v>
      </c>
      <c r="R95" s="434"/>
      <c r="S95" s="241" t="s">
        <v>86</v>
      </c>
      <c r="T95" s="33"/>
      <c r="V95" s="38">
        <f>$AL$26</f>
        <v>15.901681537562935</v>
      </c>
      <c r="W95" s="307">
        <f>V95*W$79</f>
        <v>89963.763298762307</v>
      </c>
      <c r="X95" s="156"/>
      <c r="Y95" s="241" t="s">
        <v>86</v>
      </c>
      <c r="Z95" s="33"/>
      <c r="AB95" s="38">
        <f>$AL$26</f>
        <v>15.901681537562935</v>
      </c>
      <c r="AC95" s="307">
        <f>AB95*AC$79</f>
        <v>116082.27522420943</v>
      </c>
      <c r="AD95" s="156"/>
      <c r="AE95" s="241" t="s">
        <v>86</v>
      </c>
      <c r="AF95" s="33"/>
      <c r="AH95" s="38">
        <f>$AL$26</f>
        <v>15.901681537562935</v>
      </c>
      <c r="AI95" s="307">
        <f>AH95*AI$79</f>
        <v>145102.84403026177</v>
      </c>
      <c r="AJ95" s="156"/>
      <c r="AK95" s="208"/>
      <c r="AL95" s="208"/>
      <c r="AM95" s="33"/>
      <c r="AN95" s="33"/>
      <c r="AO95" s="33"/>
      <c r="AQ95" s="242"/>
      <c r="AR95" s="242"/>
    </row>
    <row r="96" spans="6:44" ht="15.75" thickBot="1" x14ac:dyDescent="0.3">
      <c r="F96" s="1024" t="s">
        <v>541</v>
      </c>
      <c r="G96" s="1025"/>
      <c r="H96" s="592"/>
      <c r="I96" s="593"/>
      <c r="J96" s="594">
        <f>SUM(J93:J95)</f>
        <v>109803.87359224673</v>
      </c>
      <c r="M96" s="1045" t="s">
        <v>541</v>
      </c>
      <c r="N96" s="1025"/>
      <c r="O96" s="592"/>
      <c r="P96" s="593"/>
      <c r="Q96" s="594">
        <f>SUM(Q93:Q95)</f>
        <v>126764.64831069607</v>
      </c>
      <c r="R96" s="195"/>
      <c r="S96" s="1046" t="s">
        <v>541</v>
      </c>
      <c r="T96" s="1025"/>
      <c r="U96" s="592"/>
      <c r="V96" s="593"/>
      <c r="W96" s="594">
        <f>SUM(W93:W95)</f>
        <v>156446.00406798243</v>
      </c>
      <c r="Y96" s="1046" t="s">
        <v>541</v>
      </c>
      <c r="Z96" s="1025"/>
      <c r="AA96" s="592"/>
      <c r="AB96" s="593"/>
      <c r="AC96" s="594">
        <f>SUM(AC93:AC95)</f>
        <v>199607.74718449346</v>
      </c>
      <c r="AD96" s="195"/>
      <c r="AE96" s="1046" t="s">
        <v>541</v>
      </c>
      <c r="AF96" s="1025"/>
      <c r="AG96" s="592"/>
      <c r="AH96" s="593"/>
      <c r="AI96" s="594">
        <f>SUM(AI93:AI95)</f>
        <v>242009.6839806168</v>
      </c>
      <c r="AK96" s="33"/>
      <c r="AL96" s="346"/>
      <c r="AM96" s="571"/>
      <c r="AN96" s="33"/>
      <c r="AO96" s="33"/>
      <c r="AR96" s="324"/>
    </row>
    <row r="97" spans="6:44" s="239" customFormat="1" ht="13.5" thickTop="1" x14ac:dyDescent="0.2">
      <c r="F97" s="241"/>
      <c r="G97" s="33"/>
      <c r="I97" s="38"/>
      <c r="J97" s="307"/>
      <c r="M97" s="241"/>
      <c r="N97" s="33"/>
      <c r="P97" s="38"/>
      <c r="Q97" s="307"/>
      <c r="R97" s="434"/>
      <c r="S97" s="241"/>
      <c r="T97" s="33"/>
      <c r="V97" s="38"/>
      <c r="W97" s="307"/>
      <c r="X97" s="156"/>
      <c r="Y97" s="241"/>
      <c r="Z97" s="33"/>
      <c r="AB97" s="38"/>
      <c r="AC97" s="307"/>
      <c r="AD97" s="156"/>
      <c r="AE97" s="241"/>
      <c r="AF97" s="33"/>
      <c r="AH97" s="38"/>
      <c r="AI97" s="307"/>
      <c r="AJ97" s="156"/>
      <c r="AK97" s="208"/>
      <c r="AL97" s="208"/>
      <c r="AM97" s="33"/>
      <c r="AN97" s="33"/>
      <c r="AO97" s="33"/>
      <c r="AQ97" s="242"/>
      <c r="AR97" s="242"/>
    </row>
    <row r="98" spans="6:44" s="239" customFormat="1" ht="15" x14ac:dyDescent="0.25">
      <c r="F98" s="1028" t="s">
        <v>357</v>
      </c>
      <c r="G98" s="1027"/>
      <c r="H98" s="422"/>
      <c r="I98" s="423"/>
      <c r="J98" s="424">
        <f>J90+J96</f>
        <v>1936070.1780609831</v>
      </c>
      <c r="M98" s="1044" t="s">
        <v>357</v>
      </c>
      <c r="N98" s="1027"/>
      <c r="O98" s="422"/>
      <c r="P98" s="423"/>
      <c r="Q98" s="424">
        <f>Q90+Q96</f>
        <v>2070108.9273202324</v>
      </c>
      <c r="R98" s="434"/>
      <c r="S98" s="1044" t="s">
        <v>357</v>
      </c>
      <c r="T98" s="1027"/>
      <c r="U98" s="422"/>
      <c r="V98" s="423"/>
      <c r="W98" s="424">
        <f>W90+W96</f>
        <v>2201648.1209280146</v>
      </c>
      <c r="X98" s="156"/>
      <c r="Y98" s="1044" t="s">
        <v>357</v>
      </c>
      <c r="Z98" s="1027"/>
      <c r="AA98" s="422"/>
      <c r="AB98" s="423"/>
      <c r="AC98" s="424">
        <f>AC90+AC96</f>
        <v>2244809.8640445257</v>
      </c>
      <c r="AD98" s="156"/>
      <c r="AE98" s="1044" t="s">
        <v>357</v>
      </c>
      <c r="AF98" s="1027"/>
      <c r="AG98" s="422"/>
      <c r="AH98" s="423"/>
      <c r="AI98" s="424">
        <f>AI90+AI96</f>
        <v>2661082.1824089689</v>
      </c>
      <c r="AJ98" s="156"/>
      <c r="AK98" s="353"/>
      <c r="AL98" s="353"/>
      <c r="AM98" s="33"/>
      <c r="AN98" s="33"/>
      <c r="AO98" s="33"/>
    </row>
    <row r="99" spans="6:44" s="239" customFormat="1" x14ac:dyDescent="0.2">
      <c r="F99" s="241" t="s">
        <v>89</v>
      </c>
      <c r="G99" s="33"/>
      <c r="H99" s="346">
        <f>H62</f>
        <v>0.12</v>
      </c>
      <c r="I99" s="38"/>
      <c r="J99" s="307">
        <f>J98*H99</f>
        <v>232328.42136731796</v>
      </c>
      <c r="M99" s="241" t="s">
        <v>89</v>
      </c>
      <c r="N99" s="33"/>
      <c r="O99" s="346">
        <f>O62</f>
        <v>0.12</v>
      </c>
      <c r="P99" s="38"/>
      <c r="Q99" s="307">
        <f>Q98*O99</f>
        <v>248413.07127842787</v>
      </c>
      <c r="R99" s="434"/>
      <c r="S99" s="241" t="s">
        <v>89</v>
      </c>
      <c r="T99" s="33"/>
      <c r="U99" s="346">
        <f>U62</f>
        <v>0.12</v>
      </c>
      <c r="V99" s="38"/>
      <c r="W99" s="307">
        <f>W98*U99</f>
        <v>264197.77451136173</v>
      </c>
      <c r="X99" s="156"/>
      <c r="Y99" s="241" t="s">
        <v>89</v>
      </c>
      <c r="Z99" s="33"/>
      <c r="AA99" s="346">
        <f>AA62</f>
        <v>0.12</v>
      </c>
      <c r="AB99" s="38"/>
      <c r="AC99" s="307">
        <f>AC98*AA99</f>
        <v>269377.18368534307</v>
      </c>
      <c r="AD99" s="156"/>
      <c r="AE99" s="241" t="s">
        <v>89</v>
      </c>
      <c r="AF99" s="33"/>
      <c r="AG99" s="346">
        <f>AG62</f>
        <v>0.12</v>
      </c>
      <c r="AH99" s="38"/>
      <c r="AI99" s="307">
        <f>AI98*AG99</f>
        <v>319329.86188907624</v>
      </c>
      <c r="AJ99" s="156"/>
      <c r="AK99" s="328"/>
      <c r="AL99" s="328"/>
      <c r="AM99" s="33"/>
      <c r="AN99" s="33"/>
      <c r="AO99" s="33"/>
    </row>
    <row r="100" spans="6:44" s="309" customFormat="1" x14ac:dyDescent="0.2">
      <c r="F100" s="241" t="s">
        <v>46</v>
      </c>
      <c r="G100" s="33"/>
      <c r="H100" s="346">
        <f>O100</f>
        <v>2.5282070971092779E-2</v>
      </c>
      <c r="I100" s="38"/>
      <c r="J100" s="307">
        <f>H100*(J98+J99)</f>
        <v>54821.607284364494</v>
      </c>
      <c r="M100" s="241" t="s">
        <v>46</v>
      </c>
      <c r="N100" s="33"/>
      <c r="O100" s="346">
        <f>AL28</f>
        <v>2.5282070971092779E-2</v>
      </c>
      <c r="P100" s="38"/>
      <c r="Q100" s="307">
        <f>O100*(Q98+Q99)</f>
        <v>58617.037716611201</v>
      </c>
      <c r="R100" s="434"/>
      <c r="S100" s="241" t="s">
        <v>46</v>
      </c>
      <c r="T100" s="33"/>
      <c r="U100" s="346">
        <f>O100</f>
        <v>2.5282070971092779E-2</v>
      </c>
      <c r="V100" s="38"/>
      <c r="W100" s="307">
        <f>U100*(W98+W99)</f>
        <v>62341.690932276135</v>
      </c>
      <c r="X100" s="156"/>
      <c r="Y100" s="241" t="s">
        <v>46</v>
      </c>
      <c r="Z100" s="33"/>
      <c r="AA100" s="346">
        <f>U100</f>
        <v>2.5282070971092779E-2</v>
      </c>
      <c r="AB100" s="38"/>
      <c r="AC100" s="307">
        <f>AA100*(AC98+AC99)</f>
        <v>63563.855375308776</v>
      </c>
      <c r="AD100" s="156"/>
      <c r="AE100" s="241" t="s">
        <v>46</v>
      </c>
      <c r="AF100" s="33"/>
      <c r="AG100" s="346">
        <f>AA100</f>
        <v>2.5282070971092779E-2</v>
      </c>
      <c r="AH100" s="38"/>
      <c r="AI100" s="307">
        <f>AG100*(AI98+AI99)</f>
        <v>75350.988827042893</v>
      </c>
      <c r="AJ100" s="156"/>
      <c r="AK100" s="334"/>
      <c r="AL100" s="334"/>
      <c r="AM100" s="33"/>
      <c r="AN100" s="33"/>
      <c r="AO100" s="33"/>
      <c r="AQ100" s="239"/>
      <c r="AR100" s="239"/>
    </row>
    <row r="101" spans="6:44" s="309" customFormat="1" ht="13.5" thickBot="1" x14ac:dyDescent="0.25">
      <c r="F101" s="348" t="s">
        <v>91</v>
      </c>
      <c r="G101" s="349"/>
      <c r="H101" s="350"/>
      <c r="I101" s="351"/>
      <c r="J101" s="352">
        <f>ROUND(SUM(J98:J100),2)</f>
        <v>2223220.21</v>
      </c>
      <c r="M101" s="348" t="s">
        <v>91</v>
      </c>
      <c r="N101" s="349"/>
      <c r="O101" s="350"/>
      <c r="P101" s="351"/>
      <c r="Q101" s="352">
        <f>ROUND(SUM(Q98:Q100),2)</f>
        <v>2377139.04</v>
      </c>
      <c r="R101" s="434"/>
      <c r="S101" s="348" t="s">
        <v>91</v>
      </c>
      <c r="T101" s="349"/>
      <c r="U101" s="350"/>
      <c r="V101" s="351"/>
      <c r="W101" s="352">
        <f>ROUND(SUM(W98:W100),2)</f>
        <v>2528187.59</v>
      </c>
      <c r="X101" s="156"/>
      <c r="Y101" s="348" t="s">
        <v>91</v>
      </c>
      <c r="Z101" s="349"/>
      <c r="AA101" s="350"/>
      <c r="AB101" s="351"/>
      <c r="AC101" s="352">
        <f>ROUND(SUM(AC98:AC100),2)</f>
        <v>2577750.9</v>
      </c>
      <c r="AD101" s="156"/>
      <c r="AE101" s="348" t="s">
        <v>91</v>
      </c>
      <c r="AF101" s="349"/>
      <c r="AG101" s="350"/>
      <c r="AH101" s="351"/>
      <c r="AI101" s="352">
        <f>ROUND(SUM(AI98:AI100),2)</f>
        <v>3055763.03</v>
      </c>
      <c r="AJ101" s="239"/>
      <c r="AK101" s="33"/>
      <c r="AL101" s="33"/>
      <c r="AM101" s="33"/>
      <c r="AN101" s="33"/>
      <c r="AO101" s="33"/>
    </row>
    <row r="102" spans="6:44" s="242" customFormat="1" ht="14.25" thickTop="1" thickBot="1" x14ac:dyDescent="0.25">
      <c r="F102" s="355" t="s">
        <v>93</v>
      </c>
      <c r="G102" s="324"/>
      <c r="H102" s="324"/>
      <c r="I102" s="324"/>
      <c r="J102" s="739">
        <f>J101/J79</f>
        <v>609.1014273972603</v>
      </c>
      <c r="M102" s="355" t="s">
        <v>93</v>
      </c>
      <c r="N102" s="324"/>
      <c r="O102" s="324"/>
      <c r="P102" s="324"/>
      <c r="Q102" s="602">
        <f>Q101/Q79</f>
        <v>542.72580821917813</v>
      </c>
      <c r="R102" s="426"/>
      <c r="S102" s="355" t="s">
        <v>93</v>
      </c>
      <c r="T102" s="324"/>
      <c r="U102" s="324"/>
      <c r="V102" s="324"/>
      <c r="W102" s="602">
        <f>W101/W79</f>
        <v>446.87363499779053</v>
      </c>
      <c r="X102" s="426"/>
      <c r="Y102" s="355" t="s">
        <v>93</v>
      </c>
      <c r="Z102" s="324"/>
      <c r="AA102" s="324"/>
      <c r="AB102" s="324"/>
      <c r="AC102" s="602">
        <f>AC101/AC79</f>
        <v>353.11656164383561</v>
      </c>
      <c r="AD102" s="426"/>
      <c r="AE102" s="355" t="s">
        <v>93</v>
      </c>
      <c r="AF102" s="324"/>
      <c r="AG102" s="324"/>
      <c r="AH102" s="324"/>
      <c r="AI102" s="602">
        <f>AI101/AI79</f>
        <v>334.87814027397258</v>
      </c>
      <c r="AJ102" s="156"/>
      <c r="AK102" s="33"/>
      <c r="AL102" s="33"/>
      <c r="AM102" s="33"/>
      <c r="AN102" s="33"/>
      <c r="AO102" s="33"/>
      <c r="AQ102" s="239"/>
      <c r="AR102" s="239"/>
    </row>
    <row r="103" spans="6:44" s="242" customFormat="1" ht="13.5" thickBot="1" x14ac:dyDescent="0.25">
      <c r="F103" s="359" t="s">
        <v>95</v>
      </c>
      <c r="G103" s="295"/>
      <c r="H103" s="360">
        <v>0.9</v>
      </c>
      <c r="I103" s="361"/>
      <c r="J103" s="362">
        <f>J$101*(H100+1)/(J$79*H103)</f>
        <v>693.88974768145749</v>
      </c>
      <c r="M103" s="359" t="s">
        <v>95</v>
      </c>
      <c r="N103" s="295"/>
      <c r="O103" s="360">
        <v>0.9</v>
      </c>
      <c r="P103" s="361"/>
      <c r="Q103" s="362">
        <f>Q$101*(O100+1)/(Q$79*O103)</f>
        <v>618.27448957824345</v>
      </c>
      <c r="R103" s="426"/>
      <c r="S103" s="359" t="s">
        <v>95</v>
      </c>
      <c r="T103" s="295"/>
      <c r="U103" s="360">
        <v>0.9</v>
      </c>
      <c r="V103" s="361"/>
      <c r="W103" s="362">
        <f>W$101*(U100+1)/(W$79*U103)</f>
        <v>509.07947328101653</v>
      </c>
      <c r="X103" s="426"/>
      <c r="Y103" s="359" t="s">
        <v>95</v>
      </c>
      <c r="Z103" s="295"/>
      <c r="AA103" s="360">
        <v>0.9</v>
      </c>
      <c r="AB103" s="361"/>
      <c r="AC103" s="362">
        <f>AC$101*(AA100+1)/(AC$79*AA103)</f>
        <v>402.27119957375925</v>
      </c>
      <c r="AD103" s="426"/>
      <c r="AE103" s="359" t="s">
        <v>95</v>
      </c>
      <c r="AF103" s="295"/>
      <c r="AG103" s="360">
        <v>0.9</v>
      </c>
      <c r="AH103" s="361"/>
      <c r="AI103" s="362">
        <f>AI$101*(AG100+1)/(AI$79*AG103)</f>
        <v>381.49394798116305</v>
      </c>
      <c r="AJ103" s="156"/>
      <c r="AK103" s="33"/>
      <c r="AL103" s="33"/>
      <c r="AM103" s="33"/>
      <c r="AN103" s="33"/>
      <c r="AO103" s="33"/>
    </row>
    <row r="104" spans="6:44" ht="13.5" thickBot="1" x14ac:dyDescent="0.25">
      <c r="F104" s="355"/>
      <c r="H104" s="364">
        <v>0.85</v>
      </c>
      <c r="I104" s="239"/>
      <c r="J104" s="362">
        <f>J$101*(H100+1)/(J$79*H104)</f>
        <v>734.70679166271975</v>
      </c>
      <c r="M104" s="355"/>
      <c r="O104" s="364">
        <v>0.85</v>
      </c>
      <c r="P104" s="239"/>
      <c r="Q104" s="362">
        <f>Q$101*(O100+1)/(Q$79*O104)</f>
        <v>654.64357720049304</v>
      </c>
      <c r="R104" s="426"/>
      <c r="S104" s="355"/>
      <c r="U104" s="364">
        <v>0.85</v>
      </c>
      <c r="V104" s="239"/>
      <c r="W104" s="362">
        <f>W$101*(U100+1)/(W$79*U104)</f>
        <v>539.02532465048807</v>
      </c>
      <c r="X104" s="426"/>
      <c r="Y104" s="355"/>
      <c r="Z104" s="33"/>
      <c r="AA104" s="364">
        <v>0.85</v>
      </c>
      <c r="AC104" s="362">
        <f>AC$101*(AA100+1)/(AC$79*AA104)</f>
        <v>425.93421131339215</v>
      </c>
      <c r="AD104" s="426"/>
      <c r="AE104" s="355"/>
      <c r="AF104" s="33"/>
      <c r="AG104" s="364">
        <v>0.85</v>
      </c>
      <c r="AI104" s="362">
        <f>AI$101*(AG100+1)/(AI$79*AG104)</f>
        <v>403.93476845064322</v>
      </c>
      <c r="AJ104" s="156"/>
      <c r="AK104" s="33"/>
      <c r="AL104" s="33"/>
      <c r="AM104" s="33"/>
      <c r="AN104" s="33"/>
      <c r="AO104" s="33"/>
      <c r="AQ104" s="242"/>
      <c r="AR104" s="242"/>
    </row>
    <row r="105" spans="6:44" ht="13.5" thickBot="1" x14ac:dyDescent="0.25">
      <c r="F105" s="355"/>
      <c r="H105" s="364">
        <v>0.8</v>
      </c>
      <c r="I105" s="239"/>
      <c r="J105" s="362">
        <f>J$101*(H100+1)/(J$79*H105)</f>
        <v>780.62596614163976</v>
      </c>
      <c r="M105" s="355"/>
      <c r="O105" s="364">
        <v>0.8</v>
      </c>
      <c r="P105" s="239"/>
      <c r="Q105" s="362">
        <f>Q$101*(O100+1)/(Q$79*O105)</f>
        <v>695.55880077552388</v>
      </c>
      <c r="R105" s="426"/>
      <c r="S105" s="355"/>
      <c r="U105" s="364">
        <v>0.8</v>
      </c>
      <c r="V105" s="239"/>
      <c r="W105" s="362">
        <f>W$101*(U100+1)/(W$79*U105)</f>
        <v>572.71440744114363</v>
      </c>
      <c r="X105" s="426"/>
      <c r="Y105" s="355"/>
      <c r="Z105" s="33"/>
      <c r="AA105" s="364">
        <v>0.8</v>
      </c>
      <c r="AC105" s="362">
        <f>AC$101*(AA100+1)/(AC$79*AA105)</f>
        <v>452.55509952047913</v>
      </c>
      <c r="AD105" s="426"/>
      <c r="AE105" s="355"/>
      <c r="AF105" s="33"/>
      <c r="AG105" s="364">
        <v>0.8</v>
      </c>
      <c r="AI105" s="362">
        <f>AI$101*(AG100+1)/(AI$79*AG105)</f>
        <v>429.1806914788084</v>
      </c>
      <c r="AJ105" s="156"/>
      <c r="AK105" s="33"/>
      <c r="AL105" s="33"/>
      <c r="AM105" s="33"/>
      <c r="AN105" s="33"/>
      <c r="AO105" s="33"/>
    </row>
    <row r="106" spans="6:44" ht="13.5" thickBot="1" x14ac:dyDescent="0.25">
      <c r="F106" s="355"/>
      <c r="H106" s="364">
        <v>0.75</v>
      </c>
      <c r="I106" s="239"/>
      <c r="J106" s="362">
        <f>J$101*(H100+1)/(J$79*H106)</f>
        <v>832.66769721774904</v>
      </c>
      <c r="M106" s="355"/>
      <c r="O106" s="364">
        <v>0.75</v>
      </c>
      <c r="P106" s="239"/>
      <c r="Q106" s="362">
        <f>Q$101*(O100+1)/(Q$79*O106)</f>
        <v>741.92938749389214</v>
      </c>
      <c r="R106" s="426"/>
      <c r="S106" s="355"/>
      <c r="U106" s="364">
        <v>0.75</v>
      </c>
      <c r="V106" s="239"/>
      <c r="W106" s="362">
        <f>W$101*(U100+1)/(W$79*U106)</f>
        <v>610.89536793721982</v>
      </c>
      <c r="X106" s="426"/>
      <c r="Y106" s="355"/>
      <c r="Z106" s="33"/>
      <c r="AA106" s="364">
        <v>0.75</v>
      </c>
      <c r="AC106" s="362">
        <f>AC$101*(AA100+1)/(AC$79*AA106)</f>
        <v>482.72543948851109</v>
      </c>
      <c r="AD106" s="426"/>
      <c r="AE106" s="355"/>
      <c r="AF106" s="33"/>
      <c r="AG106" s="364">
        <v>0.75</v>
      </c>
      <c r="AI106" s="362">
        <f>AI$101*(AG100+1)/(AI$79*AG106)</f>
        <v>457.7927375773956</v>
      </c>
      <c r="AJ106" s="156"/>
      <c r="AK106" s="33"/>
      <c r="AL106" s="33"/>
      <c r="AM106" s="33"/>
      <c r="AN106" s="33"/>
      <c r="AO106" s="33"/>
    </row>
    <row r="107" spans="6:44" ht="13.5" thickBot="1" x14ac:dyDescent="0.25">
      <c r="F107" s="355"/>
      <c r="H107" s="364">
        <v>0.7</v>
      </c>
      <c r="I107" s="239"/>
      <c r="J107" s="362">
        <f>J$101*(H100+1)/(J$79*H107)</f>
        <v>892.14396130473108</v>
      </c>
      <c r="M107" s="355"/>
      <c r="O107" s="364">
        <v>0.7</v>
      </c>
      <c r="P107" s="239"/>
      <c r="Q107" s="362">
        <f>Q$101*(O100+1)/(Q$79*O107)</f>
        <v>794.92434374345589</v>
      </c>
      <c r="R107" s="426"/>
      <c r="S107" s="355"/>
      <c r="U107" s="364">
        <v>0.7</v>
      </c>
      <c r="V107" s="239"/>
      <c r="W107" s="362">
        <f>W$101*(U100+1)/(W$79*U107)</f>
        <v>654.53075136130701</v>
      </c>
      <c r="X107" s="426"/>
      <c r="Y107" s="355"/>
      <c r="Z107" s="33"/>
      <c r="AA107" s="364">
        <v>0.7</v>
      </c>
      <c r="AC107" s="362">
        <f>AC$101*(AA100+1)/(AC$79*AA107)</f>
        <v>517.20582802340471</v>
      </c>
      <c r="AD107" s="426"/>
      <c r="AE107" s="355"/>
      <c r="AF107" s="33"/>
      <c r="AG107" s="364">
        <v>0.7</v>
      </c>
      <c r="AI107" s="362">
        <f>AI$101*(AG100+1)/(AI$79*AG107)</f>
        <v>490.49221883292387</v>
      </c>
      <c r="AJ107" s="156"/>
      <c r="AK107" s="38"/>
      <c r="AL107" s="33"/>
      <c r="AM107" s="242"/>
      <c r="AN107" s="242"/>
      <c r="AO107" s="242"/>
    </row>
    <row r="108" spans="6:44" ht="13.5" thickBot="1" x14ac:dyDescent="0.25">
      <c r="F108" s="355"/>
      <c r="H108" s="364">
        <v>0.65</v>
      </c>
      <c r="I108" s="239"/>
      <c r="J108" s="362">
        <f>J$101*(H100+1)/(J$79*H108)</f>
        <v>960.77041986663346</v>
      </c>
      <c r="M108" s="355"/>
      <c r="O108" s="364">
        <v>0.65</v>
      </c>
      <c r="P108" s="239"/>
      <c r="Q108" s="362">
        <f>Q$101*(O100+1)/(Q$79*O108)</f>
        <v>856.07237018526018</v>
      </c>
      <c r="R108" s="426"/>
      <c r="S108" s="355"/>
      <c r="U108" s="364">
        <v>0.65</v>
      </c>
      <c r="V108" s="239"/>
      <c r="W108" s="362">
        <f>W$101*(U100+1)/(W$79*U108)</f>
        <v>704.8792706967921</v>
      </c>
      <c r="X108" s="426"/>
      <c r="Y108" s="355"/>
      <c r="Z108" s="33"/>
      <c r="AA108" s="364">
        <v>0.65</v>
      </c>
      <c r="AC108" s="362">
        <f>AC$101*(AA100+1)/(AC$79*AA108)</f>
        <v>556.9908917175128</v>
      </c>
      <c r="AD108" s="426"/>
      <c r="AE108" s="355"/>
      <c r="AF108" s="33"/>
      <c r="AG108" s="364">
        <v>0.65</v>
      </c>
      <c r="AI108" s="362">
        <f>AI$101*(AG100+1)/(AI$79*AG108)</f>
        <v>528.22238951237955</v>
      </c>
      <c r="AJ108" s="156"/>
      <c r="AK108" s="353"/>
      <c r="AL108" s="33"/>
      <c r="AM108" s="33"/>
      <c r="AN108" s="33"/>
      <c r="AO108" s="33"/>
    </row>
    <row r="109" spans="6:44" ht="13.5" thickBot="1" x14ac:dyDescent="0.25">
      <c r="F109" s="355"/>
      <c r="H109" s="364">
        <v>0.6</v>
      </c>
      <c r="I109" s="239"/>
      <c r="J109" s="362">
        <f>J$101*(H100+1)/(J$79*H109)</f>
        <v>1040.8346215221864</v>
      </c>
      <c r="M109" s="355"/>
      <c r="O109" s="364">
        <v>0.6</v>
      </c>
      <c r="P109" s="239"/>
      <c r="Q109" s="362">
        <f>Q$101*(O100+1)/(Q$79*O109)</f>
        <v>927.41173436736517</v>
      </c>
      <c r="R109" s="426"/>
      <c r="S109" s="355"/>
      <c r="U109" s="364">
        <v>0.6</v>
      </c>
      <c r="V109" s="239"/>
      <c r="W109" s="362">
        <f>W$101*(U100+1)/(W$79*U109)</f>
        <v>763.61920992152477</v>
      </c>
      <c r="X109" s="426"/>
      <c r="Y109" s="355"/>
      <c r="Z109" s="33"/>
      <c r="AA109" s="364">
        <v>0.6</v>
      </c>
      <c r="AC109" s="362">
        <f>AC$101*(AA100+1)/(AC$79*AA109)</f>
        <v>603.40679936063884</v>
      </c>
      <c r="AD109" s="426"/>
      <c r="AE109" s="355"/>
      <c r="AF109" s="33"/>
      <c r="AG109" s="364">
        <v>0.6</v>
      </c>
      <c r="AI109" s="362">
        <f>AI$101*(AG100+1)/(AI$79*AG109)</f>
        <v>572.24092197174457</v>
      </c>
      <c r="AJ109" s="156"/>
      <c r="AL109" s="248"/>
      <c r="AN109" s="33"/>
      <c r="AO109" s="33"/>
    </row>
    <row r="110" spans="6:44" ht="13.5" thickBot="1" x14ac:dyDescent="0.25">
      <c r="F110" s="355"/>
      <c r="H110" s="364">
        <v>0.55000000000000004</v>
      </c>
      <c r="I110" s="239"/>
      <c r="J110" s="362">
        <f>J$101*(H100+1)/(J$79*H110)</f>
        <v>1135.4559507514757</v>
      </c>
      <c r="M110" s="355"/>
      <c r="O110" s="364">
        <v>0.55000000000000004</v>
      </c>
      <c r="P110" s="239"/>
      <c r="Q110" s="362">
        <f>Q$101*(O100+1)/(Q$79*O110)</f>
        <v>1011.7218920371256</v>
      </c>
      <c r="R110" s="426"/>
      <c r="S110" s="355"/>
      <c r="U110" s="364">
        <v>0.55000000000000004</v>
      </c>
      <c r="V110" s="239"/>
      <c r="W110" s="362">
        <f>W$101*(U100+1)/(W$79*U110)</f>
        <v>833.03913809620883</v>
      </c>
      <c r="X110" s="426"/>
      <c r="Y110" s="355"/>
      <c r="Z110" s="33"/>
      <c r="AA110" s="364">
        <v>0.55000000000000004</v>
      </c>
      <c r="AC110" s="362">
        <f>AC$101*(AA100+1)/(AC$79*AA110)</f>
        <v>658.2619629388787</v>
      </c>
      <c r="AD110" s="426"/>
      <c r="AE110" s="355"/>
      <c r="AF110" s="33"/>
      <c r="AG110" s="364">
        <v>0.55000000000000004</v>
      </c>
      <c r="AI110" s="362">
        <f>AI$101*(AG100+1)/(AI$79*AG110)</f>
        <v>624.26282396917588</v>
      </c>
      <c r="AJ110" s="156"/>
      <c r="AL110" s="33"/>
      <c r="AM110" s="33"/>
      <c r="AN110" s="33"/>
      <c r="AO110" s="33"/>
    </row>
    <row r="111" spans="6:44" s="242" customFormat="1" ht="15" customHeight="1" thickBot="1" x14ac:dyDescent="0.25">
      <c r="F111" s="373"/>
      <c r="G111" s="36"/>
      <c r="H111" s="374">
        <v>0.5</v>
      </c>
      <c r="I111" s="375"/>
      <c r="J111" s="376">
        <f>J$101*(H100+1)/(J$79*H111)</f>
        <v>1249.0015458266234</v>
      </c>
      <c r="M111" s="373"/>
      <c r="N111" s="36"/>
      <c r="O111" s="374">
        <v>0.5</v>
      </c>
      <c r="P111" s="375"/>
      <c r="Q111" s="376">
        <f>Q$101*(O100+1)/(Q$79*O111)</f>
        <v>1112.8940812408382</v>
      </c>
      <c r="R111" s="426"/>
      <c r="S111" s="373"/>
      <c r="T111" s="36"/>
      <c r="U111" s="374">
        <v>0.5</v>
      </c>
      <c r="V111" s="375"/>
      <c r="W111" s="376">
        <f>W$101*(U100+1)/(W$79*U111)</f>
        <v>916.34305190582984</v>
      </c>
      <c r="X111" s="426"/>
      <c r="Y111" s="373"/>
      <c r="Z111" s="36"/>
      <c r="AA111" s="374">
        <v>0.5</v>
      </c>
      <c r="AB111" s="375"/>
      <c r="AC111" s="376">
        <f>AC$101*(AA100+1)/(AC$79*AA111)</f>
        <v>724.08815923276666</v>
      </c>
      <c r="AD111" s="426"/>
      <c r="AE111" s="373"/>
      <c r="AF111" s="36"/>
      <c r="AG111" s="374">
        <v>0.5</v>
      </c>
      <c r="AH111" s="375"/>
      <c r="AI111" s="376">
        <f>AI$101*(AG100+1)/(AI$79*AG111)</f>
        <v>686.68910636609348</v>
      </c>
      <c r="AJ111" s="156"/>
      <c r="AQ111" s="33"/>
      <c r="AR111" s="33"/>
    </row>
    <row r="112" spans="6:44" s="242" customFormat="1" x14ac:dyDescent="0.2">
      <c r="F112" s="324"/>
      <c r="G112" s="33"/>
      <c r="H112" s="364"/>
      <c r="I112" s="187"/>
      <c r="J112" s="324"/>
      <c r="M112" s="324"/>
      <c r="N112" s="33"/>
      <c r="O112" s="364"/>
      <c r="P112" s="187"/>
      <c r="Q112" s="324"/>
      <c r="R112" s="944"/>
      <c r="S112" s="324"/>
      <c r="T112" s="33"/>
      <c r="U112" s="364"/>
      <c r="V112" s="187"/>
      <c r="W112" s="324"/>
      <c r="X112" s="943"/>
      <c r="Y112" s="324"/>
      <c r="Z112" s="33"/>
      <c r="AA112" s="364"/>
      <c r="AB112" s="187"/>
      <c r="AC112" s="324"/>
      <c r="AD112" s="943"/>
      <c r="AE112" s="324"/>
      <c r="AF112" s="33"/>
      <c r="AG112" s="364"/>
      <c r="AH112" s="187"/>
      <c r="AI112" s="324"/>
      <c r="AJ112" s="943"/>
    </row>
    <row r="113" spans="6:44" s="363" customFormat="1" ht="13.15" customHeight="1" thickBot="1" x14ac:dyDescent="0.25">
      <c r="F113" s="324"/>
      <c r="G113" s="33"/>
      <c r="H113" s="364"/>
      <c r="I113" s="239"/>
      <c r="J113" s="324"/>
      <c r="M113" s="324"/>
      <c r="N113" s="33"/>
      <c r="O113" s="364"/>
      <c r="P113" s="239"/>
      <c r="Q113" s="324"/>
      <c r="R113" s="944"/>
      <c r="S113" s="324"/>
      <c r="T113" s="33"/>
      <c r="U113" s="364"/>
      <c r="V113" s="239"/>
      <c r="W113" s="324"/>
      <c r="X113" s="943"/>
      <c r="Y113" s="324"/>
      <c r="Z113" s="33"/>
      <c r="AA113" s="364"/>
      <c r="AB113" s="239"/>
      <c r="AC113" s="324"/>
      <c r="AD113" s="943"/>
      <c r="AE113" s="324"/>
      <c r="AF113" s="33"/>
      <c r="AG113" s="364"/>
      <c r="AH113" s="239"/>
      <c r="AI113" s="324"/>
      <c r="AJ113" s="943"/>
      <c r="AK113" s="294"/>
      <c r="AL113" s="242"/>
      <c r="AM113" s="242"/>
      <c r="AN113" s="242"/>
      <c r="AO113" s="242"/>
      <c r="AQ113" s="242"/>
      <c r="AR113" s="242"/>
    </row>
    <row r="114" spans="6:44" s="363" customFormat="1" ht="13.5" thickBot="1" x14ac:dyDescent="0.25">
      <c r="F114" s="1022" t="s">
        <v>103</v>
      </c>
      <c r="G114" s="1023"/>
      <c r="H114" s="33"/>
      <c r="I114" s="33"/>
      <c r="J114" s="33"/>
      <c r="M114" s="1047" t="s">
        <v>103</v>
      </c>
      <c r="N114" s="1048"/>
      <c r="O114" s="33"/>
      <c r="P114" s="33"/>
      <c r="Q114" s="33"/>
      <c r="R114" s="434"/>
      <c r="S114" s="33"/>
      <c r="T114" s="33"/>
      <c r="U114" s="239"/>
      <c r="V114" s="248"/>
      <c r="W114" s="239"/>
      <c r="X114" s="156"/>
      <c r="Y114" s="33"/>
      <c r="Z114" s="239"/>
      <c r="AA114" s="248"/>
      <c r="AB114" s="239"/>
      <c r="AC114" s="239"/>
      <c r="AD114" s="156"/>
      <c r="AE114" s="33"/>
      <c r="AF114" s="239"/>
      <c r="AG114" s="248"/>
      <c r="AH114" s="239"/>
      <c r="AI114" s="239"/>
      <c r="AJ114" s="156"/>
      <c r="AK114" s="435"/>
      <c r="AL114" s="309"/>
      <c r="AM114" s="309"/>
      <c r="AN114" s="309"/>
      <c r="AO114" s="309"/>
    </row>
    <row r="115" spans="6:44" ht="13.5" thickBot="1" x14ac:dyDescent="0.25">
      <c r="F115" s="337"/>
      <c r="G115" s="35"/>
      <c r="H115" s="347" t="s">
        <v>49</v>
      </c>
      <c r="I115" s="302"/>
      <c r="J115" s="979"/>
      <c r="M115" s="406"/>
      <c r="N115" s="407"/>
      <c r="O115" s="408" t="s">
        <v>49</v>
      </c>
      <c r="P115" s="409"/>
      <c r="Q115" s="410"/>
      <c r="R115" s="434"/>
      <c r="S115" s="1032" t="s">
        <v>50</v>
      </c>
      <c r="T115" s="1033"/>
      <c r="U115" s="1033"/>
      <c r="V115" s="1033"/>
      <c r="W115" s="1034"/>
      <c r="X115" s="156"/>
      <c r="Y115" s="406"/>
      <c r="Z115" s="407"/>
      <c r="AA115" s="408" t="s">
        <v>51</v>
      </c>
      <c r="AB115" s="409"/>
      <c r="AC115" s="410"/>
      <c r="AD115" s="156"/>
      <c r="AE115" s="406"/>
      <c r="AF115" s="407"/>
      <c r="AG115" s="408" t="s">
        <v>52</v>
      </c>
      <c r="AH115" s="409"/>
      <c r="AI115" s="410"/>
      <c r="AJ115" s="156"/>
      <c r="AK115" s="435"/>
      <c r="AL115" s="309"/>
      <c r="AM115" s="309"/>
      <c r="AN115" s="309"/>
      <c r="AO115" s="309"/>
      <c r="AQ115" s="363"/>
      <c r="AR115" s="363"/>
    </row>
    <row r="116" spans="6:44" x14ac:dyDescent="0.2">
      <c r="F116" s="258" t="s">
        <v>56</v>
      </c>
      <c r="G116" s="279" t="s">
        <v>692</v>
      </c>
      <c r="H116" s="204" t="s">
        <v>58</v>
      </c>
      <c r="I116" s="294">
        <v>365</v>
      </c>
      <c r="J116" s="305">
        <f>I116*G117</f>
        <v>3650</v>
      </c>
      <c r="M116" s="258" t="s">
        <v>56</v>
      </c>
      <c r="N116" s="279" t="s">
        <v>57</v>
      </c>
      <c r="O116" s="204" t="s">
        <v>58</v>
      </c>
      <c r="P116" s="294">
        <v>365</v>
      </c>
      <c r="Q116" s="305">
        <f>P116*N117</f>
        <v>4380</v>
      </c>
      <c r="R116" s="434"/>
      <c r="S116" s="258" t="s">
        <v>56</v>
      </c>
      <c r="T116" s="411" t="s">
        <v>59</v>
      </c>
      <c r="U116" s="204" t="s">
        <v>58</v>
      </c>
      <c r="V116" s="294">
        <v>365</v>
      </c>
      <c r="W116" s="305">
        <f>T117*V116</f>
        <v>5657.5</v>
      </c>
      <c r="X116" s="156"/>
      <c r="Y116" s="258" t="s">
        <v>56</v>
      </c>
      <c r="Z116" s="242" t="s">
        <v>60</v>
      </c>
      <c r="AA116" s="204" t="s">
        <v>58</v>
      </c>
      <c r="AB116" s="294">
        <v>365</v>
      </c>
      <c r="AC116" s="305">
        <f>Z117*AB116</f>
        <v>7300</v>
      </c>
      <c r="AD116" s="156"/>
      <c r="AE116" s="258" t="s">
        <v>56</v>
      </c>
      <c r="AF116" s="242" t="s">
        <v>61</v>
      </c>
      <c r="AG116" s="204" t="s">
        <v>58</v>
      </c>
      <c r="AH116" s="294">
        <v>365</v>
      </c>
      <c r="AI116" s="305">
        <f>AF117*AH116</f>
        <v>9125</v>
      </c>
      <c r="AJ116" s="156"/>
      <c r="AK116" s="435"/>
      <c r="AL116" s="309"/>
      <c r="AM116" s="309"/>
      <c r="AN116" s="309"/>
      <c r="AO116" s="309"/>
    </row>
    <row r="117" spans="6:44" x14ac:dyDescent="0.2">
      <c r="F117" s="258"/>
      <c r="G117" s="242">
        <v>10</v>
      </c>
      <c r="H117" s="204"/>
      <c r="I117" s="294"/>
      <c r="J117" s="305"/>
      <c r="M117" s="258"/>
      <c r="N117" s="242">
        <v>12</v>
      </c>
      <c r="O117" s="204"/>
      <c r="P117" s="294"/>
      <c r="Q117" s="305"/>
      <c r="R117" s="434"/>
      <c r="S117" s="258"/>
      <c r="T117" s="242">
        <v>15.5</v>
      </c>
      <c r="U117" s="204"/>
      <c r="V117" s="294"/>
      <c r="W117" s="305"/>
      <c r="X117" s="156"/>
      <c r="Y117" s="258"/>
      <c r="Z117" s="242">
        <v>20</v>
      </c>
      <c r="AA117" s="204"/>
      <c r="AB117" s="294"/>
      <c r="AC117" s="305"/>
      <c r="AD117" s="156"/>
      <c r="AE117" s="258"/>
      <c r="AF117" s="242">
        <v>25</v>
      </c>
      <c r="AG117" s="204"/>
      <c r="AH117" s="294"/>
      <c r="AI117" s="305"/>
      <c r="AJ117" s="156"/>
      <c r="AK117" s="435"/>
      <c r="AN117" s="239"/>
    </row>
    <row r="118" spans="6:44" ht="25.5" x14ac:dyDescent="0.2">
      <c r="F118" s="378"/>
      <c r="G118" s="310" t="s">
        <v>65</v>
      </c>
      <c r="H118" s="293" t="s">
        <v>66</v>
      </c>
      <c r="I118" s="311" t="s">
        <v>67</v>
      </c>
      <c r="J118" s="312" t="s">
        <v>68</v>
      </c>
      <c r="M118" s="378"/>
      <c r="N118" s="310" t="s">
        <v>65</v>
      </c>
      <c r="O118" s="293" t="s">
        <v>66</v>
      </c>
      <c r="P118" s="311" t="s">
        <v>67</v>
      </c>
      <c r="Q118" s="312" t="s">
        <v>68</v>
      </c>
      <c r="R118" s="434"/>
      <c r="S118" s="378"/>
      <c r="T118" s="310" t="s">
        <v>65</v>
      </c>
      <c r="U118" s="293" t="s">
        <v>66</v>
      </c>
      <c r="V118" s="311" t="s">
        <v>67</v>
      </c>
      <c r="W118" s="312" t="s">
        <v>68</v>
      </c>
      <c r="X118" s="156"/>
      <c r="Y118" s="378"/>
      <c r="Z118" s="310" t="s">
        <v>65</v>
      </c>
      <c r="AA118" s="293" t="s">
        <v>66</v>
      </c>
      <c r="AB118" s="311" t="s">
        <v>67</v>
      </c>
      <c r="AC118" s="312" t="s">
        <v>68</v>
      </c>
      <c r="AD118" s="156"/>
      <c r="AE118" s="378"/>
      <c r="AF118" s="310" t="s">
        <v>65</v>
      </c>
      <c r="AG118" s="293" t="s">
        <v>66</v>
      </c>
      <c r="AH118" s="311" t="s">
        <v>67</v>
      </c>
      <c r="AI118" s="312" t="s">
        <v>68</v>
      </c>
      <c r="AJ118" s="156"/>
      <c r="AK118" s="435"/>
      <c r="AL118" s="242"/>
      <c r="AM118" s="242"/>
      <c r="AN118" s="242"/>
      <c r="AO118" s="242"/>
    </row>
    <row r="119" spans="6:44" x14ac:dyDescent="0.2">
      <c r="F119" s="437" t="str">
        <f>M119</f>
        <v>Management</v>
      </c>
      <c r="G119" s="314"/>
      <c r="H119" s="239">
        <f>O119</f>
        <v>81486.911999999997</v>
      </c>
      <c r="I119" s="38">
        <f>P119</f>
        <v>2.15</v>
      </c>
      <c r="J119" s="307">
        <f>H119*I119</f>
        <v>175196.86079999999</v>
      </c>
      <c r="M119" s="437" t="s">
        <v>352</v>
      </c>
      <c r="N119" s="314"/>
      <c r="O119" s="239">
        <f>$AM$5</f>
        <v>81486.911999999997</v>
      </c>
      <c r="P119" s="38">
        <f>AL12</f>
        <v>2.15</v>
      </c>
      <c r="Q119" s="307">
        <f>O119*P119</f>
        <v>175196.86079999999</v>
      </c>
      <c r="R119" s="434"/>
      <c r="S119" s="437" t="s">
        <v>352</v>
      </c>
      <c r="T119" s="314"/>
      <c r="U119" s="239">
        <f>$AM$5</f>
        <v>81486.911999999997</v>
      </c>
      <c r="V119" s="38">
        <f>AL12</f>
        <v>2.15</v>
      </c>
      <c r="W119" s="307">
        <f>U119*V119</f>
        <v>175196.86079999999</v>
      </c>
      <c r="X119" s="156"/>
      <c r="Y119" s="437" t="s">
        <v>352</v>
      </c>
      <c r="Z119" s="314"/>
      <c r="AA119" s="239">
        <f>$AM$5</f>
        <v>81486.911999999997</v>
      </c>
      <c r="AB119" s="38">
        <f>AL12</f>
        <v>2.15</v>
      </c>
      <c r="AC119" s="307">
        <f>AA119*AB119</f>
        <v>175196.86079999999</v>
      </c>
      <c r="AD119" s="156"/>
      <c r="AE119" s="437" t="s">
        <v>352</v>
      </c>
      <c r="AF119" s="314"/>
      <c r="AG119" s="239">
        <f>$AM$5</f>
        <v>81486.911999999997</v>
      </c>
      <c r="AH119" s="38">
        <f>AL12</f>
        <v>2.15</v>
      </c>
      <c r="AI119" s="307">
        <f>AG119*AH119</f>
        <v>175196.86079999999</v>
      </c>
      <c r="AJ119" s="156"/>
      <c r="AK119" s="435"/>
      <c r="AL119" s="242"/>
      <c r="AM119" s="242"/>
      <c r="AN119" s="242"/>
      <c r="AO119" s="242"/>
    </row>
    <row r="120" spans="6:44" x14ac:dyDescent="0.2">
      <c r="F120" s="437" t="str">
        <f t="shared" ref="F120:F122" si="8">M120</f>
        <v>Clinical Director</v>
      </c>
      <c r="G120" s="314"/>
      <c r="H120" s="239">
        <f t="shared" ref="H120:H122" si="9">O120</f>
        <v>101806.432</v>
      </c>
      <c r="I120" s="38">
        <f t="shared" ref="I120:I121" si="10">P120</f>
        <v>1</v>
      </c>
      <c r="J120" s="307">
        <f>H120*I120</f>
        <v>101806.432</v>
      </c>
      <c r="M120" s="437" t="str">
        <f>AK6</f>
        <v>Clinical Director</v>
      </c>
      <c r="N120" s="314"/>
      <c r="O120" s="239">
        <f>AM6</f>
        <v>101806.432</v>
      </c>
      <c r="P120" s="38">
        <v>1</v>
      </c>
      <c r="Q120" s="307">
        <f>O120*P120</f>
        <v>101806.432</v>
      </c>
      <c r="R120" s="434"/>
      <c r="S120" s="437" t="str">
        <f>AK6</f>
        <v>Clinical Director</v>
      </c>
      <c r="T120" s="314"/>
      <c r="U120" s="239">
        <f>AM6</f>
        <v>101806.432</v>
      </c>
      <c r="V120" s="38">
        <v>1</v>
      </c>
      <c r="W120" s="307">
        <f>U120*V120</f>
        <v>101806.432</v>
      </c>
      <c r="X120" s="156"/>
      <c r="Y120" s="437" t="str">
        <f>AK6</f>
        <v>Clinical Director</v>
      </c>
      <c r="Z120" s="314"/>
      <c r="AA120" s="239">
        <f>AM6</f>
        <v>101806.432</v>
      </c>
      <c r="AB120" s="38">
        <v>1</v>
      </c>
      <c r="AC120" s="307">
        <f>AA120*AB120</f>
        <v>101806.432</v>
      </c>
      <c r="AD120" s="156"/>
      <c r="AE120" s="437" t="str">
        <f>AK6</f>
        <v>Clinical Director</v>
      </c>
      <c r="AF120" s="314"/>
      <c r="AG120" s="239">
        <f>AM6</f>
        <v>101806.432</v>
      </c>
      <c r="AH120" s="38">
        <v>1.5</v>
      </c>
      <c r="AI120" s="307">
        <f>AG120*AH120</f>
        <v>152709.64799999999</v>
      </c>
      <c r="AJ120" s="156"/>
      <c r="AK120" s="435"/>
      <c r="AL120" s="33"/>
      <c r="AM120" s="33"/>
      <c r="AN120" s="33"/>
      <c r="AO120" s="33"/>
    </row>
    <row r="121" spans="6:44" x14ac:dyDescent="0.2">
      <c r="F121" s="437" t="str">
        <f t="shared" si="8"/>
        <v>Clinical (LICSW)</v>
      </c>
      <c r="G121" s="314"/>
      <c r="H121" s="239">
        <f t="shared" si="9"/>
        <v>84174.063999999998</v>
      </c>
      <c r="I121" s="38">
        <f t="shared" si="10"/>
        <v>2</v>
      </c>
      <c r="J121" s="307">
        <f>H121*I121</f>
        <v>168348.128</v>
      </c>
      <c r="M121" s="437" t="str">
        <f>AK7</f>
        <v>Clinical (LICSW)</v>
      </c>
      <c r="N121" s="314"/>
      <c r="O121" s="239">
        <f>AM7</f>
        <v>84174.063999999998</v>
      </c>
      <c r="P121" s="38">
        <v>2</v>
      </c>
      <c r="Q121" s="307">
        <f>O121*P121</f>
        <v>168348.128</v>
      </c>
      <c r="R121" s="434"/>
      <c r="S121" s="437" t="str">
        <f>AK7</f>
        <v>Clinical (LICSW)</v>
      </c>
      <c r="T121" s="314"/>
      <c r="U121" s="239">
        <f>AM7</f>
        <v>84174.063999999998</v>
      </c>
      <c r="V121" s="38">
        <v>2</v>
      </c>
      <c r="W121" s="307">
        <f>U121*V121</f>
        <v>168348.128</v>
      </c>
      <c r="X121" s="156"/>
      <c r="Y121" s="437" t="str">
        <f>AK7</f>
        <v>Clinical (LICSW)</v>
      </c>
      <c r="Z121" s="314"/>
      <c r="AA121" s="239">
        <f>AM7</f>
        <v>84174.063999999998</v>
      </c>
      <c r="AB121" s="38">
        <v>2</v>
      </c>
      <c r="AC121" s="307">
        <f>AA121*AB121</f>
        <v>168348.128</v>
      </c>
      <c r="AD121" s="156"/>
      <c r="AE121" s="437" t="str">
        <f>AK7</f>
        <v>Clinical (LICSW)</v>
      </c>
      <c r="AF121" s="314"/>
      <c r="AG121" s="239">
        <f>AM7</f>
        <v>84174.063999999998</v>
      </c>
      <c r="AH121" s="38">
        <v>2</v>
      </c>
      <c r="AI121" s="307">
        <f>AG121*AH121</f>
        <v>168348.128</v>
      </c>
      <c r="AJ121" s="156"/>
      <c r="AK121" s="435"/>
      <c r="AL121" s="33"/>
      <c r="AM121" s="33"/>
      <c r="AN121" s="33"/>
      <c r="AO121" s="33"/>
    </row>
    <row r="122" spans="6:44" x14ac:dyDescent="0.2">
      <c r="F122" s="437" t="str">
        <f t="shared" si="8"/>
        <v>Direct Care Staff</v>
      </c>
      <c r="G122" s="38">
        <v>0.57999999999999996</v>
      </c>
      <c r="H122" s="239">
        <f t="shared" si="9"/>
        <v>46842.432000000008</v>
      </c>
      <c r="I122" s="980">
        <v>19.440000000000001</v>
      </c>
      <c r="J122" s="307">
        <f>H122*I122</f>
        <v>910616.87808000017</v>
      </c>
      <c r="M122" s="438" t="s">
        <v>354</v>
      </c>
      <c r="N122" s="38">
        <v>0.57999999999999996</v>
      </c>
      <c r="O122" s="239">
        <f>AM8</f>
        <v>46842.432000000008</v>
      </c>
      <c r="P122" s="38">
        <v>21.44</v>
      </c>
      <c r="Q122" s="307">
        <f>O122*P122</f>
        <v>1004301.7420800002</v>
      </c>
      <c r="R122" s="434"/>
      <c r="S122" s="438" t="s">
        <v>354</v>
      </c>
      <c r="T122" s="38">
        <v>0.69</v>
      </c>
      <c r="U122" s="239">
        <f>AM8</f>
        <v>46842.432000000008</v>
      </c>
      <c r="V122" s="38">
        <v>23.33</v>
      </c>
      <c r="W122" s="307">
        <f>U122*V122</f>
        <v>1092833.9385600002</v>
      </c>
      <c r="X122" s="156"/>
      <c r="Y122" s="438" t="s">
        <v>354</v>
      </c>
      <c r="Z122" s="38">
        <v>0.89</v>
      </c>
      <c r="AA122" s="239">
        <f>AM8</f>
        <v>46842.432000000008</v>
      </c>
      <c r="AB122" s="38">
        <v>23.43</v>
      </c>
      <c r="AC122" s="307">
        <f>AA122*AB122</f>
        <v>1097518.1817600001</v>
      </c>
      <c r="AD122" s="156"/>
      <c r="AE122" s="438" t="s">
        <v>354</v>
      </c>
      <c r="AF122" s="38">
        <v>0.94</v>
      </c>
      <c r="AG122" s="239">
        <f>AM8</f>
        <v>46842.432000000008</v>
      </c>
      <c r="AH122" s="38">
        <v>28.23</v>
      </c>
      <c r="AI122" s="307">
        <f>AG122*AH122</f>
        <v>1322361.8553600002</v>
      </c>
      <c r="AJ122" s="156"/>
      <c r="AK122" s="33"/>
      <c r="AL122" s="33"/>
      <c r="AM122" s="33"/>
      <c r="AN122" s="33"/>
      <c r="AO122" s="33"/>
    </row>
    <row r="123" spans="6:44" x14ac:dyDescent="0.2">
      <c r="F123" s="155"/>
      <c r="G123" s="38"/>
      <c r="H123" s="618"/>
      <c r="I123" s="618"/>
      <c r="J123" s="307"/>
      <c r="M123" s="155"/>
      <c r="N123" s="38"/>
      <c r="O123" s="265"/>
      <c r="P123" s="265"/>
      <c r="Q123" s="307"/>
      <c r="R123" s="434"/>
      <c r="S123" s="155"/>
      <c r="T123" s="38"/>
      <c r="U123" s="265"/>
      <c r="V123" s="265"/>
      <c r="W123" s="307"/>
      <c r="X123" s="156"/>
      <c r="Y123" s="155"/>
      <c r="Z123" s="38"/>
      <c r="AA123" s="265"/>
      <c r="AB123" s="265"/>
      <c r="AC123" s="307"/>
      <c r="AD123" s="156"/>
      <c r="AE123" s="155"/>
      <c r="AF123" s="38"/>
      <c r="AG123" s="265"/>
      <c r="AH123" s="265"/>
      <c r="AI123" s="307"/>
      <c r="AJ123" s="156"/>
      <c r="AK123" s="33"/>
      <c r="AL123" s="33"/>
      <c r="AM123" s="33"/>
      <c r="AN123" s="33"/>
      <c r="AO123" s="33"/>
    </row>
    <row r="124" spans="6:44" x14ac:dyDescent="0.2">
      <c r="F124" s="589" t="s">
        <v>538</v>
      </c>
      <c r="G124" s="585"/>
      <c r="H124" s="586"/>
      <c r="I124" s="587">
        <f>SUM(I119:I122)</f>
        <v>24.590000000000003</v>
      </c>
      <c r="J124" s="588">
        <f>SUM(J119:J123)</f>
        <v>1355968.2988800001</v>
      </c>
      <c r="M124" s="589" t="s">
        <v>538</v>
      </c>
      <c r="N124" s="585"/>
      <c r="O124" s="586"/>
      <c r="P124" s="587">
        <f>SUM(P119:P122)</f>
        <v>26.590000000000003</v>
      </c>
      <c r="Q124" s="588">
        <f>SUM(Q119:Q123)</f>
        <v>1449653.1628800002</v>
      </c>
      <c r="R124" s="434"/>
      <c r="S124" s="589" t="s">
        <v>538</v>
      </c>
      <c r="T124" s="585"/>
      <c r="U124" s="586"/>
      <c r="V124" s="587">
        <f>SUM(V119:V122)</f>
        <v>28.479999999999997</v>
      </c>
      <c r="W124" s="588">
        <f>SUM(W119:W123)</f>
        <v>1538185.3593600001</v>
      </c>
      <c r="X124" s="156"/>
      <c r="Y124" s="589" t="s">
        <v>538</v>
      </c>
      <c r="Z124" s="585"/>
      <c r="AA124" s="586"/>
      <c r="AB124" s="587">
        <f>SUM(AB119:AB122)</f>
        <v>28.58</v>
      </c>
      <c r="AC124" s="588">
        <f>SUM(AC119:AC123)</f>
        <v>1542869.60256</v>
      </c>
      <c r="AD124" s="156"/>
      <c r="AE124" s="589" t="s">
        <v>538</v>
      </c>
      <c r="AF124" s="585"/>
      <c r="AG124" s="586"/>
      <c r="AH124" s="587">
        <f>SUM(AH119:AH122)</f>
        <v>33.880000000000003</v>
      </c>
      <c r="AI124" s="588">
        <f>SUM(AI119:AI123)</f>
        <v>1818616.4921600001</v>
      </c>
      <c r="AJ124" s="156"/>
      <c r="AK124" s="33"/>
      <c r="AL124" s="33"/>
      <c r="AM124" s="33"/>
      <c r="AN124" s="33"/>
      <c r="AO124" s="33"/>
    </row>
    <row r="125" spans="6:44" ht="14.25" x14ac:dyDescent="0.2">
      <c r="F125" s="604" t="s">
        <v>80</v>
      </c>
      <c r="G125" s="38"/>
      <c r="H125" s="618"/>
      <c r="I125" s="618">
        <f>I89</f>
        <v>0.24970000000000001</v>
      </c>
      <c r="J125" s="307">
        <f>J124*I125</f>
        <v>338585.28423033602</v>
      </c>
      <c r="M125" s="604" t="s">
        <v>80</v>
      </c>
      <c r="N125" s="38"/>
      <c r="O125" s="265"/>
      <c r="P125" s="265">
        <f>P89</f>
        <v>0.24970000000000001</v>
      </c>
      <c r="Q125" s="307">
        <f>Q124*P125</f>
        <v>361978.39477113605</v>
      </c>
      <c r="R125" s="434"/>
      <c r="S125" s="604" t="s">
        <v>80</v>
      </c>
      <c r="T125" s="38"/>
      <c r="U125" s="265"/>
      <c r="V125" s="265">
        <f>P125</f>
        <v>0.24970000000000001</v>
      </c>
      <c r="W125" s="307">
        <f>W124*V125</f>
        <v>384084.88423219201</v>
      </c>
      <c r="X125" s="156"/>
      <c r="Y125" s="604" t="s">
        <v>80</v>
      </c>
      <c r="Z125" s="38"/>
      <c r="AA125" s="265"/>
      <c r="AB125" s="265">
        <f>P125</f>
        <v>0.24970000000000001</v>
      </c>
      <c r="AC125" s="307">
        <f>AC124*AB125</f>
        <v>385254.53975923202</v>
      </c>
      <c r="AD125" s="156"/>
      <c r="AE125" s="604" t="s">
        <v>80</v>
      </c>
      <c r="AF125" s="38"/>
      <c r="AG125" s="265"/>
      <c r="AH125" s="265">
        <f>AB125</f>
        <v>0.24970000000000001</v>
      </c>
      <c r="AI125" s="307">
        <f>AI124*AH125</f>
        <v>454108.53809235204</v>
      </c>
      <c r="AJ125" s="156"/>
      <c r="AK125" s="33"/>
      <c r="AL125" s="33"/>
      <c r="AM125" s="33"/>
      <c r="AN125" s="33"/>
      <c r="AO125" s="33"/>
    </row>
    <row r="126" spans="6:44" ht="15.75" thickBot="1" x14ac:dyDescent="0.3">
      <c r="F126" s="590" t="s">
        <v>539</v>
      </c>
      <c r="G126" s="584"/>
      <c r="H126" s="584"/>
      <c r="I126" s="584"/>
      <c r="J126" s="605">
        <f>SUM(J124:J125)</f>
        <v>1694553.5831103362</v>
      </c>
      <c r="M126" s="590" t="s">
        <v>539</v>
      </c>
      <c r="N126" s="584"/>
      <c r="O126" s="584"/>
      <c r="P126" s="584"/>
      <c r="Q126" s="605">
        <f>SUM(Q124:Q125)</f>
        <v>1811631.5576511363</v>
      </c>
      <c r="R126" s="434"/>
      <c r="S126" s="590" t="s">
        <v>539</v>
      </c>
      <c r="T126" s="584"/>
      <c r="U126" s="584"/>
      <c r="V126" s="584"/>
      <c r="W126" s="605">
        <f>SUM(W124:W125)</f>
        <v>1922270.2435921922</v>
      </c>
      <c r="X126" s="156"/>
      <c r="Y126" s="590" t="s">
        <v>539</v>
      </c>
      <c r="Z126" s="584"/>
      <c r="AA126" s="584"/>
      <c r="AB126" s="584"/>
      <c r="AC126" s="605">
        <f>SUM(AC124:AC125)</f>
        <v>1928124.142319232</v>
      </c>
      <c r="AD126" s="156"/>
      <c r="AE126" s="590" t="s">
        <v>539</v>
      </c>
      <c r="AF126" s="584"/>
      <c r="AG126" s="584"/>
      <c r="AH126" s="584"/>
      <c r="AI126" s="605">
        <f>SUM(AI124:AI125)</f>
        <v>2272725.0302523524</v>
      </c>
      <c r="AJ126" s="156"/>
      <c r="AK126" s="294"/>
      <c r="AL126" s="294"/>
      <c r="AM126" s="33"/>
      <c r="AN126" s="33"/>
      <c r="AO126" s="33"/>
    </row>
    <row r="127" spans="6:44" s="309" customFormat="1" ht="15.75" thickTop="1" x14ac:dyDescent="0.25">
      <c r="F127" s="583"/>
      <c r="G127" s="242"/>
      <c r="H127" s="242"/>
      <c r="I127" s="242"/>
      <c r="J127" s="358"/>
      <c r="M127" s="583"/>
      <c r="N127" s="242"/>
      <c r="O127" s="242"/>
      <c r="P127" s="242"/>
      <c r="Q127" s="358"/>
      <c r="R127" s="242"/>
      <c r="S127" s="583"/>
      <c r="T127" s="242"/>
      <c r="U127" s="242"/>
      <c r="V127" s="242"/>
      <c r="W127" s="358"/>
      <c r="X127" s="242"/>
      <c r="Y127" s="583"/>
      <c r="Z127" s="242"/>
      <c r="AA127" s="242"/>
      <c r="AB127" s="242"/>
      <c r="AC127" s="358"/>
      <c r="AD127" s="242"/>
      <c r="AE127" s="583"/>
      <c r="AF127" s="242"/>
      <c r="AG127" s="242"/>
      <c r="AH127" s="242"/>
      <c r="AI127" s="358"/>
      <c r="AJ127" s="156"/>
      <c r="AK127" s="208"/>
      <c r="AL127" s="208"/>
      <c r="AM127" s="33"/>
      <c r="AN127" s="33"/>
      <c r="AO127" s="33"/>
    </row>
    <row r="128" spans="6:44" s="309" customFormat="1" ht="30" x14ac:dyDescent="0.25">
      <c r="F128" s="583" t="s">
        <v>540</v>
      </c>
      <c r="G128" s="242"/>
      <c r="H128" s="195"/>
      <c r="I128" s="294" t="s">
        <v>78</v>
      </c>
      <c r="J128" s="336"/>
      <c r="M128" s="583" t="s">
        <v>540</v>
      </c>
      <c r="N128" s="242"/>
      <c r="O128" s="195"/>
      <c r="P128" s="294" t="s">
        <v>78</v>
      </c>
      <c r="Q128" s="336"/>
      <c r="R128" s="242"/>
      <c r="S128" s="583" t="s">
        <v>540</v>
      </c>
      <c r="T128" s="242"/>
      <c r="U128" s="195"/>
      <c r="V128" s="294" t="s">
        <v>78</v>
      </c>
      <c r="W128" s="336"/>
      <c r="X128" s="242"/>
      <c r="Y128" s="583" t="s">
        <v>540</v>
      </c>
      <c r="Z128" s="242"/>
      <c r="AA128" s="195"/>
      <c r="AB128" s="294" t="s">
        <v>78</v>
      </c>
      <c r="AC128" s="336"/>
      <c r="AD128" s="242"/>
      <c r="AE128" s="583" t="s">
        <v>540</v>
      </c>
      <c r="AF128" s="242"/>
      <c r="AG128" s="195"/>
      <c r="AH128" s="294" t="s">
        <v>78</v>
      </c>
      <c r="AI128" s="336"/>
      <c r="AJ128" s="156"/>
      <c r="AK128" s="208"/>
      <c r="AL128" s="208"/>
      <c r="AM128" s="33"/>
      <c r="AN128" s="33"/>
      <c r="AO128" s="33"/>
    </row>
    <row r="129" spans="6:44" ht="14.25" customHeight="1" x14ac:dyDescent="0.2">
      <c r="F129" s="241" t="s">
        <v>82</v>
      </c>
      <c r="H129" s="239"/>
      <c r="I129" s="248"/>
      <c r="J129" s="307">
        <v>25000</v>
      </c>
      <c r="M129" s="241" t="s">
        <v>82</v>
      </c>
      <c r="O129" s="239"/>
      <c r="P129" s="248"/>
      <c r="Q129" s="307">
        <v>25000</v>
      </c>
      <c r="R129" s="434"/>
      <c r="S129" s="241" t="s">
        <v>82</v>
      </c>
      <c r="W129" s="307">
        <v>25000</v>
      </c>
      <c r="X129" s="156"/>
      <c r="Y129" s="241" t="s">
        <v>82</v>
      </c>
      <c r="Z129" s="33"/>
      <c r="AA129" s="239"/>
      <c r="AB129" s="248"/>
      <c r="AC129" s="307">
        <v>30000</v>
      </c>
      <c r="AD129" s="156"/>
      <c r="AE129" s="241" t="s">
        <v>82</v>
      </c>
      <c r="AF129" s="33"/>
      <c r="AG129" s="239"/>
      <c r="AH129" s="248"/>
      <c r="AI129" s="307">
        <v>30000</v>
      </c>
      <c r="AJ129" s="156"/>
      <c r="AK129" s="294"/>
      <c r="AL129" s="294"/>
      <c r="AM129" s="33"/>
      <c r="AN129" s="33"/>
      <c r="AO129" s="33"/>
    </row>
    <row r="130" spans="6:44" ht="14.25" customHeight="1" x14ac:dyDescent="0.2">
      <c r="F130" s="241" t="s">
        <v>83</v>
      </c>
      <c r="H130" s="239"/>
      <c r="I130" s="38">
        <f>$AL$25</f>
        <v>7.3322564329156208</v>
      </c>
      <c r="J130" s="307">
        <f>I130*J116</f>
        <v>26762.735980142017</v>
      </c>
      <c r="M130" s="241" t="s">
        <v>83</v>
      </c>
      <c r="O130" s="239"/>
      <c r="P130" s="38">
        <f>$AL$25</f>
        <v>7.3322564329156208</v>
      </c>
      <c r="Q130" s="307">
        <f>P130*Q116</f>
        <v>32115.283176170418</v>
      </c>
      <c r="R130" s="434"/>
      <c r="S130" s="241" t="s">
        <v>83</v>
      </c>
      <c r="V130" s="38">
        <f>$AL$25</f>
        <v>7.3322564329156208</v>
      </c>
      <c r="W130" s="307">
        <f>V130*W116</f>
        <v>41482.240769220123</v>
      </c>
      <c r="X130" s="156"/>
      <c r="Y130" s="241" t="s">
        <v>83</v>
      </c>
      <c r="Z130" s="33"/>
      <c r="AA130" s="239"/>
      <c r="AB130" s="38">
        <f>$AL$25</f>
        <v>7.3322564329156208</v>
      </c>
      <c r="AC130" s="307">
        <f>AB130*AC116</f>
        <v>53525.471960284034</v>
      </c>
      <c r="AD130" s="156"/>
      <c r="AE130" s="241" t="s">
        <v>83</v>
      </c>
      <c r="AF130" s="33"/>
      <c r="AG130" s="239"/>
      <c r="AH130" s="38">
        <f>$AL$25</f>
        <v>7.3322564329156208</v>
      </c>
      <c r="AI130" s="307">
        <f>AH130*AI116</f>
        <v>66906.839950355046</v>
      </c>
      <c r="AJ130" s="156"/>
      <c r="AK130" s="328"/>
      <c r="AL130" s="328"/>
      <c r="AM130" s="242"/>
      <c r="AN130" s="242"/>
      <c r="AO130" s="242"/>
    </row>
    <row r="131" spans="6:44" s="242" customFormat="1" x14ac:dyDescent="0.2">
      <c r="F131" s="241" t="s">
        <v>86</v>
      </c>
      <c r="G131" s="33"/>
      <c r="H131" s="239"/>
      <c r="I131" s="38">
        <f>$AL$26</f>
        <v>15.901681537562935</v>
      </c>
      <c r="J131" s="307">
        <f>I131*J116</f>
        <v>58041.137612104714</v>
      </c>
      <c r="M131" s="241" t="s">
        <v>86</v>
      </c>
      <c r="N131" s="33"/>
      <c r="O131" s="239"/>
      <c r="P131" s="38">
        <f>$AL$26</f>
        <v>15.901681537562935</v>
      </c>
      <c r="Q131" s="307">
        <f>P131*Q116</f>
        <v>69649.365134525651</v>
      </c>
      <c r="R131" s="434"/>
      <c r="S131" s="241" t="s">
        <v>86</v>
      </c>
      <c r="T131" s="33"/>
      <c r="U131" s="239"/>
      <c r="V131" s="38">
        <f>$AL$26</f>
        <v>15.901681537562935</v>
      </c>
      <c r="W131" s="307">
        <f>V131*W116</f>
        <v>89963.763298762307</v>
      </c>
      <c r="X131" s="156"/>
      <c r="Y131" s="241" t="s">
        <v>86</v>
      </c>
      <c r="Z131" s="33"/>
      <c r="AA131" s="239"/>
      <c r="AB131" s="38">
        <f>$AL$26</f>
        <v>15.901681537562935</v>
      </c>
      <c r="AC131" s="307">
        <f>AB131*AC116</f>
        <v>116082.27522420943</v>
      </c>
      <c r="AD131" s="156"/>
      <c r="AE131" s="241" t="s">
        <v>86</v>
      </c>
      <c r="AF131" s="33"/>
      <c r="AG131" s="239"/>
      <c r="AH131" s="38">
        <f>$AL$26</f>
        <v>15.901681537562935</v>
      </c>
      <c r="AI131" s="307">
        <f>AH131*AI116</f>
        <v>145102.84403026177</v>
      </c>
      <c r="AJ131" s="156"/>
      <c r="AK131" s="353"/>
      <c r="AL131" s="353"/>
      <c r="AM131" s="33"/>
      <c r="AN131" s="33"/>
      <c r="AO131" s="33"/>
      <c r="AQ131" s="33"/>
      <c r="AR131" s="33"/>
    </row>
    <row r="132" spans="6:44" ht="15.75" thickBot="1" x14ac:dyDescent="0.3">
      <c r="F132" s="1024" t="s">
        <v>541</v>
      </c>
      <c r="G132" s="1025"/>
      <c r="H132" s="592"/>
      <c r="I132" s="593"/>
      <c r="J132" s="594">
        <f>SUM(J129:J131)</f>
        <v>109803.87359224673</v>
      </c>
      <c r="M132" s="1045" t="s">
        <v>541</v>
      </c>
      <c r="N132" s="1025"/>
      <c r="O132" s="592"/>
      <c r="P132" s="593"/>
      <c r="Q132" s="594">
        <f>SUM(Q129:Q131)</f>
        <v>126764.64831069607</v>
      </c>
      <c r="R132" s="195"/>
      <c r="S132" s="1046" t="s">
        <v>541</v>
      </c>
      <c r="T132" s="1025"/>
      <c r="U132" s="592"/>
      <c r="V132" s="593"/>
      <c r="W132" s="594">
        <f>SUM(W129:W131)</f>
        <v>156446.00406798243</v>
      </c>
      <c r="Y132" s="1046" t="s">
        <v>541</v>
      </c>
      <c r="Z132" s="1025"/>
      <c r="AA132" s="592"/>
      <c r="AB132" s="593"/>
      <c r="AC132" s="594">
        <f>SUM(AC129:AC131)</f>
        <v>199607.74718449346</v>
      </c>
      <c r="AD132" s="195"/>
      <c r="AE132" s="1046" t="s">
        <v>541</v>
      </c>
      <c r="AF132" s="1025"/>
      <c r="AG132" s="592"/>
      <c r="AH132" s="593"/>
      <c r="AI132" s="594">
        <f>SUM(AI129:AI131)</f>
        <v>242009.6839806168</v>
      </c>
      <c r="AK132" s="33"/>
      <c r="AL132" s="346"/>
      <c r="AM132" s="571"/>
      <c r="AN132" s="33"/>
      <c r="AO132" s="33"/>
      <c r="AR132" s="324"/>
    </row>
    <row r="133" spans="6:44" s="239" customFormat="1" ht="13.5" thickTop="1" x14ac:dyDescent="0.2">
      <c r="F133" s="241"/>
      <c r="G133" s="33"/>
      <c r="I133" s="38"/>
      <c r="J133" s="307"/>
      <c r="M133" s="241"/>
      <c r="N133" s="33"/>
      <c r="P133" s="38"/>
      <c r="Q133" s="307"/>
      <c r="R133" s="434"/>
      <c r="S133" s="241"/>
      <c r="T133" s="33"/>
      <c r="V133" s="38"/>
      <c r="W133" s="307"/>
      <c r="X133" s="156"/>
      <c r="Y133" s="241"/>
      <c r="Z133" s="33"/>
      <c r="AB133" s="38"/>
      <c r="AC133" s="307"/>
      <c r="AD133" s="156"/>
      <c r="AE133" s="241"/>
      <c r="AF133" s="33"/>
      <c r="AH133" s="38"/>
      <c r="AI133" s="307"/>
      <c r="AJ133" s="156"/>
      <c r="AK133" s="208"/>
      <c r="AL133" s="208"/>
      <c r="AM133" s="33"/>
      <c r="AN133" s="33"/>
      <c r="AO133" s="33"/>
      <c r="AQ133" s="242"/>
      <c r="AR133" s="242"/>
    </row>
    <row r="134" spans="6:44" s="242" customFormat="1" ht="15" x14ac:dyDescent="0.25">
      <c r="F134" s="1026" t="s">
        <v>357</v>
      </c>
      <c r="G134" s="1027"/>
      <c r="H134" s="422"/>
      <c r="I134" s="423"/>
      <c r="J134" s="439">
        <f>J126+J132</f>
        <v>1804357.456702583</v>
      </c>
      <c r="M134" s="1049" t="s">
        <v>357</v>
      </c>
      <c r="N134" s="1027"/>
      <c r="O134" s="422"/>
      <c r="P134" s="423"/>
      <c r="Q134" s="439">
        <f>Q126+Q132</f>
        <v>1938396.2059618323</v>
      </c>
      <c r="R134" s="434"/>
      <c r="S134" s="1049" t="s">
        <v>357</v>
      </c>
      <c r="T134" s="1027"/>
      <c r="U134" s="422"/>
      <c r="V134" s="423"/>
      <c r="W134" s="439">
        <f>W132+W126</f>
        <v>2078716.2476601745</v>
      </c>
      <c r="X134" s="156"/>
      <c r="Y134" s="1049" t="s">
        <v>357</v>
      </c>
      <c r="Z134" s="1027"/>
      <c r="AA134" s="422"/>
      <c r="AB134" s="423"/>
      <c r="AC134" s="439">
        <f>AC132+AC126</f>
        <v>2127731.8895037253</v>
      </c>
      <c r="AD134" s="156"/>
      <c r="AE134" s="1049" t="s">
        <v>357</v>
      </c>
      <c r="AF134" s="1027"/>
      <c r="AG134" s="422"/>
      <c r="AH134" s="423"/>
      <c r="AI134" s="439">
        <f>AI132+AI126</f>
        <v>2514734.7142329691</v>
      </c>
      <c r="AJ134" s="156"/>
      <c r="AK134" s="328"/>
      <c r="AL134" s="328"/>
      <c r="AM134" s="33"/>
      <c r="AN134" s="33"/>
      <c r="AO134" s="33"/>
    </row>
    <row r="135" spans="6:44" s="242" customFormat="1" x14ac:dyDescent="0.2">
      <c r="F135" s="241" t="s">
        <v>89</v>
      </c>
      <c r="G135" s="33"/>
      <c r="H135" s="346">
        <f>H99</f>
        <v>0.12</v>
      </c>
      <c r="I135" s="38"/>
      <c r="J135" s="307">
        <f>J134*H135</f>
        <v>216522.89480430997</v>
      </c>
      <c r="M135" s="241" t="s">
        <v>89</v>
      </c>
      <c r="N135" s="33"/>
      <c r="O135" s="346">
        <f>O99</f>
        <v>0.12</v>
      </c>
      <c r="P135" s="38"/>
      <c r="Q135" s="307">
        <f>Q134*O135</f>
        <v>232607.54471541988</v>
      </c>
      <c r="R135" s="434"/>
      <c r="S135" s="241" t="s">
        <v>89</v>
      </c>
      <c r="T135" s="33"/>
      <c r="U135" s="346">
        <f>U99</f>
        <v>0.12</v>
      </c>
      <c r="V135" s="38"/>
      <c r="W135" s="307">
        <f>W134*U135</f>
        <v>249445.94971922092</v>
      </c>
      <c r="X135" s="156"/>
      <c r="Y135" s="241" t="s">
        <v>89</v>
      </c>
      <c r="Z135" s="33"/>
      <c r="AA135" s="346">
        <f>AA99</f>
        <v>0.12</v>
      </c>
      <c r="AB135" s="38"/>
      <c r="AC135" s="307">
        <f>AC134*AA135</f>
        <v>255327.82674044702</v>
      </c>
      <c r="AD135" s="156"/>
      <c r="AE135" s="241" t="s">
        <v>89</v>
      </c>
      <c r="AF135" s="33"/>
      <c r="AG135" s="346">
        <f>AG99</f>
        <v>0.12</v>
      </c>
      <c r="AH135" s="38"/>
      <c r="AI135" s="307">
        <f>AI134*AG135</f>
        <v>301768.1657079563</v>
      </c>
      <c r="AJ135" s="156"/>
      <c r="AK135" s="334"/>
      <c r="AL135" s="334"/>
      <c r="AM135" s="33"/>
      <c r="AN135" s="33"/>
      <c r="AO135" s="33"/>
    </row>
    <row r="136" spans="6:44" s="239" customFormat="1" x14ac:dyDescent="0.2">
      <c r="F136" s="241" t="s">
        <v>46</v>
      </c>
      <c r="G136" s="33"/>
      <c r="H136" s="346">
        <f>AD28</f>
        <v>0</v>
      </c>
      <c r="I136" s="38"/>
      <c r="J136" s="307">
        <f>H136*(J134+J135)</f>
        <v>0</v>
      </c>
      <c r="M136" s="241" t="s">
        <v>46</v>
      </c>
      <c r="N136" s="33"/>
      <c r="O136" s="346">
        <f>AL28</f>
        <v>2.5282070971092779E-2</v>
      </c>
      <c r="P136" s="38"/>
      <c r="Q136" s="307">
        <f>O136*(Q134+Q135)</f>
        <v>54887.470903130903</v>
      </c>
      <c r="R136" s="434"/>
      <c r="S136" s="241" t="s">
        <v>46</v>
      </c>
      <c r="T136" s="33"/>
      <c r="U136" s="346">
        <f>O136</f>
        <v>2.5282070971092779E-2</v>
      </c>
      <c r="V136" s="38"/>
      <c r="W136" s="307">
        <f>U136*(W134+W135)</f>
        <v>58860.761906361193</v>
      </c>
      <c r="X136" s="156"/>
      <c r="Y136" s="241" t="s">
        <v>46</v>
      </c>
      <c r="Z136" s="33"/>
      <c r="AA136" s="346">
        <f>U136</f>
        <v>2.5282070971092779E-2</v>
      </c>
      <c r="AB136" s="38"/>
      <c r="AC136" s="307">
        <f>AA136*(AC134+SA35)</f>
        <v>53793.468637890524</v>
      </c>
      <c r="AD136" s="156"/>
      <c r="AE136" s="241" t="s">
        <v>46</v>
      </c>
      <c r="AF136" s="33"/>
      <c r="AG136" s="346">
        <f>AA136</f>
        <v>2.5282070971092779E-2</v>
      </c>
      <c r="AH136" s="38"/>
      <c r="AI136" s="307">
        <f>AG136*(AI134+AI135)</f>
        <v>71207.025700953673</v>
      </c>
      <c r="AJ136" s="156"/>
      <c r="AK136" s="334"/>
      <c r="AL136" s="334"/>
      <c r="AM136" s="33"/>
      <c r="AN136" s="33"/>
      <c r="AO136" s="33"/>
      <c r="AQ136" s="242"/>
      <c r="AR136" s="242"/>
    </row>
    <row r="137" spans="6:44" s="239" customFormat="1" ht="13.5" thickBot="1" x14ac:dyDescent="0.25">
      <c r="F137" s="348" t="s">
        <v>91</v>
      </c>
      <c r="G137" s="349"/>
      <c r="H137" s="350"/>
      <c r="I137" s="351"/>
      <c r="J137" s="352">
        <f>ROUND(SUM(J134:J136),2)</f>
        <v>2020880.35</v>
      </c>
      <c r="M137" s="348" t="s">
        <v>91</v>
      </c>
      <c r="N137" s="349"/>
      <c r="O137" s="350"/>
      <c r="P137" s="351"/>
      <c r="Q137" s="352">
        <f>ROUND(SUM(Q134:Q136),2)</f>
        <v>2225891.2200000002</v>
      </c>
      <c r="R137" s="434"/>
      <c r="S137" s="348" t="s">
        <v>91</v>
      </c>
      <c r="T137" s="349"/>
      <c r="U137" s="350"/>
      <c r="V137" s="351"/>
      <c r="W137" s="352">
        <f>ROUND(SUM(W134:W136),2)</f>
        <v>2387022.96</v>
      </c>
      <c r="X137" s="156"/>
      <c r="Y137" s="348" t="s">
        <v>91</v>
      </c>
      <c r="Z137" s="349"/>
      <c r="AA137" s="350"/>
      <c r="AB137" s="351"/>
      <c r="AC137" s="352">
        <f>ROUND(SUM(AC134:AC136),2)</f>
        <v>2436853.1800000002</v>
      </c>
      <c r="AD137" s="156"/>
      <c r="AE137" s="348" t="s">
        <v>91</v>
      </c>
      <c r="AF137" s="349"/>
      <c r="AG137" s="350"/>
      <c r="AH137" s="351"/>
      <c r="AI137" s="352">
        <f>ROUND(SUM(AI134:AI136),2)</f>
        <v>2887709.91</v>
      </c>
      <c r="AK137" s="33"/>
      <c r="AL137" s="33"/>
      <c r="AM137" s="33"/>
      <c r="AN137" s="33"/>
      <c r="AO137" s="33"/>
    </row>
    <row r="138" spans="6:44" s="309" customFormat="1" ht="14.25" thickTop="1" thickBot="1" x14ac:dyDescent="0.25">
      <c r="F138" s="355" t="s">
        <v>93</v>
      </c>
      <c r="G138" s="324"/>
      <c r="H138" s="324"/>
      <c r="I138" s="324"/>
      <c r="J138" s="739">
        <f>J137/J116</f>
        <v>553.6658493150685</v>
      </c>
      <c r="M138" s="355" t="s">
        <v>93</v>
      </c>
      <c r="N138" s="324"/>
      <c r="O138" s="324"/>
      <c r="P138" s="324"/>
      <c r="Q138" s="602">
        <f>Q137/Q116</f>
        <v>508.19434246575349</v>
      </c>
      <c r="R138" s="434"/>
      <c r="S138" s="355" t="s">
        <v>93</v>
      </c>
      <c r="T138" s="324"/>
      <c r="U138" s="324"/>
      <c r="V138" s="324"/>
      <c r="W138" s="602">
        <f>W137/W116</f>
        <v>421.92186654882897</v>
      </c>
      <c r="X138" s="156"/>
      <c r="Y138" s="355" t="s">
        <v>93</v>
      </c>
      <c r="Z138" s="324"/>
      <c r="AA138" s="324"/>
      <c r="AB138" s="324"/>
      <c r="AC138" s="602">
        <f>AC137/AC116</f>
        <v>333.81550410958909</v>
      </c>
      <c r="AD138" s="156"/>
      <c r="AE138" s="355" t="s">
        <v>93</v>
      </c>
      <c r="AF138" s="324"/>
      <c r="AG138" s="324"/>
      <c r="AH138" s="324"/>
      <c r="AI138" s="602">
        <f>AI137/AI116</f>
        <v>316.46136000000001</v>
      </c>
      <c r="AJ138" s="156"/>
      <c r="AK138" s="242"/>
      <c r="AL138" s="33"/>
      <c r="AM138" s="33"/>
      <c r="AN138" s="33"/>
      <c r="AO138" s="33"/>
      <c r="AQ138" s="239"/>
      <c r="AR138" s="239"/>
    </row>
    <row r="139" spans="6:44" s="309" customFormat="1" ht="13.5" thickBot="1" x14ac:dyDescent="0.25">
      <c r="F139" s="359" t="s">
        <v>95</v>
      </c>
      <c r="G139" s="295"/>
      <c r="H139" s="360">
        <v>0.9</v>
      </c>
      <c r="I139" s="361"/>
      <c r="J139" s="362">
        <f>J$137*(H136+1)/(J$116*H139)</f>
        <v>615.18427701674284</v>
      </c>
      <c r="M139" s="359" t="s">
        <v>95</v>
      </c>
      <c r="N139" s="295"/>
      <c r="O139" s="360">
        <v>0.9</v>
      </c>
      <c r="P139" s="361"/>
      <c r="Q139" s="362">
        <f>Q$137*(O136+1)/(Q$116*O139)</f>
        <v>578.93616433231171</v>
      </c>
      <c r="R139" s="434"/>
      <c r="S139" s="359" t="s">
        <v>95</v>
      </c>
      <c r="T139" s="295"/>
      <c r="U139" s="360">
        <v>0.9</v>
      </c>
      <c r="V139" s="361"/>
      <c r="W139" s="362">
        <f>W$137*(U136+1)/(W$116*U139)</f>
        <v>480.65436124796935</v>
      </c>
      <c r="X139" s="156"/>
      <c r="Y139" s="359" t="s">
        <v>95</v>
      </c>
      <c r="Z139" s="295"/>
      <c r="AA139" s="360">
        <v>0.9</v>
      </c>
      <c r="AB139" s="361"/>
      <c r="AC139" s="362">
        <f>AC$137*(AA136+1)/(AC$116*AA139)</f>
        <v>380.28339041748757</v>
      </c>
      <c r="AD139" s="156"/>
      <c r="AE139" s="359" t="s">
        <v>95</v>
      </c>
      <c r="AF139" s="295"/>
      <c r="AG139" s="360">
        <v>0.9</v>
      </c>
      <c r="AH139" s="361"/>
      <c r="AI139" s="362">
        <f>AI$137*(AG136+1)/(AI$116*AG139)</f>
        <v>360.51350951458733</v>
      </c>
      <c r="AJ139" s="156"/>
      <c r="AK139" s="33"/>
      <c r="AL139" s="242"/>
      <c r="AM139" s="242"/>
      <c r="AN139" s="242"/>
      <c r="AO139" s="242"/>
    </row>
    <row r="140" spans="6:44" s="239" customFormat="1" ht="13.5" thickBot="1" x14ac:dyDescent="0.25">
      <c r="F140" s="355"/>
      <c r="G140" s="33"/>
      <c r="H140" s="364">
        <v>0.85</v>
      </c>
      <c r="J140" s="362">
        <f>J$137*(H136+1)/(J$116*H140)</f>
        <v>651.37158742949237</v>
      </c>
      <c r="M140" s="355"/>
      <c r="N140" s="33"/>
      <c r="O140" s="364">
        <v>0.85</v>
      </c>
      <c r="Q140" s="362">
        <f>Q$137*(O136+1)/(Q$116*O140)</f>
        <v>612.99123282244773</v>
      </c>
      <c r="R140" s="434"/>
      <c r="S140" s="355"/>
      <c r="T140" s="33"/>
      <c r="U140" s="364">
        <v>0.85</v>
      </c>
      <c r="W140" s="362">
        <f>W$137*(U136+1)/(W$116*U140)</f>
        <v>508.92814720373224</v>
      </c>
      <c r="X140" s="156"/>
      <c r="Y140" s="355"/>
      <c r="Z140" s="33"/>
      <c r="AA140" s="364">
        <v>0.85</v>
      </c>
      <c r="AC140" s="362">
        <f>AC$137*(AA136+1)/(AC$116*AA140)</f>
        <v>402.65300161851627</v>
      </c>
      <c r="AD140" s="156"/>
      <c r="AE140" s="355"/>
      <c r="AF140" s="33"/>
      <c r="AG140" s="364">
        <v>0.85</v>
      </c>
      <c r="AI140" s="362">
        <f>AI$137*(AG136+1)/(AI$116*AG140)</f>
        <v>381.72018654485714</v>
      </c>
      <c r="AJ140" s="156"/>
      <c r="AN140" s="248"/>
      <c r="AQ140" s="309"/>
      <c r="AR140" s="309"/>
    </row>
    <row r="141" spans="6:44" s="242" customFormat="1" ht="13.5" thickBot="1" x14ac:dyDescent="0.25">
      <c r="F141" s="355"/>
      <c r="G141" s="33"/>
      <c r="H141" s="364">
        <v>0.8</v>
      </c>
      <c r="I141" s="239"/>
      <c r="J141" s="362">
        <f>J$137*(H136+1)/(J$116*H141)</f>
        <v>692.08231164383562</v>
      </c>
      <c r="M141" s="355"/>
      <c r="N141" s="33"/>
      <c r="O141" s="364">
        <v>0.8</v>
      </c>
      <c r="P141" s="239"/>
      <c r="Q141" s="362">
        <f>Q$137*(O136+1)/(Q$116*O141)</f>
        <v>651.30318487385068</v>
      </c>
      <c r="R141" s="434"/>
      <c r="S141" s="355"/>
      <c r="T141" s="33"/>
      <c r="U141" s="364">
        <v>0.8</v>
      </c>
      <c r="V141" s="239"/>
      <c r="W141" s="362">
        <f>W$137*(U136+1)/(W$116*U141)</f>
        <v>540.73615640396554</v>
      </c>
      <c r="X141" s="156"/>
      <c r="Y141" s="355"/>
      <c r="Z141" s="33"/>
      <c r="AA141" s="364">
        <v>0.8</v>
      </c>
      <c r="AB141" s="239"/>
      <c r="AC141" s="362">
        <f>AC$137*(AA136+1)/(AC$116*AA141)</f>
        <v>427.81881421967353</v>
      </c>
      <c r="AD141" s="156"/>
      <c r="AE141" s="355"/>
      <c r="AF141" s="33"/>
      <c r="AG141" s="364">
        <v>0.8</v>
      </c>
      <c r="AH141" s="239"/>
      <c r="AI141" s="362">
        <f>AI$137*(AG136+1)/(AI$116*AG141)</f>
        <v>405.57769820391076</v>
      </c>
      <c r="AJ141" s="156"/>
      <c r="AK141" s="239"/>
      <c r="AL141" s="239"/>
      <c r="AM141" s="239"/>
      <c r="AN141" s="248"/>
      <c r="AO141" s="239"/>
      <c r="AQ141" s="239"/>
      <c r="AR141" s="239"/>
    </row>
    <row r="142" spans="6:44" s="242" customFormat="1" ht="13.5" thickBot="1" x14ac:dyDescent="0.25">
      <c r="F142" s="355"/>
      <c r="G142" s="33"/>
      <c r="H142" s="364">
        <v>0.75</v>
      </c>
      <c r="I142" s="239"/>
      <c r="J142" s="362">
        <f>J$137*(H136+1)/(J$116*H142)</f>
        <v>738.22113242009141</v>
      </c>
      <c r="M142" s="355"/>
      <c r="N142" s="33"/>
      <c r="O142" s="364">
        <v>0.75</v>
      </c>
      <c r="P142" s="239"/>
      <c r="Q142" s="362">
        <f>Q$137*(O136+1)/(Q$116*O142)</f>
        <v>694.72339719877402</v>
      </c>
      <c r="R142" s="434"/>
      <c r="S142" s="355"/>
      <c r="T142" s="33"/>
      <c r="U142" s="364">
        <v>0.75</v>
      </c>
      <c r="V142" s="239"/>
      <c r="W142" s="362">
        <f>W$137*(U136+1)/(W$116*U142)</f>
        <v>576.78523349756324</v>
      </c>
      <c r="X142" s="156"/>
      <c r="Y142" s="355"/>
      <c r="Z142" s="33"/>
      <c r="AA142" s="364">
        <v>0.75</v>
      </c>
      <c r="AB142" s="239"/>
      <c r="AC142" s="362">
        <f>AC$137*(AA136+1)/(AC$116*AA142)</f>
        <v>456.34006850098513</v>
      </c>
      <c r="AD142" s="156"/>
      <c r="AE142" s="355"/>
      <c r="AF142" s="33"/>
      <c r="AG142" s="364">
        <v>0.75</v>
      </c>
      <c r="AH142" s="239"/>
      <c r="AI142" s="362">
        <f>AI$137*(AG136+1)/(AI$116*AG142)</f>
        <v>432.61621141750476</v>
      </c>
      <c r="AJ142" s="156"/>
      <c r="AK142" s="239"/>
      <c r="AL142" s="239"/>
      <c r="AM142" s="239"/>
      <c r="AN142" s="248"/>
      <c r="AO142" s="239"/>
    </row>
    <row r="143" spans="6:44" ht="13.5" thickBot="1" x14ac:dyDescent="0.25">
      <c r="F143" s="355"/>
      <c r="H143" s="364">
        <v>0.7</v>
      </c>
      <c r="I143" s="239"/>
      <c r="J143" s="362">
        <f>J$137*(H136+1)/(J$116*H143)</f>
        <v>790.95121330724078</v>
      </c>
      <c r="M143" s="355"/>
      <c r="O143" s="364">
        <v>0.7</v>
      </c>
      <c r="P143" s="239"/>
      <c r="Q143" s="362">
        <f>Q$137*(O136+1)/(Q$116*O143)</f>
        <v>744.34649699868646</v>
      </c>
      <c r="R143" s="434"/>
      <c r="S143" s="355"/>
      <c r="U143" s="364">
        <v>0.7</v>
      </c>
      <c r="V143" s="239"/>
      <c r="W143" s="362">
        <f>W$137*(U136+1)/(W$116*U143)</f>
        <v>617.98417874738925</v>
      </c>
      <c r="X143" s="156"/>
      <c r="Y143" s="355"/>
      <c r="Z143" s="33"/>
      <c r="AA143" s="364">
        <v>0.7</v>
      </c>
      <c r="AC143" s="362">
        <f>AC$137*(AA136+1)/(AC$116*AA143)</f>
        <v>488.93578767962691</v>
      </c>
      <c r="AD143" s="156"/>
      <c r="AE143" s="355"/>
      <c r="AF143" s="33"/>
      <c r="AG143" s="364">
        <v>0.7</v>
      </c>
      <c r="AI143" s="362">
        <f>AI$137*(AG136+1)/(AI$116*AG143)</f>
        <v>463.517369375898</v>
      </c>
      <c r="AJ143" s="156"/>
      <c r="AQ143" s="242"/>
      <c r="AR143" s="242"/>
    </row>
    <row r="144" spans="6:44" ht="13.5" thickBot="1" x14ac:dyDescent="0.25">
      <c r="F144" s="355"/>
      <c r="H144" s="364">
        <v>0.65</v>
      </c>
      <c r="I144" s="239"/>
      <c r="J144" s="362">
        <f>J$137*(H136+1)/(J$116*H144)</f>
        <v>851.79361433087468</v>
      </c>
      <c r="M144" s="355"/>
      <c r="O144" s="364">
        <v>0.65</v>
      </c>
      <c r="P144" s="239"/>
      <c r="Q144" s="362">
        <f>Q$137*(O136+1)/(Q$116*O144)</f>
        <v>801.60391984473927</v>
      </c>
      <c r="R144" s="434"/>
      <c r="S144" s="355"/>
      <c r="U144" s="364">
        <v>0.65</v>
      </c>
      <c r="V144" s="239"/>
      <c r="W144" s="362">
        <f>W$137*(U136+1)/(W$116*U144)</f>
        <v>665.52142326641911</v>
      </c>
      <c r="X144" s="156"/>
      <c r="Y144" s="355"/>
      <c r="Z144" s="33"/>
      <c r="AA144" s="364">
        <v>0.65</v>
      </c>
      <c r="AC144" s="362">
        <f>AC$137*(AA136+1)/(AC$116*AA144)</f>
        <v>526.54623288575203</v>
      </c>
      <c r="AD144" s="156"/>
      <c r="AE144" s="355"/>
      <c r="AF144" s="33"/>
      <c r="AG144" s="364">
        <v>0.65</v>
      </c>
      <c r="AI144" s="362">
        <f>AI$137*(AG136+1)/(AI$116*AG144)</f>
        <v>499.17255163558241</v>
      </c>
      <c r="AJ144" s="156"/>
    </row>
    <row r="145" spans="6:44" ht="13.5" thickBot="1" x14ac:dyDescent="0.25">
      <c r="F145" s="355"/>
      <c r="H145" s="364">
        <v>0.6</v>
      </c>
      <c r="I145" s="239"/>
      <c r="J145" s="362">
        <f>J$137*(H136+1)/(J$116*H145)</f>
        <v>922.7764155251142</v>
      </c>
      <c r="M145" s="355"/>
      <c r="O145" s="364">
        <v>0.6</v>
      </c>
      <c r="P145" s="239"/>
      <c r="Q145" s="362">
        <f>Q$137*(O136+1)/(Q$116*O145)</f>
        <v>868.4042464984675</v>
      </c>
      <c r="R145" s="434"/>
      <c r="S145" s="355"/>
      <c r="U145" s="364">
        <v>0.6</v>
      </c>
      <c r="V145" s="239"/>
      <c r="W145" s="362">
        <f>W$137*(U136+1)/(W$116*U145)</f>
        <v>720.98154187195405</v>
      </c>
      <c r="X145" s="156"/>
      <c r="Y145" s="355"/>
      <c r="Z145" s="33"/>
      <c r="AA145" s="364">
        <v>0.6</v>
      </c>
      <c r="AC145" s="362">
        <f>AC$137*(AA136+1)/(AC$116*AA145)</f>
        <v>570.42508562623141</v>
      </c>
      <c r="AD145" s="156"/>
      <c r="AE145" s="355"/>
      <c r="AF145" s="33"/>
      <c r="AG145" s="364">
        <v>0.6</v>
      </c>
      <c r="AI145" s="362">
        <f>AI$137*(AG136+1)/(AI$116*AG145)</f>
        <v>540.77026427188093</v>
      </c>
      <c r="AJ145" s="156"/>
    </row>
    <row r="146" spans="6:44" ht="13.5" thickBot="1" x14ac:dyDescent="0.25">
      <c r="F146" s="355"/>
      <c r="H146" s="364">
        <v>0.55000000000000004</v>
      </c>
      <c r="I146" s="239"/>
      <c r="J146" s="362">
        <f>J$137*(H136+1)/(J$116*H146)</f>
        <v>1006.6651805728517</v>
      </c>
      <c r="M146" s="355"/>
      <c r="O146" s="364">
        <v>0.55000000000000004</v>
      </c>
      <c r="P146" s="239"/>
      <c r="Q146" s="362">
        <f>Q$137*(O136+1)/(Q$116*O146)</f>
        <v>947.35008708923738</v>
      </c>
      <c r="R146" s="434"/>
      <c r="S146" s="355"/>
      <c r="U146" s="364">
        <v>0.55000000000000004</v>
      </c>
      <c r="V146" s="239"/>
      <c r="W146" s="362">
        <f>W$137*(U136+1)/(W$116*U146)</f>
        <v>786.52531840576796</v>
      </c>
      <c r="X146" s="156"/>
      <c r="Y146" s="355"/>
      <c r="Z146" s="33"/>
      <c r="AA146" s="364">
        <v>0.55000000000000004</v>
      </c>
      <c r="AC146" s="362">
        <f>AC$137*(AA136+1)/(AC$116*AA146)</f>
        <v>622.2819115922523</v>
      </c>
      <c r="AD146" s="156"/>
      <c r="AE146" s="355"/>
      <c r="AF146" s="33"/>
      <c r="AG146" s="364">
        <v>0.55000000000000004</v>
      </c>
      <c r="AI146" s="362">
        <f>AI$137*(AG136+1)/(AI$116*AG146)</f>
        <v>589.93119738750647</v>
      </c>
      <c r="AJ146" s="156"/>
    </row>
    <row r="147" spans="6:44" ht="13.5" thickBot="1" x14ac:dyDescent="0.25">
      <c r="F147" s="373"/>
      <c r="G147" s="36"/>
      <c r="H147" s="374">
        <v>0.5</v>
      </c>
      <c r="I147" s="375"/>
      <c r="J147" s="376">
        <f>J$137*(H136+1)/(J$116*H147)</f>
        <v>1107.331698630137</v>
      </c>
      <c r="M147" s="373"/>
      <c r="N147" s="36"/>
      <c r="O147" s="374">
        <v>0.5</v>
      </c>
      <c r="P147" s="375"/>
      <c r="Q147" s="376">
        <f>Q$137*(O136+1)/(Q$116*O147)</f>
        <v>1042.0850957981611</v>
      </c>
      <c r="R147" s="434"/>
      <c r="S147" s="373"/>
      <c r="T147" s="36"/>
      <c r="U147" s="374">
        <v>0.5</v>
      </c>
      <c r="V147" s="375"/>
      <c r="W147" s="376">
        <f>W$137*(U136+1)/(W$116*U147)</f>
        <v>865.17785024634486</v>
      </c>
      <c r="X147" s="156"/>
      <c r="Y147" s="373"/>
      <c r="Z147" s="36"/>
      <c r="AA147" s="374">
        <v>0.5</v>
      </c>
      <c r="AB147" s="375"/>
      <c r="AC147" s="362">
        <f>AC$137*(AA136+1)/(AC$116*AA147)</f>
        <v>684.51010275147769</v>
      </c>
      <c r="AD147" s="156"/>
      <c r="AE147" s="373"/>
      <c r="AF147" s="36"/>
      <c r="AG147" s="374">
        <v>0.5</v>
      </c>
      <c r="AH147" s="375"/>
      <c r="AI147" s="376">
        <f>AI$137*(AG136+1)/(AI$116*AG147)</f>
        <v>648.92431712625717</v>
      </c>
      <c r="AJ147" s="334"/>
    </row>
    <row r="148" spans="6:44" x14ac:dyDescent="0.2">
      <c r="P148" s="187"/>
      <c r="V148" s="187"/>
      <c r="AB148" s="187"/>
      <c r="AH148" s="187"/>
      <c r="AJ148" s="334"/>
    </row>
    <row r="149" spans="6:44" x14ac:dyDescent="0.2">
      <c r="P149" s="187"/>
      <c r="V149" s="187"/>
      <c r="AB149" s="187"/>
      <c r="AH149" s="187"/>
      <c r="AJ149" s="334"/>
    </row>
    <row r="150" spans="6:44" s="363" customFormat="1" x14ac:dyDescent="0.2">
      <c r="M150" s="33"/>
      <c r="N150" s="33"/>
      <c r="O150" s="33"/>
      <c r="P150" s="33"/>
      <c r="Q150" s="33"/>
      <c r="R150" s="33"/>
      <c r="S150" s="33"/>
      <c r="T150" s="33"/>
      <c r="U150" s="239"/>
      <c r="V150" s="248"/>
      <c r="W150" s="239"/>
      <c r="X150" s="239"/>
      <c r="Y150" s="33"/>
      <c r="Z150" s="239"/>
      <c r="AA150" s="943"/>
      <c r="AB150" s="239"/>
      <c r="AC150" s="239"/>
      <c r="AD150" s="33"/>
      <c r="AE150" s="33"/>
      <c r="AF150" s="239"/>
      <c r="AG150" s="248"/>
      <c r="AH150" s="239"/>
      <c r="AI150" s="239"/>
      <c r="AJ150" s="239"/>
      <c r="AK150" s="239"/>
      <c r="AL150" s="239"/>
      <c r="AM150" s="239"/>
      <c r="AN150" s="248"/>
      <c r="AO150" s="239"/>
      <c r="AQ150" s="33"/>
      <c r="AR150" s="33"/>
    </row>
    <row r="151" spans="6:44" x14ac:dyDescent="0.2">
      <c r="AJ151" s="440"/>
      <c r="AQ151" s="363"/>
      <c r="AR151" s="363"/>
    </row>
    <row r="153" spans="6:44" x14ac:dyDescent="0.2">
      <c r="AJ153" s="353"/>
    </row>
    <row r="159" spans="6:44" s="239" customFormat="1" x14ac:dyDescent="0.2">
      <c r="M159" s="33"/>
      <c r="N159" s="33"/>
      <c r="O159" s="33"/>
      <c r="P159" s="33"/>
      <c r="Q159" s="33"/>
      <c r="R159" s="33"/>
      <c r="S159" s="33"/>
      <c r="T159" s="33"/>
      <c r="V159" s="248"/>
      <c r="Y159" s="33"/>
      <c r="AA159" s="248"/>
      <c r="AD159" s="33"/>
      <c r="AE159" s="33"/>
      <c r="AG159" s="248"/>
      <c r="AN159" s="248"/>
      <c r="AP159" s="33"/>
      <c r="AQ159" s="33"/>
      <c r="AR159" s="33"/>
    </row>
  </sheetData>
  <mergeCells count="42">
    <mergeCell ref="S96:T96"/>
    <mergeCell ref="Y96:Z96"/>
    <mergeCell ref="AE96:AF96"/>
    <mergeCell ref="M134:N134"/>
    <mergeCell ref="S134:T134"/>
    <mergeCell ref="Y134:Z134"/>
    <mergeCell ref="AE134:AF134"/>
    <mergeCell ref="M114:N114"/>
    <mergeCell ref="S115:W115"/>
    <mergeCell ref="M132:N132"/>
    <mergeCell ref="S132:T132"/>
    <mergeCell ref="Y132:Z132"/>
    <mergeCell ref="AE132:AF132"/>
    <mergeCell ref="AQ4:AS4"/>
    <mergeCell ref="M98:N98"/>
    <mergeCell ref="S98:T98"/>
    <mergeCell ref="Y98:Z98"/>
    <mergeCell ref="AE98:AF98"/>
    <mergeCell ref="AK17:AO17"/>
    <mergeCell ref="M22:N22"/>
    <mergeCell ref="S22:T22"/>
    <mergeCell ref="Y22:Z22"/>
    <mergeCell ref="AE22:AF22"/>
    <mergeCell ref="M59:N59"/>
    <mergeCell ref="S59:T59"/>
    <mergeCell ref="Y59:Z59"/>
    <mergeCell ref="AE59:AF59"/>
    <mergeCell ref="M77:N77"/>
    <mergeCell ref="M96:N96"/>
    <mergeCell ref="AK10:AO10"/>
    <mergeCell ref="S4:W4"/>
    <mergeCell ref="Y4:AC4"/>
    <mergeCell ref="AE4:AI4"/>
    <mergeCell ref="AK4:AO4"/>
    <mergeCell ref="F114:G114"/>
    <mergeCell ref="F132:G132"/>
    <mergeCell ref="F134:G134"/>
    <mergeCell ref="F22:G22"/>
    <mergeCell ref="F59:G59"/>
    <mergeCell ref="F77:G77"/>
    <mergeCell ref="F96:G96"/>
    <mergeCell ref="F98:G98"/>
  </mergeCells>
  <pageMargins left="0" right="0" top="0.5" bottom="0.64" header="0.2" footer="0.34"/>
  <pageSetup paperSize="5" scale="43" fitToHeight="2" orientation="landscape" r:id="rId1"/>
  <headerFooter alignWithMargins="0">
    <oddHeader>&amp;C&amp;20YOUTH INTERMEDIATE TERM RESIDENTIAL RATES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8486-1C0D-42CF-9349-F8C3E1B665DA}">
  <sheetPr>
    <pageSetUpPr fitToPage="1"/>
  </sheetPr>
  <dimension ref="A1:AI122"/>
  <sheetViews>
    <sheetView topLeftCell="S17" zoomScale="90" zoomScaleNormal="90" workbookViewId="0">
      <selection activeCell="AG51" sqref="AG51"/>
    </sheetView>
  </sheetViews>
  <sheetFormatPr defaultColWidth="8.25" defaultRowHeight="15" x14ac:dyDescent="0.25"/>
  <cols>
    <col min="1" max="1" width="10.5" style="42" customWidth="1"/>
    <col min="2" max="2" width="18.375" style="42" customWidth="1"/>
    <col min="3" max="3" width="8.625" style="42" customWidth="1"/>
    <col min="4" max="4" width="8.25" style="42" customWidth="1"/>
    <col min="5" max="5" width="7.25" style="42" bestFit="1" customWidth="1"/>
    <col min="6" max="6" width="8.625" style="42" bestFit="1" customWidth="1"/>
    <col min="7" max="7" width="7.75" style="42" customWidth="1"/>
    <col min="8" max="8" width="17.25" style="42" customWidth="1"/>
    <col min="9" max="9" width="9.25" style="42" bestFit="1" customWidth="1"/>
    <col min="10" max="10" width="9" style="42" customWidth="1"/>
    <col min="11" max="11" width="6.625" style="42" customWidth="1"/>
    <col min="12" max="12" width="10.125" style="42" customWidth="1"/>
    <col min="13" max="13" width="8.125" style="42" customWidth="1"/>
    <col min="14" max="14" width="17.375" style="42" customWidth="1"/>
    <col min="15" max="15" width="9.25" style="42" bestFit="1" customWidth="1"/>
    <col min="16" max="16" width="9" style="42" customWidth="1"/>
    <col min="17" max="17" width="6.625" style="42" customWidth="1"/>
    <col min="18" max="18" width="9.5" style="42" customWidth="1"/>
    <col min="19" max="19" width="7.75" style="42" customWidth="1"/>
    <col min="20" max="20" width="18.25" style="42" customWidth="1"/>
    <col min="21" max="21" width="10.5" style="42" customWidth="1"/>
    <col min="22" max="22" width="7.125" style="42" customWidth="1"/>
    <col min="23" max="23" width="7.25" style="42" bestFit="1" customWidth="1"/>
    <col min="24" max="24" width="8.625" style="42" bestFit="1" customWidth="1"/>
    <col min="25" max="25" width="8.5" style="42" customWidth="1"/>
    <col min="26" max="26" width="21.625" style="42" customWidth="1"/>
    <col min="27" max="27" width="9" style="42" customWidth="1"/>
    <col min="28" max="28" width="9.25" style="313" customWidth="1"/>
    <col min="29" max="29" width="6.625" style="42" customWidth="1"/>
    <col min="30" max="30" width="16.25" style="42" customWidth="1"/>
    <col min="31" max="31" width="9.625" style="42" customWidth="1"/>
    <col min="32" max="32" width="4.875" style="42" customWidth="1"/>
    <col min="33" max="33" width="16.875" style="42" bestFit="1" customWidth="1"/>
    <col min="34" max="248" width="8.25" style="42"/>
    <col min="249" max="249" width="27.75" style="42" customWidth="1"/>
    <col min="250" max="250" width="9.25" style="42" bestFit="1" customWidth="1"/>
    <col min="251" max="251" width="9" style="42" customWidth="1"/>
    <col min="252" max="252" width="8.25" style="42" customWidth="1"/>
    <col min="253" max="253" width="10.25" style="42" bestFit="1" customWidth="1"/>
    <col min="254" max="254" width="1.75" style="42" customWidth="1"/>
    <col min="255" max="255" width="27.75" style="42" customWidth="1"/>
    <col min="256" max="256" width="9.25" style="42" bestFit="1" customWidth="1"/>
    <col min="257" max="257" width="9" style="42" customWidth="1"/>
    <col min="258" max="258" width="8.25" style="42" customWidth="1"/>
    <col min="259" max="259" width="9.25" style="42" bestFit="1" customWidth="1"/>
    <col min="260" max="260" width="2.75" style="42" customWidth="1"/>
    <col min="261" max="261" width="26.625" style="42" customWidth="1"/>
    <col min="262" max="262" width="9.25" style="42" bestFit="1" customWidth="1"/>
    <col min="263" max="263" width="9" style="42" customWidth="1"/>
    <col min="264" max="264" width="8.25" style="42" customWidth="1"/>
    <col min="265" max="265" width="9.25" style="42" bestFit="1" customWidth="1"/>
    <col min="266" max="266" width="2.75" style="42" customWidth="1"/>
    <col min="267" max="267" width="26.625" style="42" customWidth="1"/>
    <col min="268" max="268" width="9.25" style="42" bestFit="1" customWidth="1"/>
    <col min="269" max="269" width="9" style="42" customWidth="1"/>
    <col min="270" max="270" width="8.25" style="42" customWidth="1"/>
    <col min="271" max="271" width="9.25" style="42" bestFit="1" customWidth="1"/>
    <col min="272" max="272" width="2.75" style="42" customWidth="1"/>
    <col min="273" max="277" width="0" style="42" hidden="1" customWidth="1"/>
    <col min="278" max="278" width="2.5" style="42" customWidth="1"/>
    <col min="279" max="279" width="6" style="42" bestFit="1" customWidth="1"/>
    <col min="280" max="280" width="21.125" style="42" customWidth="1"/>
    <col min="281" max="281" width="11" style="42" customWidth="1"/>
    <col min="282" max="282" width="15" style="42" customWidth="1"/>
    <col min="283" max="283" width="6.625" style="42" customWidth="1"/>
    <col min="284" max="285" width="7.375" style="42" customWidth="1"/>
    <col min="286" max="286" width="7.25" style="42" customWidth="1"/>
    <col min="287" max="504" width="8.25" style="42"/>
    <col min="505" max="505" width="27.75" style="42" customWidth="1"/>
    <col min="506" max="506" width="9.25" style="42" bestFit="1" customWidth="1"/>
    <col min="507" max="507" width="9" style="42" customWidth="1"/>
    <col min="508" max="508" width="8.25" style="42" customWidth="1"/>
    <col min="509" max="509" width="10.25" style="42" bestFit="1" customWidth="1"/>
    <col min="510" max="510" width="1.75" style="42" customWidth="1"/>
    <col min="511" max="511" width="27.75" style="42" customWidth="1"/>
    <col min="512" max="512" width="9.25" style="42" bestFit="1" customWidth="1"/>
    <col min="513" max="513" width="9" style="42" customWidth="1"/>
    <col min="514" max="514" width="8.25" style="42" customWidth="1"/>
    <col min="515" max="515" width="9.25" style="42" bestFit="1" customWidth="1"/>
    <col min="516" max="516" width="2.75" style="42" customWidth="1"/>
    <col min="517" max="517" width="26.625" style="42" customWidth="1"/>
    <col min="518" max="518" width="9.25" style="42" bestFit="1" customWidth="1"/>
    <col min="519" max="519" width="9" style="42" customWidth="1"/>
    <col min="520" max="520" width="8.25" style="42" customWidth="1"/>
    <col min="521" max="521" width="9.25" style="42" bestFit="1" customWidth="1"/>
    <col min="522" max="522" width="2.75" style="42" customWidth="1"/>
    <col min="523" max="523" width="26.625" style="42" customWidth="1"/>
    <col min="524" max="524" width="9.25" style="42" bestFit="1" customWidth="1"/>
    <col min="525" max="525" width="9" style="42" customWidth="1"/>
    <col min="526" max="526" width="8.25" style="42" customWidth="1"/>
    <col min="527" max="527" width="9.25" style="42" bestFit="1" customWidth="1"/>
    <col min="528" max="528" width="2.75" style="42" customWidth="1"/>
    <col min="529" max="533" width="0" style="42" hidden="1" customWidth="1"/>
    <col min="534" max="534" width="2.5" style="42" customWidth="1"/>
    <col min="535" max="535" width="6" style="42" bestFit="1" customWidth="1"/>
    <col min="536" max="536" width="21.125" style="42" customWidth="1"/>
    <col min="537" max="537" width="11" style="42" customWidth="1"/>
    <col min="538" max="538" width="15" style="42" customWidth="1"/>
    <col min="539" max="539" width="6.625" style="42" customWidth="1"/>
    <col min="540" max="541" width="7.375" style="42" customWidth="1"/>
    <col min="542" max="542" width="7.25" style="42" customWidth="1"/>
    <col min="543" max="760" width="8.25" style="42"/>
    <col min="761" max="761" width="27.75" style="42" customWidth="1"/>
    <col min="762" max="762" width="9.25" style="42" bestFit="1" customWidth="1"/>
    <col min="763" max="763" width="9" style="42" customWidth="1"/>
    <col min="764" max="764" width="8.25" style="42" customWidth="1"/>
    <col min="765" max="765" width="10.25" style="42" bestFit="1" customWidth="1"/>
    <col min="766" max="766" width="1.75" style="42" customWidth="1"/>
    <col min="767" max="767" width="27.75" style="42" customWidth="1"/>
    <col min="768" max="768" width="9.25" style="42" bestFit="1" customWidth="1"/>
    <col min="769" max="769" width="9" style="42" customWidth="1"/>
    <col min="770" max="770" width="8.25" style="42" customWidth="1"/>
    <col min="771" max="771" width="9.25" style="42" bestFit="1" customWidth="1"/>
    <col min="772" max="772" width="2.75" style="42" customWidth="1"/>
    <col min="773" max="773" width="26.625" style="42" customWidth="1"/>
    <col min="774" max="774" width="9.25" style="42" bestFit="1" customWidth="1"/>
    <col min="775" max="775" width="9" style="42" customWidth="1"/>
    <col min="776" max="776" width="8.25" style="42" customWidth="1"/>
    <col min="777" max="777" width="9.25" style="42" bestFit="1" customWidth="1"/>
    <col min="778" max="778" width="2.75" style="42" customWidth="1"/>
    <col min="779" max="779" width="26.625" style="42" customWidth="1"/>
    <col min="780" max="780" width="9.25" style="42" bestFit="1" customWidth="1"/>
    <col min="781" max="781" width="9" style="42" customWidth="1"/>
    <col min="782" max="782" width="8.25" style="42" customWidth="1"/>
    <col min="783" max="783" width="9.25" style="42" bestFit="1" customWidth="1"/>
    <col min="784" max="784" width="2.75" style="42" customWidth="1"/>
    <col min="785" max="789" width="0" style="42" hidden="1" customWidth="1"/>
    <col min="790" max="790" width="2.5" style="42" customWidth="1"/>
    <col min="791" max="791" width="6" style="42" bestFit="1" customWidth="1"/>
    <col min="792" max="792" width="21.125" style="42" customWidth="1"/>
    <col min="793" max="793" width="11" style="42" customWidth="1"/>
    <col min="794" max="794" width="15" style="42" customWidth="1"/>
    <col min="795" max="795" width="6.625" style="42" customWidth="1"/>
    <col min="796" max="797" width="7.375" style="42" customWidth="1"/>
    <col min="798" max="798" width="7.25" style="42" customWidth="1"/>
    <col min="799" max="1016" width="8.25" style="42"/>
    <col min="1017" max="1017" width="27.75" style="42" customWidth="1"/>
    <col min="1018" max="1018" width="9.25" style="42" bestFit="1" customWidth="1"/>
    <col min="1019" max="1019" width="9" style="42" customWidth="1"/>
    <col min="1020" max="1020" width="8.25" style="42" customWidth="1"/>
    <col min="1021" max="1021" width="10.25" style="42" bestFit="1" customWidth="1"/>
    <col min="1022" max="1022" width="1.75" style="42" customWidth="1"/>
    <col min="1023" max="1023" width="27.75" style="42" customWidth="1"/>
    <col min="1024" max="1024" width="9.25" style="42" bestFit="1" customWidth="1"/>
    <col min="1025" max="1025" width="9" style="42" customWidth="1"/>
    <col min="1026" max="1026" width="8.25" style="42" customWidth="1"/>
    <col min="1027" max="1027" width="9.25" style="42" bestFit="1" customWidth="1"/>
    <col min="1028" max="1028" width="2.75" style="42" customWidth="1"/>
    <col min="1029" max="1029" width="26.625" style="42" customWidth="1"/>
    <col min="1030" max="1030" width="9.25" style="42" bestFit="1" customWidth="1"/>
    <col min="1031" max="1031" width="9" style="42" customWidth="1"/>
    <col min="1032" max="1032" width="8.25" style="42" customWidth="1"/>
    <col min="1033" max="1033" width="9.25" style="42" bestFit="1" customWidth="1"/>
    <col min="1034" max="1034" width="2.75" style="42" customWidth="1"/>
    <col min="1035" max="1035" width="26.625" style="42" customWidth="1"/>
    <col min="1036" max="1036" width="9.25" style="42" bestFit="1" customWidth="1"/>
    <col min="1037" max="1037" width="9" style="42" customWidth="1"/>
    <col min="1038" max="1038" width="8.25" style="42" customWidth="1"/>
    <col min="1039" max="1039" width="9.25" style="42" bestFit="1" customWidth="1"/>
    <col min="1040" max="1040" width="2.75" style="42" customWidth="1"/>
    <col min="1041" max="1045" width="0" style="42" hidden="1" customWidth="1"/>
    <col min="1046" max="1046" width="2.5" style="42" customWidth="1"/>
    <col min="1047" max="1047" width="6" style="42" bestFit="1" customWidth="1"/>
    <col min="1048" max="1048" width="21.125" style="42" customWidth="1"/>
    <col min="1049" max="1049" width="11" style="42" customWidth="1"/>
    <col min="1050" max="1050" width="15" style="42" customWidth="1"/>
    <col min="1051" max="1051" width="6.625" style="42" customWidth="1"/>
    <col min="1052" max="1053" width="7.375" style="42" customWidth="1"/>
    <col min="1054" max="1054" width="7.25" style="42" customWidth="1"/>
    <col min="1055" max="1272" width="8.25" style="42"/>
    <col min="1273" max="1273" width="27.75" style="42" customWidth="1"/>
    <col min="1274" max="1274" width="9.25" style="42" bestFit="1" customWidth="1"/>
    <col min="1275" max="1275" width="9" style="42" customWidth="1"/>
    <col min="1276" max="1276" width="8.25" style="42" customWidth="1"/>
    <col min="1277" max="1277" width="10.25" style="42" bestFit="1" customWidth="1"/>
    <col min="1278" max="1278" width="1.75" style="42" customWidth="1"/>
    <col min="1279" max="1279" width="27.75" style="42" customWidth="1"/>
    <col min="1280" max="1280" width="9.25" style="42" bestFit="1" customWidth="1"/>
    <col min="1281" max="1281" width="9" style="42" customWidth="1"/>
    <col min="1282" max="1282" width="8.25" style="42" customWidth="1"/>
    <col min="1283" max="1283" width="9.25" style="42" bestFit="1" customWidth="1"/>
    <col min="1284" max="1284" width="2.75" style="42" customWidth="1"/>
    <col min="1285" max="1285" width="26.625" style="42" customWidth="1"/>
    <col min="1286" max="1286" width="9.25" style="42" bestFit="1" customWidth="1"/>
    <col min="1287" max="1287" width="9" style="42" customWidth="1"/>
    <col min="1288" max="1288" width="8.25" style="42" customWidth="1"/>
    <col min="1289" max="1289" width="9.25" style="42" bestFit="1" customWidth="1"/>
    <col min="1290" max="1290" width="2.75" style="42" customWidth="1"/>
    <col min="1291" max="1291" width="26.625" style="42" customWidth="1"/>
    <col min="1292" max="1292" width="9.25" style="42" bestFit="1" customWidth="1"/>
    <col min="1293" max="1293" width="9" style="42" customWidth="1"/>
    <col min="1294" max="1294" width="8.25" style="42" customWidth="1"/>
    <col min="1295" max="1295" width="9.25" style="42" bestFit="1" customWidth="1"/>
    <col min="1296" max="1296" width="2.75" style="42" customWidth="1"/>
    <col min="1297" max="1301" width="0" style="42" hidden="1" customWidth="1"/>
    <col min="1302" max="1302" width="2.5" style="42" customWidth="1"/>
    <col min="1303" max="1303" width="6" style="42" bestFit="1" customWidth="1"/>
    <col min="1304" max="1304" width="21.125" style="42" customWidth="1"/>
    <col min="1305" max="1305" width="11" style="42" customWidth="1"/>
    <col min="1306" max="1306" width="15" style="42" customWidth="1"/>
    <col min="1307" max="1307" width="6.625" style="42" customWidth="1"/>
    <col min="1308" max="1309" width="7.375" style="42" customWidth="1"/>
    <col min="1310" max="1310" width="7.25" style="42" customWidth="1"/>
    <col min="1311" max="1528" width="8.25" style="42"/>
    <col min="1529" max="1529" width="27.75" style="42" customWidth="1"/>
    <col min="1530" max="1530" width="9.25" style="42" bestFit="1" customWidth="1"/>
    <col min="1531" max="1531" width="9" style="42" customWidth="1"/>
    <col min="1532" max="1532" width="8.25" style="42" customWidth="1"/>
    <col min="1533" max="1533" width="10.25" style="42" bestFit="1" customWidth="1"/>
    <col min="1534" max="1534" width="1.75" style="42" customWidth="1"/>
    <col min="1535" max="1535" width="27.75" style="42" customWidth="1"/>
    <col min="1536" max="1536" width="9.25" style="42" bestFit="1" customWidth="1"/>
    <col min="1537" max="1537" width="9" style="42" customWidth="1"/>
    <col min="1538" max="1538" width="8.25" style="42" customWidth="1"/>
    <col min="1539" max="1539" width="9.25" style="42" bestFit="1" customWidth="1"/>
    <col min="1540" max="1540" width="2.75" style="42" customWidth="1"/>
    <col min="1541" max="1541" width="26.625" style="42" customWidth="1"/>
    <col min="1542" max="1542" width="9.25" style="42" bestFit="1" customWidth="1"/>
    <col min="1543" max="1543" width="9" style="42" customWidth="1"/>
    <col min="1544" max="1544" width="8.25" style="42" customWidth="1"/>
    <col min="1545" max="1545" width="9.25" style="42" bestFit="1" customWidth="1"/>
    <col min="1546" max="1546" width="2.75" style="42" customWidth="1"/>
    <col min="1547" max="1547" width="26.625" style="42" customWidth="1"/>
    <col min="1548" max="1548" width="9.25" style="42" bestFit="1" customWidth="1"/>
    <col min="1549" max="1549" width="9" style="42" customWidth="1"/>
    <col min="1550" max="1550" width="8.25" style="42" customWidth="1"/>
    <col min="1551" max="1551" width="9.25" style="42" bestFit="1" customWidth="1"/>
    <col min="1552" max="1552" width="2.75" style="42" customWidth="1"/>
    <col min="1553" max="1557" width="0" style="42" hidden="1" customWidth="1"/>
    <col min="1558" max="1558" width="2.5" style="42" customWidth="1"/>
    <col min="1559" max="1559" width="6" style="42" bestFit="1" customWidth="1"/>
    <col min="1560" max="1560" width="21.125" style="42" customWidth="1"/>
    <col min="1561" max="1561" width="11" style="42" customWidth="1"/>
    <col min="1562" max="1562" width="15" style="42" customWidth="1"/>
    <col min="1563" max="1563" width="6.625" style="42" customWidth="1"/>
    <col min="1564" max="1565" width="7.375" style="42" customWidth="1"/>
    <col min="1566" max="1566" width="7.25" style="42" customWidth="1"/>
    <col min="1567" max="1784" width="8.25" style="42"/>
    <col min="1785" max="1785" width="27.75" style="42" customWidth="1"/>
    <col min="1786" max="1786" width="9.25" style="42" bestFit="1" customWidth="1"/>
    <col min="1787" max="1787" width="9" style="42" customWidth="1"/>
    <col min="1788" max="1788" width="8.25" style="42" customWidth="1"/>
    <col min="1789" max="1789" width="10.25" style="42" bestFit="1" customWidth="1"/>
    <col min="1790" max="1790" width="1.75" style="42" customWidth="1"/>
    <col min="1791" max="1791" width="27.75" style="42" customWidth="1"/>
    <col min="1792" max="1792" width="9.25" style="42" bestFit="1" customWidth="1"/>
    <col min="1793" max="1793" width="9" style="42" customWidth="1"/>
    <col min="1794" max="1794" width="8.25" style="42" customWidth="1"/>
    <col min="1795" max="1795" width="9.25" style="42" bestFit="1" customWidth="1"/>
    <col min="1796" max="1796" width="2.75" style="42" customWidth="1"/>
    <col min="1797" max="1797" width="26.625" style="42" customWidth="1"/>
    <col min="1798" max="1798" width="9.25" style="42" bestFit="1" customWidth="1"/>
    <col min="1799" max="1799" width="9" style="42" customWidth="1"/>
    <col min="1800" max="1800" width="8.25" style="42" customWidth="1"/>
    <col min="1801" max="1801" width="9.25" style="42" bestFit="1" customWidth="1"/>
    <col min="1802" max="1802" width="2.75" style="42" customWidth="1"/>
    <col min="1803" max="1803" width="26.625" style="42" customWidth="1"/>
    <col min="1804" max="1804" width="9.25" style="42" bestFit="1" customWidth="1"/>
    <col min="1805" max="1805" width="9" style="42" customWidth="1"/>
    <col min="1806" max="1806" width="8.25" style="42" customWidth="1"/>
    <col min="1807" max="1807" width="9.25" style="42" bestFit="1" customWidth="1"/>
    <col min="1808" max="1808" width="2.75" style="42" customWidth="1"/>
    <col min="1809" max="1813" width="0" style="42" hidden="1" customWidth="1"/>
    <col min="1814" max="1814" width="2.5" style="42" customWidth="1"/>
    <col min="1815" max="1815" width="6" style="42" bestFit="1" customWidth="1"/>
    <col min="1816" max="1816" width="21.125" style="42" customWidth="1"/>
    <col min="1817" max="1817" width="11" style="42" customWidth="1"/>
    <col min="1818" max="1818" width="15" style="42" customWidth="1"/>
    <col min="1819" max="1819" width="6.625" style="42" customWidth="1"/>
    <col min="1820" max="1821" width="7.375" style="42" customWidth="1"/>
    <col min="1822" max="1822" width="7.25" style="42" customWidth="1"/>
    <col min="1823" max="2040" width="8.25" style="42"/>
    <col min="2041" max="2041" width="27.75" style="42" customWidth="1"/>
    <col min="2042" max="2042" width="9.25" style="42" bestFit="1" customWidth="1"/>
    <col min="2043" max="2043" width="9" style="42" customWidth="1"/>
    <col min="2044" max="2044" width="8.25" style="42" customWidth="1"/>
    <col min="2045" max="2045" width="10.25" style="42" bestFit="1" customWidth="1"/>
    <col min="2046" max="2046" width="1.75" style="42" customWidth="1"/>
    <col min="2047" max="2047" width="27.75" style="42" customWidth="1"/>
    <col min="2048" max="2048" width="9.25" style="42" bestFit="1" customWidth="1"/>
    <col min="2049" max="2049" width="9" style="42" customWidth="1"/>
    <col min="2050" max="2050" width="8.25" style="42" customWidth="1"/>
    <col min="2051" max="2051" width="9.25" style="42" bestFit="1" customWidth="1"/>
    <col min="2052" max="2052" width="2.75" style="42" customWidth="1"/>
    <col min="2053" max="2053" width="26.625" style="42" customWidth="1"/>
    <col min="2054" max="2054" width="9.25" style="42" bestFit="1" customWidth="1"/>
    <col min="2055" max="2055" width="9" style="42" customWidth="1"/>
    <col min="2056" max="2056" width="8.25" style="42" customWidth="1"/>
    <col min="2057" max="2057" width="9.25" style="42" bestFit="1" customWidth="1"/>
    <col min="2058" max="2058" width="2.75" style="42" customWidth="1"/>
    <col min="2059" max="2059" width="26.625" style="42" customWidth="1"/>
    <col min="2060" max="2060" width="9.25" style="42" bestFit="1" customWidth="1"/>
    <col min="2061" max="2061" width="9" style="42" customWidth="1"/>
    <col min="2062" max="2062" width="8.25" style="42" customWidth="1"/>
    <col min="2063" max="2063" width="9.25" style="42" bestFit="1" customWidth="1"/>
    <col min="2064" max="2064" width="2.75" style="42" customWidth="1"/>
    <col min="2065" max="2069" width="0" style="42" hidden="1" customWidth="1"/>
    <col min="2070" max="2070" width="2.5" style="42" customWidth="1"/>
    <col min="2071" max="2071" width="6" style="42" bestFit="1" customWidth="1"/>
    <col min="2072" max="2072" width="21.125" style="42" customWidth="1"/>
    <col min="2073" max="2073" width="11" style="42" customWidth="1"/>
    <col min="2074" max="2074" width="15" style="42" customWidth="1"/>
    <col min="2075" max="2075" width="6.625" style="42" customWidth="1"/>
    <col min="2076" max="2077" width="7.375" style="42" customWidth="1"/>
    <col min="2078" max="2078" width="7.25" style="42" customWidth="1"/>
    <col min="2079" max="2296" width="8.25" style="42"/>
    <col min="2297" max="2297" width="27.75" style="42" customWidth="1"/>
    <col min="2298" max="2298" width="9.25" style="42" bestFit="1" customWidth="1"/>
    <col min="2299" max="2299" width="9" style="42" customWidth="1"/>
    <col min="2300" max="2300" width="8.25" style="42" customWidth="1"/>
    <col min="2301" max="2301" width="10.25" style="42" bestFit="1" customWidth="1"/>
    <col min="2302" max="2302" width="1.75" style="42" customWidth="1"/>
    <col min="2303" max="2303" width="27.75" style="42" customWidth="1"/>
    <col min="2304" max="2304" width="9.25" style="42" bestFit="1" customWidth="1"/>
    <col min="2305" max="2305" width="9" style="42" customWidth="1"/>
    <col min="2306" max="2306" width="8.25" style="42" customWidth="1"/>
    <col min="2307" max="2307" width="9.25" style="42" bestFit="1" customWidth="1"/>
    <col min="2308" max="2308" width="2.75" style="42" customWidth="1"/>
    <col min="2309" max="2309" width="26.625" style="42" customWidth="1"/>
    <col min="2310" max="2310" width="9.25" style="42" bestFit="1" customWidth="1"/>
    <col min="2311" max="2311" width="9" style="42" customWidth="1"/>
    <col min="2312" max="2312" width="8.25" style="42" customWidth="1"/>
    <col min="2313" max="2313" width="9.25" style="42" bestFit="1" customWidth="1"/>
    <col min="2314" max="2314" width="2.75" style="42" customWidth="1"/>
    <col min="2315" max="2315" width="26.625" style="42" customWidth="1"/>
    <col min="2316" max="2316" width="9.25" style="42" bestFit="1" customWidth="1"/>
    <col min="2317" max="2317" width="9" style="42" customWidth="1"/>
    <col min="2318" max="2318" width="8.25" style="42" customWidth="1"/>
    <col min="2319" max="2319" width="9.25" style="42" bestFit="1" customWidth="1"/>
    <col min="2320" max="2320" width="2.75" style="42" customWidth="1"/>
    <col min="2321" max="2325" width="0" style="42" hidden="1" customWidth="1"/>
    <col min="2326" max="2326" width="2.5" style="42" customWidth="1"/>
    <col min="2327" max="2327" width="6" style="42" bestFit="1" customWidth="1"/>
    <col min="2328" max="2328" width="21.125" style="42" customWidth="1"/>
    <col min="2329" max="2329" width="11" style="42" customWidth="1"/>
    <col min="2330" max="2330" width="15" style="42" customWidth="1"/>
    <col min="2331" max="2331" width="6.625" style="42" customWidth="1"/>
    <col min="2332" max="2333" width="7.375" style="42" customWidth="1"/>
    <col min="2334" max="2334" width="7.25" style="42" customWidth="1"/>
    <col min="2335" max="2552" width="8.25" style="42"/>
    <col min="2553" max="2553" width="27.75" style="42" customWidth="1"/>
    <col min="2554" max="2554" width="9.25" style="42" bestFit="1" customWidth="1"/>
    <col min="2555" max="2555" width="9" style="42" customWidth="1"/>
    <col min="2556" max="2556" width="8.25" style="42" customWidth="1"/>
    <col min="2557" max="2557" width="10.25" style="42" bestFit="1" customWidth="1"/>
    <col min="2558" max="2558" width="1.75" style="42" customWidth="1"/>
    <col min="2559" max="2559" width="27.75" style="42" customWidth="1"/>
    <col min="2560" max="2560" width="9.25" style="42" bestFit="1" customWidth="1"/>
    <col min="2561" max="2561" width="9" style="42" customWidth="1"/>
    <col min="2562" max="2562" width="8.25" style="42" customWidth="1"/>
    <col min="2563" max="2563" width="9.25" style="42" bestFit="1" customWidth="1"/>
    <col min="2564" max="2564" width="2.75" style="42" customWidth="1"/>
    <col min="2565" max="2565" width="26.625" style="42" customWidth="1"/>
    <col min="2566" max="2566" width="9.25" style="42" bestFit="1" customWidth="1"/>
    <col min="2567" max="2567" width="9" style="42" customWidth="1"/>
    <col min="2568" max="2568" width="8.25" style="42" customWidth="1"/>
    <col min="2569" max="2569" width="9.25" style="42" bestFit="1" customWidth="1"/>
    <col min="2570" max="2570" width="2.75" style="42" customWidth="1"/>
    <col min="2571" max="2571" width="26.625" style="42" customWidth="1"/>
    <col min="2572" max="2572" width="9.25" style="42" bestFit="1" customWidth="1"/>
    <col min="2573" max="2573" width="9" style="42" customWidth="1"/>
    <col min="2574" max="2574" width="8.25" style="42" customWidth="1"/>
    <col min="2575" max="2575" width="9.25" style="42" bestFit="1" customWidth="1"/>
    <col min="2576" max="2576" width="2.75" style="42" customWidth="1"/>
    <col min="2577" max="2581" width="0" style="42" hidden="1" customWidth="1"/>
    <col min="2582" max="2582" width="2.5" style="42" customWidth="1"/>
    <col min="2583" max="2583" width="6" style="42" bestFit="1" customWidth="1"/>
    <col min="2584" max="2584" width="21.125" style="42" customWidth="1"/>
    <col min="2585" max="2585" width="11" style="42" customWidth="1"/>
    <col min="2586" max="2586" width="15" style="42" customWidth="1"/>
    <col min="2587" max="2587" width="6.625" style="42" customWidth="1"/>
    <col min="2588" max="2589" width="7.375" style="42" customWidth="1"/>
    <col min="2590" max="2590" width="7.25" style="42" customWidth="1"/>
    <col min="2591" max="2808" width="8.25" style="42"/>
    <col min="2809" max="2809" width="27.75" style="42" customWidth="1"/>
    <col min="2810" max="2810" width="9.25" style="42" bestFit="1" customWidth="1"/>
    <col min="2811" max="2811" width="9" style="42" customWidth="1"/>
    <col min="2812" max="2812" width="8.25" style="42" customWidth="1"/>
    <col min="2813" max="2813" width="10.25" style="42" bestFit="1" customWidth="1"/>
    <col min="2814" max="2814" width="1.75" style="42" customWidth="1"/>
    <col min="2815" max="2815" width="27.75" style="42" customWidth="1"/>
    <col min="2816" max="2816" width="9.25" style="42" bestFit="1" customWidth="1"/>
    <col min="2817" max="2817" width="9" style="42" customWidth="1"/>
    <col min="2818" max="2818" width="8.25" style="42" customWidth="1"/>
    <col min="2819" max="2819" width="9.25" style="42" bestFit="1" customWidth="1"/>
    <col min="2820" max="2820" width="2.75" style="42" customWidth="1"/>
    <col min="2821" max="2821" width="26.625" style="42" customWidth="1"/>
    <col min="2822" max="2822" width="9.25" style="42" bestFit="1" customWidth="1"/>
    <col min="2823" max="2823" width="9" style="42" customWidth="1"/>
    <col min="2824" max="2824" width="8.25" style="42" customWidth="1"/>
    <col min="2825" max="2825" width="9.25" style="42" bestFit="1" customWidth="1"/>
    <col min="2826" max="2826" width="2.75" style="42" customWidth="1"/>
    <col min="2827" max="2827" width="26.625" style="42" customWidth="1"/>
    <col min="2828" max="2828" width="9.25" style="42" bestFit="1" customWidth="1"/>
    <col min="2829" max="2829" width="9" style="42" customWidth="1"/>
    <col min="2830" max="2830" width="8.25" style="42" customWidth="1"/>
    <col min="2831" max="2831" width="9.25" style="42" bestFit="1" customWidth="1"/>
    <col min="2832" max="2832" width="2.75" style="42" customWidth="1"/>
    <col min="2833" max="2837" width="0" style="42" hidden="1" customWidth="1"/>
    <col min="2838" max="2838" width="2.5" style="42" customWidth="1"/>
    <col min="2839" max="2839" width="6" style="42" bestFit="1" customWidth="1"/>
    <col min="2840" max="2840" width="21.125" style="42" customWidth="1"/>
    <col min="2841" max="2841" width="11" style="42" customWidth="1"/>
    <col min="2842" max="2842" width="15" style="42" customWidth="1"/>
    <col min="2843" max="2843" width="6.625" style="42" customWidth="1"/>
    <col min="2844" max="2845" width="7.375" style="42" customWidth="1"/>
    <col min="2846" max="2846" width="7.25" style="42" customWidth="1"/>
    <col min="2847" max="3064" width="8.25" style="42"/>
    <col min="3065" max="3065" width="27.75" style="42" customWidth="1"/>
    <col min="3066" max="3066" width="9.25" style="42" bestFit="1" customWidth="1"/>
    <col min="3067" max="3067" width="9" style="42" customWidth="1"/>
    <col min="3068" max="3068" width="8.25" style="42" customWidth="1"/>
    <col min="3069" max="3069" width="10.25" style="42" bestFit="1" customWidth="1"/>
    <col min="3070" max="3070" width="1.75" style="42" customWidth="1"/>
    <col min="3071" max="3071" width="27.75" style="42" customWidth="1"/>
    <col min="3072" max="3072" width="9.25" style="42" bestFit="1" customWidth="1"/>
    <col min="3073" max="3073" width="9" style="42" customWidth="1"/>
    <col min="3074" max="3074" width="8.25" style="42" customWidth="1"/>
    <col min="3075" max="3075" width="9.25" style="42" bestFit="1" customWidth="1"/>
    <col min="3076" max="3076" width="2.75" style="42" customWidth="1"/>
    <col min="3077" max="3077" width="26.625" style="42" customWidth="1"/>
    <col min="3078" max="3078" width="9.25" style="42" bestFit="1" customWidth="1"/>
    <col min="3079" max="3079" width="9" style="42" customWidth="1"/>
    <col min="3080" max="3080" width="8.25" style="42" customWidth="1"/>
    <col min="3081" max="3081" width="9.25" style="42" bestFit="1" customWidth="1"/>
    <col min="3082" max="3082" width="2.75" style="42" customWidth="1"/>
    <col min="3083" max="3083" width="26.625" style="42" customWidth="1"/>
    <col min="3084" max="3084" width="9.25" style="42" bestFit="1" customWidth="1"/>
    <col min="3085" max="3085" width="9" style="42" customWidth="1"/>
    <col min="3086" max="3086" width="8.25" style="42" customWidth="1"/>
    <col min="3087" max="3087" width="9.25" style="42" bestFit="1" customWidth="1"/>
    <col min="3088" max="3088" width="2.75" style="42" customWidth="1"/>
    <col min="3089" max="3093" width="0" style="42" hidden="1" customWidth="1"/>
    <col min="3094" max="3094" width="2.5" style="42" customWidth="1"/>
    <col min="3095" max="3095" width="6" style="42" bestFit="1" customWidth="1"/>
    <col min="3096" max="3096" width="21.125" style="42" customWidth="1"/>
    <col min="3097" max="3097" width="11" style="42" customWidth="1"/>
    <col min="3098" max="3098" width="15" style="42" customWidth="1"/>
    <col min="3099" max="3099" width="6.625" style="42" customWidth="1"/>
    <col min="3100" max="3101" width="7.375" style="42" customWidth="1"/>
    <col min="3102" max="3102" width="7.25" style="42" customWidth="1"/>
    <col min="3103" max="3320" width="8.25" style="42"/>
    <col min="3321" max="3321" width="27.75" style="42" customWidth="1"/>
    <col min="3322" max="3322" width="9.25" style="42" bestFit="1" customWidth="1"/>
    <col min="3323" max="3323" width="9" style="42" customWidth="1"/>
    <col min="3324" max="3324" width="8.25" style="42" customWidth="1"/>
    <col min="3325" max="3325" width="10.25" style="42" bestFit="1" customWidth="1"/>
    <col min="3326" max="3326" width="1.75" style="42" customWidth="1"/>
    <col min="3327" max="3327" width="27.75" style="42" customWidth="1"/>
    <col min="3328" max="3328" width="9.25" style="42" bestFit="1" customWidth="1"/>
    <col min="3329" max="3329" width="9" style="42" customWidth="1"/>
    <col min="3330" max="3330" width="8.25" style="42" customWidth="1"/>
    <col min="3331" max="3331" width="9.25" style="42" bestFit="1" customWidth="1"/>
    <col min="3332" max="3332" width="2.75" style="42" customWidth="1"/>
    <col min="3333" max="3333" width="26.625" style="42" customWidth="1"/>
    <col min="3334" max="3334" width="9.25" style="42" bestFit="1" customWidth="1"/>
    <col min="3335" max="3335" width="9" style="42" customWidth="1"/>
    <col min="3336" max="3336" width="8.25" style="42" customWidth="1"/>
    <col min="3337" max="3337" width="9.25" style="42" bestFit="1" customWidth="1"/>
    <col min="3338" max="3338" width="2.75" style="42" customWidth="1"/>
    <col min="3339" max="3339" width="26.625" style="42" customWidth="1"/>
    <col min="3340" max="3340" width="9.25" style="42" bestFit="1" customWidth="1"/>
    <col min="3341" max="3341" width="9" style="42" customWidth="1"/>
    <col min="3342" max="3342" width="8.25" style="42" customWidth="1"/>
    <col min="3343" max="3343" width="9.25" style="42" bestFit="1" customWidth="1"/>
    <col min="3344" max="3344" width="2.75" style="42" customWidth="1"/>
    <col min="3345" max="3349" width="0" style="42" hidden="1" customWidth="1"/>
    <col min="3350" max="3350" width="2.5" style="42" customWidth="1"/>
    <col min="3351" max="3351" width="6" style="42" bestFit="1" customWidth="1"/>
    <col min="3352" max="3352" width="21.125" style="42" customWidth="1"/>
    <col min="3353" max="3353" width="11" style="42" customWidth="1"/>
    <col min="3354" max="3354" width="15" style="42" customWidth="1"/>
    <col min="3355" max="3355" width="6.625" style="42" customWidth="1"/>
    <col min="3356" max="3357" width="7.375" style="42" customWidth="1"/>
    <col min="3358" max="3358" width="7.25" style="42" customWidth="1"/>
    <col min="3359" max="3576" width="8.25" style="42"/>
    <col min="3577" max="3577" width="27.75" style="42" customWidth="1"/>
    <col min="3578" max="3578" width="9.25" style="42" bestFit="1" customWidth="1"/>
    <col min="3579" max="3579" width="9" style="42" customWidth="1"/>
    <col min="3580" max="3580" width="8.25" style="42" customWidth="1"/>
    <col min="3581" max="3581" width="10.25" style="42" bestFit="1" customWidth="1"/>
    <col min="3582" max="3582" width="1.75" style="42" customWidth="1"/>
    <col min="3583" max="3583" width="27.75" style="42" customWidth="1"/>
    <col min="3584" max="3584" width="9.25" style="42" bestFit="1" customWidth="1"/>
    <col min="3585" max="3585" width="9" style="42" customWidth="1"/>
    <col min="3586" max="3586" width="8.25" style="42" customWidth="1"/>
    <col min="3587" max="3587" width="9.25" style="42" bestFit="1" customWidth="1"/>
    <col min="3588" max="3588" width="2.75" style="42" customWidth="1"/>
    <col min="3589" max="3589" width="26.625" style="42" customWidth="1"/>
    <col min="3590" max="3590" width="9.25" style="42" bestFit="1" customWidth="1"/>
    <col min="3591" max="3591" width="9" style="42" customWidth="1"/>
    <col min="3592" max="3592" width="8.25" style="42" customWidth="1"/>
    <col min="3593" max="3593" width="9.25" style="42" bestFit="1" customWidth="1"/>
    <col min="3594" max="3594" width="2.75" style="42" customWidth="1"/>
    <col min="3595" max="3595" width="26.625" style="42" customWidth="1"/>
    <col min="3596" max="3596" width="9.25" style="42" bestFit="1" customWidth="1"/>
    <col min="3597" max="3597" width="9" style="42" customWidth="1"/>
    <col min="3598" max="3598" width="8.25" style="42" customWidth="1"/>
    <col min="3599" max="3599" width="9.25" style="42" bestFit="1" customWidth="1"/>
    <col min="3600" max="3600" width="2.75" style="42" customWidth="1"/>
    <col min="3601" max="3605" width="0" style="42" hidden="1" customWidth="1"/>
    <col min="3606" max="3606" width="2.5" style="42" customWidth="1"/>
    <col min="3607" max="3607" width="6" style="42" bestFit="1" customWidth="1"/>
    <col min="3608" max="3608" width="21.125" style="42" customWidth="1"/>
    <col min="3609" max="3609" width="11" style="42" customWidth="1"/>
    <col min="3610" max="3610" width="15" style="42" customWidth="1"/>
    <col min="3611" max="3611" width="6.625" style="42" customWidth="1"/>
    <col min="3612" max="3613" width="7.375" style="42" customWidth="1"/>
    <col min="3614" max="3614" width="7.25" style="42" customWidth="1"/>
    <col min="3615" max="3832" width="8.25" style="42"/>
    <col min="3833" max="3833" width="27.75" style="42" customWidth="1"/>
    <col min="3834" max="3834" width="9.25" style="42" bestFit="1" customWidth="1"/>
    <col min="3835" max="3835" width="9" style="42" customWidth="1"/>
    <col min="3836" max="3836" width="8.25" style="42" customWidth="1"/>
    <col min="3837" max="3837" width="10.25" style="42" bestFit="1" customWidth="1"/>
    <col min="3838" max="3838" width="1.75" style="42" customWidth="1"/>
    <col min="3839" max="3839" width="27.75" style="42" customWidth="1"/>
    <col min="3840" max="3840" width="9.25" style="42" bestFit="1" customWidth="1"/>
    <col min="3841" max="3841" width="9" style="42" customWidth="1"/>
    <col min="3842" max="3842" width="8.25" style="42" customWidth="1"/>
    <col min="3843" max="3843" width="9.25" style="42" bestFit="1" customWidth="1"/>
    <col min="3844" max="3844" width="2.75" style="42" customWidth="1"/>
    <col min="3845" max="3845" width="26.625" style="42" customWidth="1"/>
    <col min="3846" max="3846" width="9.25" style="42" bestFit="1" customWidth="1"/>
    <col min="3847" max="3847" width="9" style="42" customWidth="1"/>
    <col min="3848" max="3848" width="8.25" style="42" customWidth="1"/>
    <col min="3849" max="3849" width="9.25" style="42" bestFit="1" customWidth="1"/>
    <col min="3850" max="3850" width="2.75" style="42" customWidth="1"/>
    <col min="3851" max="3851" width="26.625" style="42" customWidth="1"/>
    <col min="3852" max="3852" width="9.25" style="42" bestFit="1" customWidth="1"/>
    <col min="3853" max="3853" width="9" style="42" customWidth="1"/>
    <col min="3854" max="3854" width="8.25" style="42" customWidth="1"/>
    <col min="3855" max="3855" width="9.25" style="42" bestFit="1" customWidth="1"/>
    <col min="3856" max="3856" width="2.75" style="42" customWidth="1"/>
    <col min="3857" max="3861" width="0" style="42" hidden="1" customWidth="1"/>
    <col min="3862" max="3862" width="2.5" style="42" customWidth="1"/>
    <col min="3863" max="3863" width="6" style="42" bestFit="1" customWidth="1"/>
    <col min="3864" max="3864" width="21.125" style="42" customWidth="1"/>
    <col min="3865" max="3865" width="11" style="42" customWidth="1"/>
    <col min="3866" max="3866" width="15" style="42" customWidth="1"/>
    <col min="3867" max="3867" width="6.625" style="42" customWidth="1"/>
    <col min="3868" max="3869" width="7.375" style="42" customWidth="1"/>
    <col min="3870" max="3870" width="7.25" style="42" customWidth="1"/>
    <col min="3871" max="4088" width="8.25" style="42"/>
    <col min="4089" max="4089" width="27.75" style="42" customWidth="1"/>
    <col min="4090" max="4090" width="9.25" style="42" bestFit="1" customWidth="1"/>
    <col min="4091" max="4091" width="9" style="42" customWidth="1"/>
    <col min="4092" max="4092" width="8.25" style="42" customWidth="1"/>
    <col min="4093" max="4093" width="10.25" style="42" bestFit="1" customWidth="1"/>
    <col min="4094" max="4094" width="1.75" style="42" customWidth="1"/>
    <col min="4095" max="4095" width="27.75" style="42" customWidth="1"/>
    <col min="4096" max="4096" width="9.25" style="42" bestFit="1" customWidth="1"/>
    <col min="4097" max="4097" width="9" style="42" customWidth="1"/>
    <col min="4098" max="4098" width="8.25" style="42" customWidth="1"/>
    <col min="4099" max="4099" width="9.25" style="42" bestFit="1" customWidth="1"/>
    <col min="4100" max="4100" width="2.75" style="42" customWidth="1"/>
    <col min="4101" max="4101" width="26.625" style="42" customWidth="1"/>
    <col min="4102" max="4102" width="9.25" style="42" bestFit="1" customWidth="1"/>
    <col min="4103" max="4103" width="9" style="42" customWidth="1"/>
    <col min="4104" max="4104" width="8.25" style="42" customWidth="1"/>
    <col min="4105" max="4105" width="9.25" style="42" bestFit="1" customWidth="1"/>
    <col min="4106" max="4106" width="2.75" style="42" customWidth="1"/>
    <col min="4107" max="4107" width="26.625" style="42" customWidth="1"/>
    <col min="4108" max="4108" width="9.25" style="42" bestFit="1" customWidth="1"/>
    <col min="4109" max="4109" width="9" style="42" customWidth="1"/>
    <col min="4110" max="4110" width="8.25" style="42" customWidth="1"/>
    <col min="4111" max="4111" width="9.25" style="42" bestFit="1" customWidth="1"/>
    <col min="4112" max="4112" width="2.75" style="42" customWidth="1"/>
    <col min="4113" max="4117" width="0" style="42" hidden="1" customWidth="1"/>
    <col min="4118" max="4118" width="2.5" style="42" customWidth="1"/>
    <col min="4119" max="4119" width="6" style="42" bestFit="1" customWidth="1"/>
    <col min="4120" max="4120" width="21.125" style="42" customWidth="1"/>
    <col min="4121" max="4121" width="11" style="42" customWidth="1"/>
    <col min="4122" max="4122" width="15" style="42" customWidth="1"/>
    <col min="4123" max="4123" width="6.625" style="42" customWidth="1"/>
    <col min="4124" max="4125" width="7.375" style="42" customWidth="1"/>
    <col min="4126" max="4126" width="7.25" style="42" customWidth="1"/>
    <col min="4127" max="4344" width="8.25" style="42"/>
    <col min="4345" max="4345" width="27.75" style="42" customWidth="1"/>
    <col min="4346" max="4346" width="9.25" style="42" bestFit="1" customWidth="1"/>
    <col min="4347" max="4347" width="9" style="42" customWidth="1"/>
    <col min="4348" max="4348" width="8.25" style="42" customWidth="1"/>
    <col min="4349" max="4349" width="10.25" style="42" bestFit="1" customWidth="1"/>
    <col min="4350" max="4350" width="1.75" style="42" customWidth="1"/>
    <col min="4351" max="4351" width="27.75" style="42" customWidth="1"/>
    <col min="4352" max="4352" width="9.25" style="42" bestFit="1" customWidth="1"/>
    <col min="4353" max="4353" width="9" style="42" customWidth="1"/>
    <col min="4354" max="4354" width="8.25" style="42" customWidth="1"/>
    <col min="4355" max="4355" width="9.25" style="42" bestFit="1" customWidth="1"/>
    <col min="4356" max="4356" width="2.75" style="42" customWidth="1"/>
    <col min="4357" max="4357" width="26.625" style="42" customWidth="1"/>
    <col min="4358" max="4358" width="9.25" style="42" bestFit="1" customWidth="1"/>
    <col min="4359" max="4359" width="9" style="42" customWidth="1"/>
    <col min="4360" max="4360" width="8.25" style="42" customWidth="1"/>
    <col min="4361" max="4361" width="9.25" style="42" bestFit="1" customWidth="1"/>
    <col min="4362" max="4362" width="2.75" style="42" customWidth="1"/>
    <col min="4363" max="4363" width="26.625" style="42" customWidth="1"/>
    <col min="4364" max="4364" width="9.25" style="42" bestFit="1" customWidth="1"/>
    <col min="4365" max="4365" width="9" style="42" customWidth="1"/>
    <col min="4366" max="4366" width="8.25" style="42" customWidth="1"/>
    <col min="4367" max="4367" width="9.25" style="42" bestFit="1" customWidth="1"/>
    <col min="4368" max="4368" width="2.75" style="42" customWidth="1"/>
    <col min="4369" max="4373" width="0" style="42" hidden="1" customWidth="1"/>
    <col min="4374" max="4374" width="2.5" style="42" customWidth="1"/>
    <col min="4375" max="4375" width="6" style="42" bestFit="1" customWidth="1"/>
    <col min="4376" max="4376" width="21.125" style="42" customWidth="1"/>
    <col min="4377" max="4377" width="11" style="42" customWidth="1"/>
    <col min="4378" max="4378" width="15" style="42" customWidth="1"/>
    <col min="4379" max="4379" width="6.625" style="42" customWidth="1"/>
    <col min="4380" max="4381" width="7.375" style="42" customWidth="1"/>
    <col min="4382" max="4382" width="7.25" style="42" customWidth="1"/>
    <col min="4383" max="4600" width="8.25" style="42"/>
    <col min="4601" max="4601" width="27.75" style="42" customWidth="1"/>
    <col min="4602" max="4602" width="9.25" style="42" bestFit="1" customWidth="1"/>
    <col min="4603" max="4603" width="9" style="42" customWidth="1"/>
    <col min="4604" max="4604" width="8.25" style="42" customWidth="1"/>
    <col min="4605" max="4605" width="10.25" style="42" bestFit="1" customWidth="1"/>
    <col min="4606" max="4606" width="1.75" style="42" customWidth="1"/>
    <col min="4607" max="4607" width="27.75" style="42" customWidth="1"/>
    <col min="4608" max="4608" width="9.25" style="42" bestFit="1" customWidth="1"/>
    <col min="4609" max="4609" width="9" style="42" customWidth="1"/>
    <col min="4610" max="4610" width="8.25" style="42" customWidth="1"/>
    <col min="4611" max="4611" width="9.25" style="42" bestFit="1" customWidth="1"/>
    <col min="4612" max="4612" width="2.75" style="42" customWidth="1"/>
    <col min="4613" max="4613" width="26.625" style="42" customWidth="1"/>
    <col min="4614" max="4614" width="9.25" style="42" bestFit="1" customWidth="1"/>
    <col min="4615" max="4615" width="9" style="42" customWidth="1"/>
    <col min="4616" max="4616" width="8.25" style="42" customWidth="1"/>
    <col min="4617" max="4617" width="9.25" style="42" bestFit="1" customWidth="1"/>
    <col min="4618" max="4618" width="2.75" style="42" customWidth="1"/>
    <col min="4619" max="4619" width="26.625" style="42" customWidth="1"/>
    <col min="4620" max="4620" width="9.25" style="42" bestFit="1" customWidth="1"/>
    <col min="4621" max="4621" width="9" style="42" customWidth="1"/>
    <col min="4622" max="4622" width="8.25" style="42" customWidth="1"/>
    <col min="4623" max="4623" width="9.25" style="42" bestFit="1" customWidth="1"/>
    <col min="4624" max="4624" width="2.75" style="42" customWidth="1"/>
    <col min="4625" max="4629" width="0" style="42" hidden="1" customWidth="1"/>
    <col min="4630" max="4630" width="2.5" style="42" customWidth="1"/>
    <col min="4631" max="4631" width="6" style="42" bestFit="1" customWidth="1"/>
    <col min="4632" max="4632" width="21.125" style="42" customWidth="1"/>
    <col min="4633" max="4633" width="11" style="42" customWidth="1"/>
    <col min="4634" max="4634" width="15" style="42" customWidth="1"/>
    <col min="4635" max="4635" width="6.625" style="42" customWidth="1"/>
    <col min="4636" max="4637" width="7.375" style="42" customWidth="1"/>
    <col min="4638" max="4638" width="7.25" style="42" customWidth="1"/>
    <col min="4639" max="4856" width="8.25" style="42"/>
    <col min="4857" max="4857" width="27.75" style="42" customWidth="1"/>
    <col min="4858" max="4858" width="9.25" style="42" bestFit="1" customWidth="1"/>
    <col min="4859" max="4859" width="9" style="42" customWidth="1"/>
    <col min="4860" max="4860" width="8.25" style="42" customWidth="1"/>
    <col min="4861" max="4861" width="10.25" style="42" bestFit="1" customWidth="1"/>
    <col min="4862" max="4862" width="1.75" style="42" customWidth="1"/>
    <col min="4863" max="4863" width="27.75" style="42" customWidth="1"/>
    <col min="4864" max="4864" width="9.25" style="42" bestFit="1" customWidth="1"/>
    <col min="4865" max="4865" width="9" style="42" customWidth="1"/>
    <col min="4866" max="4866" width="8.25" style="42" customWidth="1"/>
    <col min="4867" max="4867" width="9.25" style="42" bestFit="1" customWidth="1"/>
    <col min="4868" max="4868" width="2.75" style="42" customWidth="1"/>
    <col min="4869" max="4869" width="26.625" style="42" customWidth="1"/>
    <col min="4870" max="4870" width="9.25" style="42" bestFit="1" customWidth="1"/>
    <col min="4871" max="4871" width="9" style="42" customWidth="1"/>
    <col min="4872" max="4872" width="8.25" style="42" customWidth="1"/>
    <col min="4873" max="4873" width="9.25" style="42" bestFit="1" customWidth="1"/>
    <col min="4874" max="4874" width="2.75" style="42" customWidth="1"/>
    <col min="4875" max="4875" width="26.625" style="42" customWidth="1"/>
    <col min="4876" max="4876" width="9.25" style="42" bestFit="1" customWidth="1"/>
    <col min="4877" max="4877" width="9" style="42" customWidth="1"/>
    <col min="4878" max="4878" width="8.25" style="42" customWidth="1"/>
    <col min="4879" max="4879" width="9.25" style="42" bestFit="1" customWidth="1"/>
    <col min="4880" max="4880" width="2.75" style="42" customWidth="1"/>
    <col min="4881" max="4885" width="0" style="42" hidden="1" customWidth="1"/>
    <col min="4886" max="4886" width="2.5" style="42" customWidth="1"/>
    <col min="4887" max="4887" width="6" style="42" bestFit="1" customWidth="1"/>
    <col min="4888" max="4888" width="21.125" style="42" customWidth="1"/>
    <col min="4889" max="4889" width="11" style="42" customWidth="1"/>
    <col min="4890" max="4890" width="15" style="42" customWidth="1"/>
    <col min="4891" max="4891" width="6.625" style="42" customWidth="1"/>
    <col min="4892" max="4893" width="7.375" style="42" customWidth="1"/>
    <col min="4894" max="4894" width="7.25" style="42" customWidth="1"/>
    <col min="4895" max="5112" width="8.25" style="42"/>
    <col min="5113" max="5113" width="27.75" style="42" customWidth="1"/>
    <col min="5114" max="5114" width="9.25" style="42" bestFit="1" customWidth="1"/>
    <col min="5115" max="5115" width="9" style="42" customWidth="1"/>
    <col min="5116" max="5116" width="8.25" style="42" customWidth="1"/>
    <col min="5117" max="5117" width="10.25" style="42" bestFit="1" customWidth="1"/>
    <col min="5118" max="5118" width="1.75" style="42" customWidth="1"/>
    <col min="5119" max="5119" width="27.75" style="42" customWidth="1"/>
    <col min="5120" max="5120" width="9.25" style="42" bestFit="1" customWidth="1"/>
    <col min="5121" max="5121" width="9" style="42" customWidth="1"/>
    <col min="5122" max="5122" width="8.25" style="42" customWidth="1"/>
    <col min="5123" max="5123" width="9.25" style="42" bestFit="1" customWidth="1"/>
    <col min="5124" max="5124" width="2.75" style="42" customWidth="1"/>
    <col min="5125" max="5125" width="26.625" style="42" customWidth="1"/>
    <col min="5126" max="5126" width="9.25" style="42" bestFit="1" customWidth="1"/>
    <col min="5127" max="5127" width="9" style="42" customWidth="1"/>
    <col min="5128" max="5128" width="8.25" style="42" customWidth="1"/>
    <col min="5129" max="5129" width="9.25" style="42" bestFit="1" customWidth="1"/>
    <col min="5130" max="5130" width="2.75" style="42" customWidth="1"/>
    <col min="5131" max="5131" width="26.625" style="42" customWidth="1"/>
    <col min="5132" max="5132" width="9.25" style="42" bestFit="1" customWidth="1"/>
    <col min="5133" max="5133" width="9" style="42" customWidth="1"/>
    <col min="5134" max="5134" width="8.25" style="42" customWidth="1"/>
    <col min="5135" max="5135" width="9.25" style="42" bestFit="1" customWidth="1"/>
    <col min="5136" max="5136" width="2.75" style="42" customWidth="1"/>
    <col min="5137" max="5141" width="0" style="42" hidden="1" customWidth="1"/>
    <col min="5142" max="5142" width="2.5" style="42" customWidth="1"/>
    <col min="5143" max="5143" width="6" style="42" bestFit="1" customWidth="1"/>
    <col min="5144" max="5144" width="21.125" style="42" customWidth="1"/>
    <col min="5145" max="5145" width="11" style="42" customWidth="1"/>
    <col min="5146" max="5146" width="15" style="42" customWidth="1"/>
    <col min="5147" max="5147" width="6.625" style="42" customWidth="1"/>
    <col min="5148" max="5149" width="7.375" style="42" customWidth="1"/>
    <col min="5150" max="5150" width="7.25" style="42" customWidth="1"/>
    <col min="5151" max="5368" width="8.25" style="42"/>
    <col min="5369" max="5369" width="27.75" style="42" customWidth="1"/>
    <col min="5370" max="5370" width="9.25" style="42" bestFit="1" customWidth="1"/>
    <col min="5371" max="5371" width="9" style="42" customWidth="1"/>
    <col min="5372" max="5372" width="8.25" style="42" customWidth="1"/>
    <col min="5373" max="5373" width="10.25" style="42" bestFit="1" customWidth="1"/>
    <col min="5374" max="5374" width="1.75" style="42" customWidth="1"/>
    <col min="5375" max="5375" width="27.75" style="42" customWidth="1"/>
    <col min="5376" max="5376" width="9.25" style="42" bestFit="1" customWidth="1"/>
    <col min="5377" max="5377" width="9" style="42" customWidth="1"/>
    <col min="5378" max="5378" width="8.25" style="42" customWidth="1"/>
    <col min="5379" max="5379" width="9.25" style="42" bestFit="1" customWidth="1"/>
    <col min="5380" max="5380" width="2.75" style="42" customWidth="1"/>
    <col min="5381" max="5381" width="26.625" style="42" customWidth="1"/>
    <col min="5382" max="5382" width="9.25" style="42" bestFit="1" customWidth="1"/>
    <col min="5383" max="5383" width="9" style="42" customWidth="1"/>
    <col min="5384" max="5384" width="8.25" style="42" customWidth="1"/>
    <col min="5385" max="5385" width="9.25" style="42" bestFit="1" customWidth="1"/>
    <col min="5386" max="5386" width="2.75" style="42" customWidth="1"/>
    <col min="5387" max="5387" width="26.625" style="42" customWidth="1"/>
    <col min="5388" max="5388" width="9.25" style="42" bestFit="1" customWidth="1"/>
    <col min="5389" max="5389" width="9" style="42" customWidth="1"/>
    <col min="5390" max="5390" width="8.25" style="42" customWidth="1"/>
    <col min="5391" max="5391" width="9.25" style="42" bestFit="1" customWidth="1"/>
    <col min="5392" max="5392" width="2.75" style="42" customWidth="1"/>
    <col min="5393" max="5397" width="0" style="42" hidden="1" customWidth="1"/>
    <col min="5398" max="5398" width="2.5" style="42" customWidth="1"/>
    <col min="5399" max="5399" width="6" style="42" bestFit="1" customWidth="1"/>
    <col min="5400" max="5400" width="21.125" style="42" customWidth="1"/>
    <col min="5401" max="5401" width="11" style="42" customWidth="1"/>
    <col min="5402" max="5402" width="15" style="42" customWidth="1"/>
    <col min="5403" max="5403" width="6.625" style="42" customWidth="1"/>
    <col min="5404" max="5405" width="7.375" style="42" customWidth="1"/>
    <col min="5406" max="5406" width="7.25" style="42" customWidth="1"/>
    <col min="5407" max="5624" width="8.25" style="42"/>
    <col min="5625" max="5625" width="27.75" style="42" customWidth="1"/>
    <col min="5626" max="5626" width="9.25" style="42" bestFit="1" customWidth="1"/>
    <col min="5627" max="5627" width="9" style="42" customWidth="1"/>
    <col min="5628" max="5628" width="8.25" style="42" customWidth="1"/>
    <col min="5629" max="5629" width="10.25" style="42" bestFit="1" customWidth="1"/>
    <col min="5630" max="5630" width="1.75" style="42" customWidth="1"/>
    <col min="5631" max="5631" width="27.75" style="42" customWidth="1"/>
    <col min="5632" max="5632" width="9.25" style="42" bestFit="1" customWidth="1"/>
    <col min="5633" max="5633" width="9" style="42" customWidth="1"/>
    <col min="5634" max="5634" width="8.25" style="42" customWidth="1"/>
    <col min="5635" max="5635" width="9.25" style="42" bestFit="1" customWidth="1"/>
    <col min="5636" max="5636" width="2.75" style="42" customWidth="1"/>
    <col min="5637" max="5637" width="26.625" style="42" customWidth="1"/>
    <col min="5638" max="5638" width="9.25" style="42" bestFit="1" customWidth="1"/>
    <col min="5639" max="5639" width="9" style="42" customWidth="1"/>
    <col min="5640" max="5640" width="8.25" style="42" customWidth="1"/>
    <col min="5641" max="5641" width="9.25" style="42" bestFit="1" customWidth="1"/>
    <col min="5642" max="5642" width="2.75" style="42" customWidth="1"/>
    <col min="5643" max="5643" width="26.625" style="42" customWidth="1"/>
    <col min="5644" max="5644" width="9.25" style="42" bestFit="1" customWidth="1"/>
    <col min="5645" max="5645" width="9" style="42" customWidth="1"/>
    <col min="5646" max="5646" width="8.25" style="42" customWidth="1"/>
    <col min="5647" max="5647" width="9.25" style="42" bestFit="1" customWidth="1"/>
    <col min="5648" max="5648" width="2.75" style="42" customWidth="1"/>
    <col min="5649" max="5653" width="0" style="42" hidden="1" customWidth="1"/>
    <col min="5654" max="5654" width="2.5" style="42" customWidth="1"/>
    <col min="5655" max="5655" width="6" style="42" bestFit="1" customWidth="1"/>
    <col min="5656" max="5656" width="21.125" style="42" customWidth="1"/>
    <col min="5657" max="5657" width="11" style="42" customWidth="1"/>
    <col min="5658" max="5658" width="15" style="42" customWidth="1"/>
    <col min="5659" max="5659" width="6.625" style="42" customWidth="1"/>
    <col min="5660" max="5661" width="7.375" style="42" customWidth="1"/>
    <col min="5662" max="5662" width="7.25" style="42" customWidth="1"/>
    <col min="5663" max="5880" width="8.25" style="42"/>
    <col min="5881" max="5881" width="27.75" style="42" customWidth="1"/>
    <col min="5882" max="5882" width="9.25" style="42" bestFit="1" customWidth="1"/>
    <col min="5883" max="5883" width="9" style="42" customWidth="1"/>
    <col min="5884" max="5884" width="8.25" style="42" customWidth="1"/>
    <col min="5885" max="5885" width="10.25" style="42" bestFit="1" customWidth="1"/>
    <col min="5886" max="5886" width="1.75" style="42" customWidth="1"/>
    <col min="5887" max="5887" width="27.75" style="42" customWidth="1"/>
    <col min="5888" max="5888" width="9.25" style="42" bestFit="1" customWidth="1"/>
    <col min="5889" max="5889" width="9" style="42" customWidth="1"/>
    <col min="5890" max="5890" width="8.25" style="42" customWidth="1"/>
    <col min="5891" max="5891" width="9.25" style="42" bestFit="1" customWidth="1"/>
    <col min="5892" max="5892" width="2.75" style="42" customWidth="1"/>
    <col min="5893" max="5893" width="26.625" style="42" customWidth="1"/>
    <col min="5894" max="5894" width="9.25" style="42" bestFit="1" customWidth="1"/>
    <col min="5895" max="5895" width="9" style="42" customWidth="1"/>
    <col min="5896" max="5896" width="8.25" style="42" customWidth="1"/>
    <col min="5897" max="5897" width="9.25" style="42" bestFit="1" customWidth="1"/>
    <col min="5898" max="5898" width="2.75" style="42" customWidth="1"/>
    <col min="5899" max="5899" width="26.625" style="42" customWidth="1"/>
    <col min="5900" max="5900" width="9.25" style="42" bestFit="1" customWidth="1"/>
    <col min="5901" max="5901" width="9" style="42" customWidth="1"/>
    <col min="5902" max="5902" width="8.25" style="42" customWidth="1"/>
    <col min="5903" max="5903" width="9.25" style="42" bestFit="1" customWidth="1"/>
    <col min="5904" max="5904" width="2.75" style="42" customWidth="1"/>
    <col min="5905" max="5909" width="0" style="42" hidden="1" customWidth="1"/>
    <col min="5910" max="5910" width="2.5" style="42" customWidth="1"/>
    <col min="5911" max="5911" width="6" style="42" bestFit="1" customWidth="1"/>
    <col min="5912" max="5912" width="21.125" style="42" customWidth="1"/>
    <col min="5913" max="5913" width="11" style="42" customWidth="1"/>
    <col min="5914" max="5914" width="15" style="42" customWidth="1"/>
    <col min="5915" max="5915" width="6.625" style="42" customWidth="1"/>
    <col min="5916" max="5917" width="7.375" style="42" customWidth="1"/>
    <col min="5918" max="5918" width="7.25" style="42" customWidth="1"/>
    <col min="5919" max="6136" width="8.25" style="42"/>
    <col min="6137" max="6137" width="27.75" style="42" customWidth="1"/>
    <col min="6138" max="6138" width="9.25" style="42" bestFit="1" customWidth="1"/>
    <col min="6139" max="6139" width="9" style="42" customWidth="1"/>
    <col min="6140" max="6140" width="8.25" style="42" customWidth="1"/>
    <col min="6141" max="6141" width="10.25" style="42" bestFit="1" customWidth="1"/>
    <col min="6142" max="6142" width="1.75" style="42" customWidth="1"/>
    <col min="6143" max="6143" width="27.75" style="42" customWidth="1"/>
    <col min="6144" max="6144" width="9.25" style="42" bestFit="1" customWidth="1"/>
    <col min="6145" max="6145" width="9" style="42" customWidth="1"/>
    <col min="6146" max="6146" width="8.25" style="42" customWidth="1"/>
    <col min="6147" max="6147" width="9.25" style="42" bestFit="1" customWidth="1"/>
    <col min="6148" max="6148" width="2.75" style="42" customWidth="1"/>
    <col min="6149" max="6149" width="26.625" style="42" customWidth="1"/>
    <col min="6150" max="6150" width="9.25" style="42" bestFit="1" customWidth="1"/>
    <col min="6151" max="6151" width="9" style="42" customWidth="1"/>
    <col min="6152" max="6152" width="8.25" style="42" customWidth="1"/>
    <col min="6153" max="6153" width="9.25" style="42" bestFit="1" customWidth="1"/>
    <col min="6154" max="6154" width="2.75" style="42" customWidth="1"/>
    <col min="6155" max="6155" width="26.625" style="42" customWidth="1"/>
    <col min="6156" max="6156" width="9.25" style="42" bestFit="1" customWidth="1"/>
    <col min="6157" max="6157" width="9" style="42" customWidth="1"/>
    <col min="6158" max="6158" width="8.25" style="42" customWidth="1"/>
    <col min="6159" max="6159" width="9.25" style="42" bestFit="1" customWidth="1"/>
    <col min="6160" max="6160" width="2.75" style="42" customWidth="1"/>
    <col min="6161" max="6165" width="0" style="42" hidden="1" customWidth="1"/>
    <col min="6166" max="6166" width="2.5" style="42" customWidth="1"/>
    <col min="6167" max="6167" width="6" style="42" bestFit="1" customWidth="1"/>
    <col min="6168" max="6168" width="21.125" style="42" customWidth="1"/>
    <col min="6169" max="6169" width="11" style="42" customWidth="1"/>
    <col min="6170" max="6170" width="15" style="42" customWidth="1"/>
    <col min="6171" max="6171" width="6.625" style="42" customWidth="1"/>
    <col min="6172" max="6173" width="7.375" style="42" customWidth="1"/>
    <col min="6174" max="6174" width="7.25" style="42" customWidth="1"/>
    <col min="6175" max="6392" width="8.25" style="42"/>
    <col min="6393" max="6393" width="27.75" style="42" customWidth="1"/>
    <col min="6394" max="6394" width="9.25" style="42" bestFit="1" customWidth="1"/>
    <col min="6395" max="6395" width="9" style="42" customWidth="1"/>
    <col min="6396" max="6396" width="8.25" style="42" customWidth="1"/>
    <col min="6397" max="6397" width="10.25" style="42" bestFit="1" customWidth="1"/>
    <col min="6398" max="6398" width="1.75" style="42" customWidth="1"/>
    <col min="6399" max="6399" width="27.75" style="42" customWidth="1"/>
    <col min="6400" max="6400" width="9.25" style="42" bestFit="1" customWidth="1"/>
    <col min="6401" max="6401" width="9" style="42" customWidth="1"/>
    <col min="6402" max="6402" width="8.25" style="42" customWidth="1"/>
    <col min="6403" max="6403" width="9.25" style="42" bestFit="1" customWidth="1"/>
    <col min="6404" max="6404" width="2.75" style="42" customWidth="1"/>
    <col min="6405" max="6405" width="26.625" style="42" customWidth="1"/>
    <col min="6406" max="6406" width="9.25" style="42" bestFit="1" customWidth="1"/>
    <col min="6407" max="6407" width="9" style="42" customWidth="1"/>
    <col min="6408" max="6408" width="8.25" style="42" customWidth="1"/>
    <col min="6409" max="6409" width="9.25" style="42" bestFit="1" customWidth="1"/>
    <col min="6410" max="6410" width="2.75" style="42" customWidth="1"/>
    <col min="6411" max="6411" width="26.625" style="42" customWidth="1"/>
    <col min="6412" max="6412" width="9.25" style="42" bestFit="1" customWidth="1"/>
    <col min="6413" max="6413" width="9" style="42" customWidth="1"/>
    <col min="6414" max="6414" width="8.25" style="42" customWidth="1"/>
    <col min="6415" max="6415" width="9.25" style="42" bestFit="1" customWidth="1"/>
    <col min="6416" max="6416" width="2.75" style="42" customWidth="1"/>
    <col min="6417" max="6421" width="0" style="42" hidden="1" customWidth="1"/>
    <col min="6422" max="6422" width="2.5" style="42" customWidth="1"/>
    <col min="6423" max="6423" width="6" style="42" bestFit="1" customWidth="1"/>
    <col min="6424" max="6424" width="21.125" style="42" customWidth="1"/>
    <col min="6425" max="6425" width="11" style="42" customWidth="1"/>
    <col min="6426" max="6426" width="15" style="42" customWidth="1"/>
    <col min="6427" max="6427" width="6.625" style="42" customWidth="1"/>
    <col min="6428" max="6429" width="7.375" style="42" customWidth="1"/>
    <col min="6430" max="6430" width="7.25" style="42" customWidth="1"/>
    <col min="6431" max="6648" width="8.25" style="42"/>
    <col min="6649" max="6649" width="27.75" style="42" customWidth="1"/>
    <col min="6650" max="6650" width="9.25" style="42" bestFit="1" customWidth="1"/>
    <col min="6651" max="6651" width="9" style="42" customWidth="1"/>
    <col min="6652" max="6652" width="8.25" style="42" customWidth="1"/>
    <col min="6653" max="6653" width="10.25" style="42" bestFit="1" customWidth="1"/>
    <col min="6654" max="6654" width="1.75" style="42" customWidth="1"/>
    <col min="6655" max="6655" width="27.75" style="42" customWidth="1"/>
    <col min="6656" max="6656" width="9.25" style="42" bestFit="1" customWidth="1"/>
    <col min="6657" max="6657" width="9" style="42" customWidth="1"/>
    <col min="6658" max="6658" width="8.25" style="42" customWidth="1"/>
    <col min="6659" max="6659" width="9.25" style="42" bestFit="1" customWidth="1"/>
    <col min="6660" max="6660" width="2.75" style="42" customWidth="1"/>
    <col min="6661" max="6661" width="26.625" style="42" customWidth="1"/>
    <col min="6662" max="6662" width="9.25" style="42" bestFit="1" customWidth="1"/>
    <col min="6663" max="6663" width="9" style="42" customWidth="1"/>
    <col min="6664" max="6664" width="8.25" style="42" customWidth="1"/>
    <col min="6665" max="6665" width="9.25" style="42" bestFit="1" customWidth="1"/>
    <col min="6666" max="6666" width="2.75" style="42" customWidth="1"/>
    <col min="6667" max="6667" width="26.625" style="42" customWidth="1"/>
    <col min="6668" max="6668" width="9.25" style="42" bestFit="1" customWidth="1"/>
    <col min="6669" max="6669" width="9" style="42" customWidth="1"/>
    <col min="6670" max="6670" width="8.25" style="42" customWidth="1"/>
    <col min="6671" max="6671" width="9.25" style="42" bestFit="1" customWidth="1"/>
    <col min="6672" max="6672" width="2.75" style="42" customWidth="1"/>
    <col min="6673" max="6677" width="0" style="42" hidden="1" customWidth="1"/>
    <col min="6678" max="6678" width="2.5" style="42" customWidth="1"/>
    <col min="6679" max="6679" width="6" style="42" bestFit="1" customWidth="1"/>
    <col min="6680" max="6680" width="21.125" style="42" customWidth="1"/>
    <col min="6681" max="6681" width="11" style="42" customWidth="1"/>
    <col min="6682" max="6682" width="15" style="42" customWidth="1"/>
    <col min="6683" max="6683" width="6.625" style="42" customWidth="1"/>
    <col min="6684" max="6685" width="7.375" style="42" customWidth="1"/>
    <col min="6686" max="6686" width="7.25" style="42" customWidth="1"/>
    <col min="6687" max="6904" width="8.25" style="42"/>
    <col min="6905" max="6905" width="27.75" style="42" customWidth="1"/>
    <col min="6906" max="6906" width="9.25" style="42" bestFit="1" customWidth="1"/>
    <col min="6907" max="6907" width="9" style="42" customWidth="1"/>
    <col min="6908" max="6908" width="8.25" style="42" customWidth="1"/>
    <col min="6909" max="6909" width="10.25" style="42" bestFit="1" customWidth="1"/>
    <col min="6910" max="6910" width="1.75" style="42" customWidth="1"/>
    <col min="6911" max="6911" width="27.75" style="42" customWidth="1"/>
    <col min="6912" max="6912" width="9.25" style="42" bestFit="1" customWidth="1"/>
    <col min="6913" max="6913" width="9" style="42" customWidth="1"/>
    <col min="6914" max="6914" width="8.25" style="42" customWidth="1"/>
    <col min="6915" max="6915" width="9.25" style="42" bestFit="1" customWidth="1"/>
    <col min="6916" max="6916" width="2.75" style="42" customWidth="1"/>
    <col min="6917" max="6917" width="26.625" style="42" customWidth="1"/>
    <col min="6918" max="6918" width="9.25" style="42" bestFit="1" customWidth="1"/>
    <col min="6919" max="6919" width="9" style="42" customWidth="1"/>
    <col min="6920" max="6920" width="8.25" style="42" customWidth="1"/>
    <col min="6921" max="6921" width="9.25" style="42" bestFit="1" customWidth="1"/>
    <col min="6922" max="6922" width="2.75" style="42" customWidth="1"/>
    <col min="6923" max="6923" width="26.625" style="42" customWidth="1"/>
    <col min="6924" max="6924" width="9.25" style="42" bestFit="1" customWidth="1"/>
    <col min="6925" max="6925" width="9" style="42" customWidth="1"/>
    <col min="6926" max="6926" width="8.25" style="42" customWidth="1"/>
    <col min="6927" max="6927" width="9.25" style="42" bestFit="1" customWidth="1"/>
    <col min="6928" max="6928" width="2.75" style="42" customWidth="1"/>
    <col min="6929" max="6933" width="0" style="42" hidden="1" customWidth="1"/>
    <col min="6934" max="6934" width="2.5" style="42" customWidth="1"/>
    <col min="6935" max="6935" width="6" style="42" bestFit="1" customWidth="1"/>
    <col min="6936" max="6936" width="21.125" style="42" customWidth="1"/>
    <col min="6937" max="6937" width="11" style="42" customWidth="1"/>
    <col min="6938" max="6938" width="15" style="42" customWidth="1"/>
    <col min="6939" max="6939" width="6.625" style="42" customWidth="1"/>
    <col min="6940" max="6941" width="7.375" style="42" customWidth="1"/>
    <col min="6942" max="6942" width="7.25" style="42" customWidth="1"/>
    <col min="6943" max="7160" width="8.25" style="42"/>
    <col min="7161" max="7161" width="27.75" style="42" customWidth="1"/>
    <col min="7162" max="7162" width="9.25" style="42" bestFit="1" customWidth="1"/>
    <col min="7163" max="7163" width="9" style="42" customWidth="1"/>
    <col min="7164" max="7164" width="8.25" style="42" customWidth="1"/>
    <col min="7165" max="7165" width="10.25" style="42" bestFit="1" customWidth="1"/>
    <col min="7166" max="7166" width="1.75" style="42" customWidth="1"/>
    <col min="7167" max="7167" width="27.75" style="42" customWidth="1"/>
    <col min="7168" max="7168" width="9.25" style="42" bestFit="1" customWidth="1"/>
    <col min="7169" max="7169" width="9" style="42" customWidth="1"/>
    <col min="7170" max="7170" width="8.25" style="42" customWidth="1"/>
    <col min="7171" max="7171" width="9.25" style="42" bestFit="1" customWidth="1"/>
    <col min="7172" max="7172" width="2.75" style="42" customWidth="1"/>
    <col min="7173" max="7173" width="26.625" style="42" customWidth="1"/>
    <col min="7174" max="7174" width="9.25" style="42" bestFit="1" customWidth="1"/>
    <col min="7175" max="7175" width="9" style="42" customWidth="1"/>
    <col min="7176" max="7176" width="8.25" style="42" customWidth="1"/>
    <col min="7177" max="7177" width="9.25" style="42" bestFit="1" customWidth="1"/>
    <col min="7178" max="7178" width="2.75" style="42" customWidth="1"/>
    <col min="7179" max="7179" width="26.625" style="42" customWidth="1"/>
    <col min="7180" max="7180" width="9.25" style="42" bestFit="1" customWidth="1"/>
    <col min="7181" max="7181" width="9" style="42" customWidth="1"/>
    <col min="7182" max="7182" width="8.25" style="42" customWidth="1"/>
    <col min="7183" max="7183" width="9.25" style="42" bestFit="1" customWidth="1"/>
    <col min="7184" max="7184" width="2.75" style="42" customWidth="1"/>
    <col min="7185" max="7189" width="0" style="42" hidden="1" customWidth="1"/>
    <col min="7190" max="7190" width="2.5" style="42" customWidth="1"/>
    <col min="7191" max="7191" width="6" style="42" bestFit="1" customWidth="1"/>
    <col min="7192" max="7192" width="21.125" style="42" customWidth="1"/>
    <col min="7193" max="7193" width="11" style="42" customWidth="1"/>
    <col min="7194" max="7194" width="15" style="42" customWidth="1"/>
    <col min="7195" max="7195" width="6.625" style="42" customWidth="1"/>
    <col min="7196" max="7197" width="7.375" style="42" customWidth="1"/>
    <col min="7198" max="7198" width="7.25" style="42" customWidth="1"/>
    <col min="7199" max="7416" width="8.25" style="42"/>
    <col min="7417" max="7417" width="27.75" style="42" customWidth="1"/>
    <col min="7418" max="7418" width="9.25" style="42" bestFit="1" customWidth="1"/>
    <col min="7419" max="7419" width="9" style="42" customWidth="1"/>
    <col min="7420" max="7420" width="8.25" style="42" customWidth="1"/>
    <col min="7421" max="7421" width="10.25" style="42" bestFit="1" customWidth="1"/>
    <col min="7422" max="7422" width="1.75" style="42" customWidth="1"/>
    <col min="7423" max="7423" width="27.75" style="42" customWidth="1"/>
    <col min="7424" max="7424" width="9.25" style="42" bestFit="1" customWidth="1"/>
    <col min="7425" max="7425" width="9" style="42" customWidth="1"/>
    <col min="7426" max="7426" width="8.25" style="42" customWidth="1"/>
    <col min="7427" max="7427" width="9.25" style="42" bestFit="1" customWidth="1"/>
    <col min="7428" max="7428" width="2.75" style="42" customWidth="1"/>
    <col min="7429" max="7429" width="26.625" style="42" customWidth="1"/>
    <col min="7430" max="7430" width="9.25" style="42" bestFit="1" customWidth="1"/>
    <col min="7431" max="7431" width="9" style="42" customWidth="1"/>
    <col min="7432" max="7432" width="8.25" style="42" customWidth="1"/>
    <col min="7433" max="7433" width="9.25" style="42" bestFit="1" customWidth="1"/>
    <col min="7434" max="7434" width="2.75" style="42" customWidth="1"/>
    <col min="7435" max="7435" width="26.625" style="42" customWidth="1"/>
    <col min="7436" max="7436" width="9.25" style="42" bestFit="1" customWidth="1"/>
    <col min="7437" max="7437" width="9" style="42" customWidth="1"/>
    <col min="7438" max="7438" width="8.25" style="42" customWidth="1"/>
    <col min="7439" max="7439" width="9.25" style="42" bestFit="1" customWidth="1"/>
    <col min="7440" max="7440" width="2.75" style="42" customWidth="1"/>
    <col min="7441" max="7445" width="0" style="42" hidden="1" customWidth="1"/>
    <col min="7446" max="7446" width="2.5" style="42" customWidth="1"/>
    <col min="7447" max="7447" width="6" style="42" bestFit="1" customWidth="1"/>
    <col min="7448" max="7448" width="21.125" style="42" customWidth="1"/>
    <col min="7449" max="7449" width="11" style="42" customWidth="1"/>
    <col min="7450" max="7450" width="15" style="42" customWidth="1"/>
    <col min="7451" max="7451" width="6.625" style="42" customWidth="1"/>
    <col min="7452" max="7453" width="7.375" style="42" customWidth="1"/>
    <col min="7454" max="7454" width="7.25" style="42" customWidth="1"/>
    <col min="7455" max="7672" width="8.25" style="42"/>
    <col min="7673" max="7673" width="27.75" style="42" customWidth="1"/>
    <col min="7674" max="7674" width="9.25" style="42" bestFit="1" customWidth="1"/>
    <col min="7675" max="7675" width="9" style="42" customWidth="1"/>
    <col min="7676" max="7676" width="8.25" style="42" customWidth="1"/>
    <col min="7677" max="7677" width="10.25" style="42" bestFit="1" customWidth="1"/>
    <col min="7678" max="7678" width="1.75" style="42" customWidth="1"/>
    <col min="7679" max="7679" width="27.75" style="42" customWidth="1"/>
    <col min="7680" max="7680" width="9.25" style="42" bestFit="1" customWidth="1"/>
    <col min="7681" max="7681" width="9" style="42" customWidth="1"/>
    <col min="7682" max="7682" width="8.25" style="42" customWidth="1"/>
    <col min="7683" max="7683" width="9.25" style="42" bestFit="1" customWidth="1"/>
    <col min="7684" max="7684" width="2.75" style="42" customWidth="1"/>
    <col min="7685" max="7685" width="26.625" style="42" customWidth="1"/>
    <col min="7686" max="7686" width="9.25" style="42" bestFit="1" customWidth="1"/>
    <col min="7687" max="7687" width="9" style="42" customWidth="1"/>
    <col min="7688" max="7688" width="8.25" style="42" customWidth="1"/>
    <col min="7689" max="7689" width="9.25" style="42" bestFit="1" customWidth="1"/>
    <col min="7690" max="7690" width="2.75" style="42" customWidth="1"/>
    <col min="7691" max="7691" width="26.625" style="42" customWidth="1"/>
    <col min="7692" max="7692" width="9.25" style="42" bestFit="1" customWidth="1"/>
    <col min="7693" max="7693" width="9" style="42" customWidth="1"/>
    <col min="7694" max="7694" width="8.25" style="42" customWidth="1"/>
    <col min="7695" max="7695" width="9.25" style="42" bestFit="1" customWidth="1"/>
    <col min="7696" max="7696" width="2.75" style="42" customWidth="1"/>
    <col min="7697" max="7701" width="0" style="42" hidden="1" customWidth="1"/>
    <col min="7702" max="7702" width="2.5" style="42" customWidth="1"/>
    <col min="7703" max="7703" width="6" style="42" bestFit="1" customWidth="1"/>
    <col min="7704" max="7704" width="21.125" style="42" customWidth="1"/>
    <col min="7705" max="7705" width="11" style="42" customWidth="1"/>
    <col min="7706" max="7706" width="15" style="42" customWidth="1"/>
    <col min="7707" max="7707" width="6.625" style="42" customWidth="1"/>
    <col min="7708" max="7709" width="7.375" style="42" customWidth="1"/>
    <col min="7710" max="7710" width="7.25" style="42" customWidth="1"/>
    <col min="7711" max="7928" width="8.25" style="42"/>
    <col min="7929" max="7929" width="27.75" style="42" customWidth="1"/>
    <col min="7930" max="7930" width="9.25" style="42" bestFit="1" customWidth="1"/>
    <col min="7931" max="7931" width="9" style="42" customWidth="1"/>
    <col min="7932" max="7932" width="8.25" style="42" customWidth="1"/>
    <col min="7933" max="7933" width="10.25" style="42" bestFit="1" customWidth="1"/>
    <col min="7934" max="7934" width="1.75" style="42" customWidth="1"/>
    <col min="7935" max="7935" width="27.75" style="42" customWidth="1"/>
    <col min="7936" max="7936" width="9.25" style="42" bestFit="1" customWidth="1"/>
    <col min="7937" max="7937" width="9" style="42" customWidth="1"/>
    <col min="7938" max="7938" width="8.25" style="42" customWidth="1"/>
    <col min="7939" max="7939" width="9.25" style="42" bestFit="1" customWidth="1"/>
    <col min="7940" max="7940" width="2.75" style="42" customWidth="1"/>
    <col min="7941" max="7941" width="26.625" style="42" customWidth="1"/>
    <col min="7942" max="7942" width="9.25" style="42" bestFit="1" customWidth="1"/>
    <col min="7943" max="7943" width="9" style="42" customWidth="1"/>
    <col min="7944" max="7944" width="8.25" style="42" customWidth="1"/>
    <col min="7945" max="7945" width="9.25" style="42" bestFit="1" customWidth="1"/>
    <col min="7946" max="7946" width="2.75" style="42" customWidth="1"/>
    <col min="7947" max="7947" width="26.625" style="42" customWidth="1"/>
    <col min="7948" max="7948" width="9.25" style="42" bestFit="1" customWidth="1"/>
    <col min="7949" max="7949" width="9" style="42" customWidth="1"/>
    <col min="7950" max="7950" width="8.25" style="42" customWidth="1"/>
    <col min="7951" max="7951" width="9.25" style="42" bestFit="1" customWidth="1"/>
    <col min="7952" max="7952" width="2.75" style="42" customWidth="1"/>
    <col min="7953" max="7957" width="0" style="42" hidden="1" customWidth="1"/>
    <col min="7958" max="7958" width="2.5" style="42" customWidth="1"/>
    <col min="7959" max="7959" width="6" style="42" bestFit="1" customWidth="1"/>
    <col min="7960" max="7960" width="21.125" style="42" customWidth="1"/>
    <col min="7961" max="7961" width="11" style="42" customWidth="1"/>
    <col min="7962" max="7962" width="15" style="42" customWidth="1"/>
    <col min="7963" max="7963" width="6.625" style="42" customWidth="1"/>
    <col min="7964" max="7965" width="7.375" style="42" customWidth="1"/>
    <col min="7966" max="7966" width="7.25" style="42" customWidth="1"/>
    <col min="7967" max="8184" width="8.25" style="42"/>
    <col min="8185" max="8185" width="27.75" style="42" customWidth="1"/>
    <col min="8186" max="8186" width="9.25" style="42" bestFit="1" customWidth="1"/>
    <col min="8187" max="8187" width="9" style="42" customWidth="1"/>
    <col min="8188" max="8188" width="8.25" style="42" customWidth="1"/>
    <col min="8189" max="8189" width="10.25" style="42" bestFit="1" customWidth="1"/>
    <col min="8190" max="8190" width="1.75" style="42" customWidth="1"/>
    <col min="8191" max="8191" width="27.75" style="42" customWidth="1"/>
    <col min="8192" max="8192" width="9.25" style="42" bestFit="1" customWidth="1"/>
    <col min="8193" max="8193" width="9" style="42" customWidth="1"/>
    <col min="8194" max="8194" width="8.25" style="42" customWidth="1"/>
    <col min="8195" max="8195" width="9.25" style="42" bestFit="1" customWidth="1"/>
    <col min="8196" max="8196" width="2.75" style="42" customWidth="1"/>
    <col min="8197" max="8197" width="26.625" style="42" customWidth="1"/>
    <col min="8198" max="8198" width="9.25" style="42" bestFit="1" customWidth="1"/>
    <col min="8199" max="8199" width="9" style="42" customWidth="1"/>
    <col min="8200" max="8200" width="8.25" style="42" customWidth="1"/>
    <col min="8201" max="8201" width="9.25" style="42" bestFit="1" customWidth="1"/>
    <col min="8202" max="8202" width="2.75" style="42" customWidth="1"/>
    <col min="8203" max="8203" width="26.625" style="42" customWidth="1"/>
    <col min="8204" max="8204" width="9.25" style="42" bestFit="1" customWidth="1"/>
    <col min="8205" max="8205" width="9" style="42" customWidth="1"/>
    <col min="8206" max="8206" width="8.25" style="42" customWidth="1"/>
    <col min="8207" max="8207" width="9.25" style="42" bestFit="1" customWidth="1"/>
    <col min="8208" max="8208" width="2.75" style="42" customWidth="1"/>
    <col min="8209" max="8213" width="0" style="42" hidden="1" customWidth="1"/>
    <col min="8214" max="8214" width="2.5" style="42" customWidth="1"/>
    <col min="8215" max="8215" width="6" style="42" bestFit="1" customWidth="1"/>
    <col min="8216" max="8216" width="21.125" style="42" customWidth="1"/>
    <col min="8217" max="8217" width="11" style="42" customWidth="1"/>
    <col min="8218" max="8218" width="15" style="42" customWidth="1"/>
    <col min="8219" max="8219" width="6.625" style="42" customWidth="1"/>
    <col min="8220" max="8221" width="7.375" style="42" customWidth="1"/>
    <col min="8222" max="8222" width="7.25" style="42" customWidth="1"/>
    <col min="8223" max="8440" width="8.25" style="42"/>
    <col min="8441" max="8441" width="27.75" style="42" customWidth="1"/>
    <col min="8442" max="8442" width="9.25" style="42" bestFit="1" customWidth="1"/>
    <col min="8443" max="8443" width="9" style="42" customWidth="1"/>
    <col min="8444" max="8444" width="8.25" style="42" customWidth="1"/>
    <col min="8445" max="8445" width="10.25" style="42" bestFit="1" customWidth="1"/>
    <col min="8446" max="8446" width="1.75" style="42" customWidth="1"/>
    <col min="8447" max="8447" width="27.75" style="42" customWidth="1"/>
    <col min="8448" max="8448" width="9.25" style="42" bestFit="1" customWidth="1"/>
    <col min="8449" max="8449" width="9" style="42" customWidth="1"/>
    <col min="8450" max="8450" width="8.25" style="42" customWidth="1"/>
    <col min="8451" max="8451" width="9.25" style="42" bestFit="1" customWidth="1"/>
    <col min="8452" max="8452" width="2.75" style="42" customWidth="1"/>
    <col min="8453" max="8453" width="26.625" style="42" customWidth="1"/>
    <col min="8454" max="8454" width="9.25" style="42" bestFit="1" customWidth="1"/>
    <col min="8455" max="8455" width="9" style="42" customWidth="1"/>
    <col min="8456" max="8456" width="8.25" style="42" customWidth="1"/>
    <col min="8457" max="8457" width="9.25" style="42" bestFit="1" customWidth="1"/>
    <col min="8458" max="8458" width="2.75" style="42" customWidth="1"/>
    <col min="8459" max="8459" width="26.625" style="42" customWidth="1"/>
    <col min="8460" max="8460" width="9.25" style="42" bestFit="1" customWidth="1"/>
    <col min="8461" max="8461" width="9" style="42" customWidth="1"/>
    <col min="8462" max="8462" width="8.25" style="42" customWidth="1"/>
    <col min="8463" max="8463" width="9.25" style="42" bestFit="1" customWidth="1"/>
    <col min="8464" max="8464" width="2.75" style="42" customWidth="1"/>
    <col min="8465" max="8469" width="0" style="42" hidden="1" customWidth="1"/>
    <col min="8470" max="8470" width="2.5" style="42" customWidth="1"/>
    <col min="8471" max="8471" width="6" style="42" bestFit="1" customWidth="1"/>
    <col min="8472" max="8472" width="21.125" style="42" customWidth="1"/>
    <col min="8473" max="8473" width="11" style="42" customWidth="1"/>
    <col min="8474" max="8474" width="15" style="42" customWidth="1"/>
    <col min="8475" max="8475" width="6.625" style="42" customWidth="1"/>
    <col min="8476" max="8477" width="7.375" style="42" customWidth="1"/>
    <col min="8478" max="8478" width="7.25" style="42" customWidth="1"/>
    <col min="8479" max="8696" width="8.25" style="42"/>
    <col min="8697" max="8697" width="27.75" style="42" customWidth="1"/>
    <col min="8698" max="8698" width="9.25" style="42" bestFit="1" customWidth="1"/>
    <col min="8699" max="8699" width="9" style="42" customWidth="1"/>
    <col min="8700" max="8700" width="8.25" style="42" customWidth="1"/>
    <col min="8701" max="8701" width="10.25" style="42" bestFit="1" customWidth="1"/>
    <col min="8702" max="8702" width="1.75" style="42" customWidth="1"/>
    <col min="8703" max="8703" width="27.75" style="42" customWidth="1"/>
    <col min="8704" max="8704" width="9.25" style="42" bestFit="1" customWidth="1"/>
    <col min="8705" max="8705" width="9" style="42" customWidth="1"/>
    <col min="8706" max="8706" width="8.25" style="42" customWidth="1"/>
    <col min="8707" max="8707" width="9.25" style="42" bestFit="1" customWidth="1"/>
    <col min="8708" max="8708" width="2.75" style="42" customWidth="1"/>
    <col min="8709" max="8709" width="26.625" style="42" customWidth="1"/>
    <col min="8710" max="8710" width="9.25" style="42" bestFit="1" customWidth="1"/>
    <col min="8711" max="8711" width="9" style="42" customWidth="1"/>
    <col min="8712" max="8712" width="8.25" style="42" customWidth="1"/>
    <col min="8713" max="8713" width="9.25" style="42" bestFit="1" customWidth="1"/>
    <col min="8714" max="8714" width="2.75" style="42" customWidth="1"/>
    <col min="8715" max="8715" width="26.625" style="42" customWidth="1"/>
    <col min="8716" max="8716" width="9.25" style="42" bestFit="1" customWidth="1"/>
    <col min="8717" max="8717" width="9" style="42" customWidth="1"/>
    <col min="8718" max="8718" width="8.25" style="42" customWidth="1"/>
    <col min="8719" max="8719" width="9.25" style="42" bestFit="1" customWidth="1"/>
    <col min="8720" max="8720" width="2.75" style="42" customWidth="1"/>
    <col min="8721" max="8725" width="0" style="42" hidden="1" customWidth="1"/>
    <col min="8726" max="8726" width="2.5" style="42" customWidth="1"/>
    <col min="8727" max="8727" width="6" style="42" bestFit="1" customWidth="1"/>
    <col min="8728" max="8728" width="21.125" style="42" customWidth="1"/>
    <col min="8729" max="8729" width="11" style="42" customWidth="1"/>
    <col min="8730" max="8730" width="15" style="42" customWidth="1"/>
    <col min="8731" max="8731" width="6.625" style="42" customWidth="1"/>
    <col min="8732" max="8733" width="7.375" style="42" customWidth="1"/>
    <col min="8734" max="8734" width="7.25" style="42" customWidth="1"/>
    <col min="8735" max="8952" width="8.25" style="42"/>
    <col min="8953" max="8953" width="27.75" style="42" customWidth="1"/>
    <col min="8954" max="8954" width="9.25" style="42" bestFit="1" customWidth="1"/>
    <col min="8955" max="8955" width="9" style="42" customWidth="1"/>
    <col min="8956" max="8956" width="8.25" style="42" customWidth="1"/>
    <col min="8957" max="8957" width="10.25" style="42" bestFit="1" customWidth="1"/>
    <col min="8958" max="8958" width="1.75" style="42" customWidth="1"/>
    <col min="8959" max="8959" width="27.75" style="42" customWidth="1"/>
    <col min="8960" max="8960" width="9.25" style="42" bestFit="1" customWidth="1"/>
    <col min="8961" max="8961" width="9" style="42" customWidth="1"/>
    <col min="8962" max="8962" width="8.25" style="42" customWidth="1"/>
    <col min="8963" max="8963" width="9.25" style="42" bestFit="1" customWidth="1"/>
    <col min="8964" max="8964" width="2.75" style="42" customWidth="1"/>
    <col min="8965" max="8965" width="26.625" style="42" customWidth="1"/>
    <col min="8966" max="8966" width="9.25" style="42" bestFit="1" customWidth="1"/>
    <col min="8967" max="8967" width="9" style="42" customWidth="1"/>
    <col min="8968" max="8968" width="8.25" style="42" customWidth="1"/>
    <col min="8969" max="8969" width="9.25" style="42" bestFit="1" customWidth="1"/>
    <col min="8970" max="8970" width="2.75" style="42" customWidth="1"/>
    <col min="8971" max="8971" width="26.625" style="42" customWidth="1"/>
    <col min="8972" max="8972" width="9.25" style="42" bestFit="1" customWidth="1"/>
    <col min="8973" max="8973" width="9" style="42" customWidth="1"/>
    <col min="8974" max="8974" width="8.25" style="42" customWidth="1"/>
    <col min="8975" max="8975" width="9.25" style="42" bestFit="1" customWidth="1"/>
    <col min="8976" max="8976" width="2.75" style="42" customWidth="1"/>
    <col min="8977" max="8981" width="0" style="42" hidden="1" customWidth="1"/>
    <col min="8982" max="8982" width="2.5" style="42" customWidth="1"/>
    <col min="8983" max="8983" width="6" style="42" bestFit="1" customWidth="1"/>
    <col min="8984" max="8984" width="21.125" style="42" customWidth="1"/>
    <col min="8985" max="8985" width="11" style="42" customWidth="1"/>
    <col min="8986" max="8986" width="15" style="42" customWidth="1"/>
    <col min="8987" max="8987" width="6.625" style="42" customWidth="1"/>
    <col min="8988" max="8989" width="7.375" style="42" customWidth="1"/>
    <col min="8990" max="8990" width="7.25" style="42" customWidth="1"/>
    <col min="8991" max="9208" width="8.25" style="42"/>
    <col min="9209" max="9209" width="27.75" style="42" customWidth="1"/>
    <col min="9210" max="9210" width="9.25" style="42" bestFit="1" customWidth="1"/>
    <col min="9211" max="9211" width="9" style="42" customWidth="1"/>
    <col min="9212" max="9212" width="8.25" style="42" customWidth="1"/>
    <col min="9213" max="9213" width="10.25" style="42" bestFit="1" customWidth="1"/>
    <col min="9214" max="9214" width="1.75" style="42" customWidth="1"/>
    <col min="9215" max="9215" width="27.75" style="42" customWidth="1"/>
    <col min="9216" max="9216" width="9.25" style="42" bestFit="1" customWidth="1"/>
    <col min="9217" max="9217" width="9" style="42" customWidth="1"/>
    <col min="9218" max="9218" width="8.25" style="42" customWidth="1"/>
    <col min="9219" max="9219" width="9.25" style="42" bestFit="1" customWidth="1"/>
    <col min="9220" max="9220" width="2.75" style="42" customWidth="1"/>
    <col min="9221" max="9221" width="26.625" style="42" customWidth="1"/>
    <col min="9222" max="9222" width="9.25" style="42" bestFit="1" customWidth="1"/>
    <col min="9223" max="9223" width="9" style="42" customWidth="1"/>
    <col min="9224" max="9224" width="8.25" style="42" customWidth="1"/>
    <col min="9225" max="9225" width="9.25" style="42" bestFit="1" customWidth="1"/>
    <col min="9226" max="9226" width="2.75" style="42" customWidth="1"/>
    <col min="9227" max="9227" width="26.625" style="42" customWidth="1"/>
    <col min="9228" max="9228" width="9.25" style="42" bestFit="1" customWidth="1"/>
    <col min="9229" max="9229" width="9" style="42" customWidth="1"/>
    <col min="9230" max="9230" width="8.25" style="42" customWidth="1"/>
    <col min="9231" max="9231" width="9.25" style="42" bestFit="1" customWidth="1"/>
    <col min="9232" max="9232" width="2.75" style="42" customWidth="1"/>
    <col min="9233" max="9237" width="0" style="42" hidden="1" customWidth="1"/>
    <col min="9238" max="9238" width="2.5" style="42" customWidth="1"/>
    <col min="9239" max="9239" width="6" style="42" bestFit="1" customWidth="1"/>
    <col min="9240" max="9240" width="21.125" style="42" customWidth="1"/>
    <col min="9241" max="9241" width="11" style="42" customWidth="1"/>
    <col min="9242" max="9242" width="15" style="42" customWidth="1"/>
    <col min="9243" max="9243" width="6.625" style="42" customWidth="1"/>
    <col min="9244" max="9245" width="7.375" style="42" customWidth="1"/>
    <col min="9246" max="9246" width="7.25" style="42" customWidth="1"/>
    <col min="9247" max="9464" width="8.25" style="42"/>
    <col min="9465" max="9465" width="27.75" style="42" customWidth="1"/>
    <col min="9466" max="9466" width="9.25" style="42" bestFit="1" customWidth="1"/>
    <col min="9467" max="9467" width="9" style="42" customWidth="1"/>
    <col min="9468" max="9468" width="8.25" style="42" customWidth="1"/>
    <col min="9469" max="9469" width="10.25" style="42" bestFit="1" customWidth="1"/>
    <col min="9470" max="9470" width="1.75" style="42" customWidth="1"/>
    <col min="9471" max="9471" width="27.75" style="42" customWidth="1"/>
    <col min="9472" max="9472" width="9.25" style="42" bestFit="1" customWidth="1"/>
    <col min="9473" max="9473" width="9" style="42" customWidth="1"/>
    <col min="9474" max="9474" width="8.25" style="42" customWidth="1"/>
    <col min="9475" max="9475" width="9.25" style="42" bestFit="1" customWidth="1"/>
    <col min="9476" max="9476" width="2.75" style="42" customWidth="1"/>
    <col min="9477" max="9477" width="26.625" style="42" customWidth="1"/>
    <col min="9478" max="9478" width="9.25" style="42" bestFit="1" customWidth="1"/>
    <col min="9479" max="9479" width="9" style="42" customWidth="1"/>
    <col min="9480" max="9480" width="8.25" style="42" customWidth="1"/>
    <col min="9481" max="9481" width="9.25" style="42" bestFit="1" customWidth="1"/>
    <col min="9482" max="9482" width="2.75" style="42" customWidth="1"/>
    <col min="9483" max="9483" width="26.625" style="42" customWidth="1"/>
    <col min="9484" max="9484" width="9.25" style="42" bestFit="1" customWidth="1"/>
    <col min="9485" max="9485" width="9" style="42" customWidth="1"/>
    <col min="9486" max="9486" width="8.25" style="42" customWidth="1"/>
    <col min="9487" max="9487" width="9.25" style="42" bestFit="1" customWidth="1"/>
    <col min="9488" max="9488" width="2.75" style="42" customWidth="1"/>
    <col min="9489" max="9493" width="0" style="42" hidden="1" customWidth="1"/>
    <col min="9494" max="9494" width="2.5" style="42" customWidth="1"/>
    <col min="9495" max="9495" width="6" style="42" bestFit="1" customWidth="1"/>
    <col min="9496" max="9496" width="21.125" style="42" customWidth="1"/>
    <col min="9497" max="9497" width="11" style="42" customWidth="1"/>
    <col min="9498" max="9498" width="15" style="42" customWidth="1"/>
    <col min="9499" max="9499" width="6.625" style="42" customWidth="1"/>
    <col min="9500" max="9501" width="7.375" style="42" customWidth="1"/>
    <col min="9502" max="9502" width="7.25" style="42" customWidth="1"/>
    <col min="9503" max="9720" width="8.25" style="42"/>
    <col min="9721" max="9721" width="27.75" style="42" customWidth="1"/>
    <col min="9722" max="9722" width="9.25" style="42" bestFit="1" customWidth="1"/>
    <col min="9723" max="9723" width="9" style="42" customWidth="1"/>
    <col min="9724" max="9724" width="8.25" style="42" customWidth="1"/>
    <col min="9725" max="9725" width="10.25" style="42" bestFit="1" customWidth="1"/>
    <col min="9726" max="9726" width="1.75" style="42" customWidth="1"/>
    <col min="9727" max="9727" width="27.75" style="42" customWidth="1"/>
    <col min="9728" max="9728" width="9.25" style="42" bestFit="1" customWidth="1"/>
    <col min="9729" max="9729" width="9" style="42" customWidth="1"/>
    <col min="9730" max="9730" width="8.25" style="42" customWidth="1"/>
    <col min="9731" max="9731" width="9.25" style="42" bestFit="1" customWidth="1"/>
    <col min="9732" max="9732" width="2.75" style="42" customWidth="1"/>
    <col min="9733" max="9733" width="26.625" style="42" customWidth="1"/>
    <col min="9734" max="9734" width="9.25" style="42" bestFit="1" customWidth="1"/>
    <col min="9735" max="9735" width="9" style="42" customWidth="1"/>
    <col min="9736" max="9736" width="8.25" style="42" customWidth="1"/>
    <col min="9737" max="9737" width="9.25" style="42" bestFit="1" customWidth="1"/>
    <col min="9738" max="9738" width="2.75" style="42" customWidth="1"/>
    <col min="9739" max="9739" width="26.625" style="42" customWidth="1"/>
    <col min="9740" max="9740" width="9.25" style="42" bestFit="1" customWidth="1"/>
    <col min="9741" max="9741" width="9" style="42" customWidth="1"/>
    <col min="9742" max="9742" width="8.25" style="42" customWidth="1"/>
    <col min="9743" max="9743" width="9.25" style="42" bestFit="1" customWidth="1"/>
    <col min="9744" max="9744" width="2.75" style="42" customWidth="1"/>
    <col min="9745" max="9749" width="0" style="42" hidden="1" customWidth="1"/>
    <col min="9750" max="9750" width="2.5" style="42" customWidth="1"/>
    <col min="9751" max="9751" width="6" style="42" bestFit="1" customWidth="1"/>
    <col min="9752" max="9752" width="21.125" style="42" customWidth="1"/>
    <col min="9753" max="9753" width="11" style="42" customWidth="1"/>
    <col min="9754" max="9754" width="15" style="42" customWidth="1"/>
    <col min="9755" max="9755" width="6.625" style="42" customWidth="1"/>
    <col min="9756" max="9757" width="7.375" style="42" customWidth="1"/>
    <col min="9758" max="9758" width="7.25" style="42" customWidth="1"/>
    <col min="9759" max="9976" width="8.25" style="42"/>
    <col min="9977" max="9977" width="27.75" style="42" customWidth="1"/>
    <col min="9978" max="9978" width="9.25" style="42" bestFit="1" customWidth="1"/>
    <col min="9979" max="9979" width="9" style="42" customWidth="1"/>
    <col min="9980" max="9980" width="8.25" style="42" customWidth="1"/>
    <col min="9981" max="9981" width="10.25" style="42" bestFit="1" customWidth="1"/>
    <col min="9982" max="9982" width="1.75" style="42" customWidth="1"/>
    <col min="9983" max="9983" width="27.75" style="42" customWidth="1"/>
    <col min="9984" max="9984" width="9.25" style="42" bestFit="1" customWidth="1"/>
    <col min="9985" max="9985" width="9" style="42" customWidth="1"/>
    <col min="9986" max="9986" width="8.25" style="42" customWidth="1"/>
    <col min="9987" max="9987" width="9.25" style="42" bestFit="1" customWidth="1"/>
    <col min="9988" max="9988" width="2.75" style="42" customWidth="1"/>
    <col min="9989" max="9989" width="26.625" style="42" customWidth="1"/>
    <col min="9990" max="9990" width="9.25" style="42" bestFit="1" customWidth="1"/>
    <col min="9991" max="9991" width="9" style="42" customWidth="1"/>
    <col min="9992" max="9992" width="8.25" style="42" customWidth="1"/>
    <col min="9993" max="9993" width="9.25" style="42" bestFit="1" customWidth="1"/>
    <col min="9994" max="9994" width="2.75" style="42" customWidth="1"/>
    <col min="9995" max="9995" width="26.625" style="42" customWidth="1"/>
    <col min="9996" max="9996" width="9.25" style="42" bestFit="1" customWidth="1"/>
    <col min="9997" max="9997" width="9" style="42" customWidth="1"/>
    <col min="9998" max="9998" width="8.25" style="42" customWidth="1"/>
    <col min="9999" max="9999" width="9.25" style="42" bestFit="1" customWidth="1"/>
    <col min="10000" max="10000" width="2.75" style="42" customWidth="1"/>
    <col min="10001" max="10005" width="0" style="42" hidden="1" customWidth="1"/>
    <col min="10006" max="10006" width="2.5" style="42" customWidth="1"/>
    <col min="10007" max="10007" width="6" style="42" bestFit="1" customWidth="1"/>
    <col min="10008" max="10008" width="21.125" style="42" customWidth="1"/>
    <col min="10009" max="10009" width="11" style="42" customWidth="1"/>
    <col min="10010" max="10010" width="15" style="42" customWidth="1"/>
    <col min="10011" max="10011" width="6.625" style="42" customWidth="1"/>
    <col min="10012" max="10013" width="7.375" style="42" customWidth="1"/>
    <col min="10014" max="10014" width="7.25" style="42" customWidth="1"/>
    <col min="10015" max="10232" width="8.25" style="42"/>
    <col min="10233" max="10233" width="27.75" style="42" customWidth="1"/>
    <col min="10234" max="10234" width="9.25" style="42" bestFit="1" customWidth="1"/>
    <col min="10235" max="10235" width="9" style="42" customWidth="1"/>
    <col min="10236" max="10236" width="8.25" style="42" customWidth="1"/>
    <col min="10237" max="10237" width="10.25" style="42" bestFit="1" customWidth="1"/>
    <col min="10238" max="10238" width="1.75" style="42" customWidth="1"/>
    <col min="10239" max="10239" width="27.75" style="42" customWidth="1"/>
    <col min="10240" max="10240" width="9.25" style="42" bestFit="1" customWidth="1"/>
    <col min="10241" max="10241" width="9" style="42" customWidth="1"/>
    <col min="10242" max="10242" width="8.25" style="42" customWidth="1"/>
    <col min="10243" max="10243" width="9.25" style="42" bestFit="1" customWidth="1"/>
    <col min="10244" max="10244" width="2.75" style="42" customWidth="1"/>
    <col min="10245" max="10245" width="26.625" style="42" customWidth="1"/>
    <col min="10246" max="10246" width="9.25" style="42" bestFit="1" customWidth="1"/>
    <col min="10247" max="10247" width="9" style="42" customWidth="1"/>
    <col min="10248" max="10248" width="8.25" style="42" customWidth="1"/>
    <col min="10249" max="10249" width="9.25" style="42" bestFit="1" customWidth="1"/>
    <col min="10250" max="10250" width="2.75" style="42" customWidth="1"/>
    <col min="10251" max="10251" width="26.625" style="42" customWidth="1"/>
    <col min="10252" max="10252" width="9.25" style="42" bestFit="1" customWidth="1"/>
    <col min="10253" max="10253" width="9" style="42" customWidth="1"/>
    <col min="10254" max="10254" width="8.25" style="42" customWidth="1"/>
    <col min="10255" max="10255" width="9.25" style="42" bestFit="1" customWidth="1"/>
    <col min="10256" max="10256" width="2.75" style="42" customWidth="1"/>
    <col min="10257" max="10261" width="0" style="42" hidden="1" customWidth="1"/>
    <col min="10262" max="10262" width="2.5" style="42" customWidth="1"/>
    <col min="10263" max="10263" width="6" style="42" bestFit="1" customWidth="1"/>
    <col min="10264" max="10264" width="21.125" style="42" customWidth="1"/>
    <col min="10265" max="10265" width="11" style="42" customWidth="1"/>
    <col min="10266" max="10266" width="15" style="42" customWidth="1"/>
    <col min="10267" max="10267" width="6.625" style="42" customWidth="1"/>
    <col min="10268" max="10269" width="7.375" style="42" customWidth="1"/>
    <col min="10270" max="10270" width="7.25" style="42" customWidth="1"/>
    <col min="10271" max="10488" width="8.25" style="42"/>
    <col min="10489" max="10489" width="27.75" style="42" customWidth="1"/>
    <col min="10490" max="10490" width="9.25" style="42" bestFit="1" customWidth="1"/>
    <col min="10491" max="10491" width="9" style="42" customWidth="1"/>
    <col min="10492" max="10492" width="8.25" style="42" customWidth="1"/>
    <col min="10493" max="10493" width="10.25" style="42" bestFit="1" customWidth="1"/>
    <col min="10494" max="10494" width="1.75" style="42" customWidth="1"/>
    <col min="10495" max="10495" width="27.75" style="42" customWidth="1"/>
    <col min="10496" max="10496" width="9.25" style="42" bestFit="1" customWidth="1"/>
    <col min="10497" max="10497" width="9" style="42" customWidth="1"/>
    <col min="10498" max="10498" width="8.25" style="42" customWidth="1"/>
    <col min="10499" max="10499" width="9.25" style="42" bestFit="1" customWidth="1"/>
    <col min="10500" max="10500" width="2.75" style="42" customWidth="1"/>
    <col min="10501" max="10501" width="26.625" style="42" customWidth="1"/>
    <col min="10502" max="10502" width="9.25" style="42" bestFit="1" customWidth="1"/>
    <col min="10503" max="10503" width="9" style="42" customWidth="1"/>
    <col min="10504" max="10504" width="8.25" style="42" customWidth="1"/>
    <col min="10505" max="10505" width="9.25" style="42" bestFit="1" customWidth="1"/>
    <col min="10506" max="10506" width="2.75" style="42" customWidth="1"/>
    <col min="10507" max="10507" width="26.625" style="42" customWidth="1"/>
    <col min="10508" max="10508" width="9.25" style="42" bestFit="1" customWidth="1"/>
    <col min="10509" max="10509" width="9" style="42" customWidth="1"/>
    <col min="10510" max="10510" width="8.25" style="42" customWidth="1"/>
    <col min="10511" max="10511" width="9.25" style="42" bestFit="1" customWidth="1"/>
    <col min="10512" max="10512" width="2.75" style="42" customWidth="1"/>
    <col min="10513" max="10517" width="0" style="42" hidden="1" customWidth="1"/>
    <col min="10518" max="10518" width="2.5" style="42" customWidth="1"/>
    <col min="10519" max="10519" width="6" style="42" bestFit="1" customWidth="1"/>
    <col min="10520" max="10520" width="21.125" style="42" customWidth="1"/>
    <col min="10521" max="10521" width="11" style="42" customWidth="1"/>
    <col min="10522" max="10522" width="15" style="42" customWidth="1"/>
    <col min="10523" max="10523" width="6.625" style="42" customWidth="1"/>
    <col min="10524" max="10525" width="7.375" style="42" customWidth="1"/>
    <col min="10526" max="10526" width="7.25" style="42" customWidth="1"/>
    <col min="10527" max="10744" width="8.25" style="42"/>
    <col min="10745" max="10745" width="27.75" style="42" customWidth="1"/>
    <col min="10746" max="10746" width="9.25" style="42" bestFit="1" customWidth="1"/>
    <col min="10747" max="10747" width="9" style="42" customWidth="1"/>
    <col min="10748" max="10748" width="8.25" style="42" customWidth="1"/>
    <col min="10749" max="10749" width="10.25" style="42" bestFit="1" customWidth="1"/>
    <col min="10750" max="10750" width="1.75" style="42" customWidth="1"/>
    <col min="10751" max="10751" width="27.75" style="42" customWidth="1"/>
    <col min="10752" max="10752" width="9.25" style="42" bestFit="1" customWidth="1"/>
    <col min="10753" max="10753" width="9" style="42" customWidth="1"/>
    <col min="10754" max="10754" width="8.25" style="42" customWidth="1"/>
    <col min="10755" max="10755" width="9.25" style="42" bestFit="1" customWidth="1"/>
    <col min="10756" max="10756" width="2.75" style="42" customWidth="1"/>
    <col min="10757" max="10757" width="26.625" style="42" customWidth="1"/>
    <col min="10758" max="10758" width="9.25" style="42" bestFit="1" customWidth="1"/>
    <col min="10759" max="10759" width="9" style="42" customWidth="1"/>
    <col min="10760" max="10760" width="8.25" style="42" customWidth="1"/>
    <col min="10761" max="10761" width="9.25" style="42" bestFit="1" customWidth="1"/>
    <col min="10762" max="10762" width="2.75" style="42" customWidth="1"/>
    <col min="10763" max="10763" width="26.625" style="42" customWidth="1"/>
    <col min="10764" max="10764" width="9.25" style="42" bestFit="1" customWidth="1"/>
    <col min="10765" max="10765" width="9" style="42" customWidth="1"/>
    <col min="10766" max="10766" width="8.25" style="42" customWidth="1"/>
    <col min="10767" max="10767" width="9.25" style="42" bestFit="1" customWidth="1"/>
    <col min="10768" max="10768" width="2.75" style="42" customWidth="1"/>
    <col min="10769" max="10773" width="0" style="42" hidden="1" customWidth="1"/>
    <col min="10774" max="10774" width="2.5" style="42" customWidth="1"/>
    <col min="10775" max="10775" width="6" style="42" bestFit="1" customWidth="1"/>
    <col min="10776" max="10776" width="21.125" style="42" customWidth="1"/>
    <col min="10777" max="10777" width="11" style="42" customWidth="1"/>
    <col min="10778" max="10778" width="15" style="42" customWidth="1"/>
    <col min="10779" max="10779" width="6.625" style="42" customWidth="1"/>
    <col min="10780" max="10781" width="7.375" style="42" customWidth="1"/>
    <col min="10782" max="10782" width="7.25" style="42" customWidth="1"/>
    <col min="10783" max="11000" width="8.25" style="42"/>
    <col min="11001" max="11001" width="27.75" style="42" customWidth="1"/>
    <col min="11002" max="11002" width="9.25" style="42" bestFit="1" customWidth="1"/>
    <col min="11003" max="11003" width="9" style="42" customWidth="1"/>
    <col min="11004" max="11004" width="8.25" style="42" customWidth="1"/>
    <col min="11005" max="11005" width="10.25" style="42" bestFit="1" customWidth="1"/>
    <col min="11006" max="11006" width="1.75" style="42" customWidth="1"/>
    <col min="11007" max="11007" width="27.75" style="42" customWidth="1"/>
    <col min="11008" max="11008" width="9.25" style="42" bestFit="1" customWidth="1"/>
    <col min="11009" max="11009" width="9" style="42" customWidth="1"/>
    <col min="11010" max="11010" width="8.25" style="42" customWidth="1"/>
    <col min="11011" max="11011" width="9.25" style="42" bestFit="1" customWidth="1"/>
    <col min="11012" max="11012" width="2.75" style="42" customWidth="1"/>
    <col min="11013" max="11013" width="26.625" style="42" customWidth="1"/>
    <col min="11014" max="11014" width="9.25" style="42" bestFit="1" customWidth="1"/>
    <col min="11015" max="11015" width="9" style="42" customWidth="1"/>
    <col min="11016" max="11016" width="8.25" style="42" customWidth="1"/>
    <col min="11017" max="11017" width="9.25" style="42" bestFit="1" customWidth="1"/>
    <col min="11018" max="11018" width="2.75" style="42" customWidth="1"/>
    <col min="11019" max="11019" width="26.625" style="42" customWidth="1"/>
    <col min="11020" max="11020" width="9.25" style="42" bestFit="1" customWidth="1"/>
    <col min="11021" max="11021" width="9" style="42" customWidth="1"/>
    <col min="11022" max="11022" width="8.25" style="42" customWidth="1"/>
    <col min="11023" max="11023" width="9.25" style="42" bestFit="1" customWidth="1"/>
    <col min="11024" max="11024" width="2.75" style="42" customWidth="1"/>
    <col min="11025" max="11029" width="0" style="42" hidden="1" customWidth="1"/>
    <col min="11030" max="11030" width="2.5" style="42" customWidth="1"/>
    <col min="11031" max="11031" width="6" style="42" bestFit="1" customWidth="1"/>
    <col min="11032" max="11032" width="21.125" style="42" customWidth="1"/>
    <col min="11033" max="11033" width="11" style="42" customWidth="1"/>
    <col min="11034" max="11034" width="15" style="42" customWidth="1"/>
    <col min="11035" max="11035" width="6.625" style="42" customWidth="1"/>
    <col min="11036" max="11037" width="7.375" style="42" customWidth="1"/>
    <col min="11038" max="11038" width="7.25" style="42" customWidth="1"/>
    <col min="11039" max="11256" width="8.25" style="42"/>
    <col min="11257" max="11257" width="27.75" style="42" customWidth="1"/>
    <col min="11258" max="11258" width="9.25" style="42" bestFit="1" customWidth="1"/>
    <col min="11259" max="11259" width="9" style="42" customWidth="1"/>
    <col min="11260" max="11260" width="8.25" style="42" customWidth="1"/>
    <col min="11261" max="11261" width="10.25" style="42" bestFit="1" customWidth="1"/>
    <col min="11262" max="11262" width="1.75" style="42" customWidth="1"/>
    <col min="11263" max="11263" width="27.75" style="42" customWidth="1"/>
    <col min="11264" max="11264" width="9.25" style="42" bestFit="1" customWidth="1"/>
    <col min="11265" max="11265" width="9" style="42" customWidth="1"/>
    <col min="11266" max="11266" width="8.25" style="42" customWidth="1"/>
    <col min="11267" max="11267" width="9.25" style="42" bestFit="1" customWidth="1"/>
    <col min="11268" max="11268" width="2.75" style="42" customWidth="1"/>
    <col min="11269" max="11269" width="26.625" style="42" customWidth="1"/>
    <col min="11270" max="11270" width="9.25" style="42" bestFit="1" customWidth="1"/>
    <col min="11271" max="11271" width="9" style="42" customWidth="1"/>
    <col min="11272" max="11272" width="8.25" style="42" customWidth="1"/>
    <col min="11273" max="11273" width="9.25" style="42" bestFit="1" customWidth="1"/>
    <col min="11274" max="11274" width="2.75" style="42" customWidth="1"/>
    <col min="11275" max="11275" width="26.625" style="42" customWidth="1"/>
    <col min="11276" max="11276" width="9.25" style="42" bestFit="1" customWidth="1"/>
    <col min="11277" max="11277" width="9" style="42" customWidth="1"/>
    <col min="11278" max="11278" width="8.25" style="42" customWidth="1"/>
    <col min="11279" max="11279" width="9.25" style="42" bestFit="1" customWidth="1"/>
    <col min="11280" max="11280" width="2.75" style="42" customWidth="1"/>
    <col min="11281" max="11285" width="0" style="42" hidden="1" customWidth="1"/>
    <col min="11286" max="11286" width="2.5" style="42" customWidth="1"/>
    <col min="11287" max="11287" width="6" style="42" bestFit="1" customWidth="1"/>
    <col min="11288" max="11288" width="21.125" style="42" customWidth="1"/>
    <col min="11289" max="11289" width="11" style="42" customWidth="1"/>
    <col min="11290" max="11290" width="15" style="42" customWidth="1"/>
    <col min="11291" max="11291" width="6.625" style="42" customWidth="1"/>
    <col min="11292" max="11293" width="7.375" style="42" customWidth="1"/>
    <col min="11294" max="11294" width="7.25" style="42" customWidth="1"/>
    <col min="11295" max="11512" width="8.25" style="42"/>
    <col min="11513" max="11513" width="27.75" style="42" customWidth="1"/>
    <col min="11514" max="11514" width="9.25" style="42" bestFit="1" customWidth="1"/>
    <col min="11515" max="11515" width="9" style="42" customWidth="1"/>
    <col min="11516" max="11516" width="8.25" style="42" customWidth="1"/>
    <col min="11517" max="11517" width="10.25" style="42" bestFit="1" customWidth="1"/>
    <col min="11518" max="11518" width="1.75" style="42" customWidth="1"/>
    <col min="11519" max="11519" width="27.75" style="42" customWidth="1"/>
    <col min="11520" max="11520" width="9.25" style="42" bestFit="1" customWidth="1"/>
    <col min="11521" max="11521" width="9" style="42" customWidth="1"/>
    <col min="11522" max="11522" width="8.25" style="42" customWidth="1"/>
    <col min="11523" max="11523" width="9.25" style="42" bestFit="1" customWidth="1"/>
    <col min="11524" max="11524" width="2.75" style="42" customWidth="1"/>
    <col min="11525" max="11525" width="26.625" style="42" customWidth="1"/>
    <col min="11526" max="11526" width="9.25" style="42" bestFit="1" customWidth="1"/>
    <col min="11527" max="11527" width="9" style="42" customWidth="1"/>
    <col min="11528" max="11528" width="8.25" style="42" customWidth="1"/>
    <col min="11529" max="11529" width="9.25" style="42" bestFit="1" customWidth="1"/>
    <col min="11530" max="11530" width="2.75" style="42" customWidth="1"/>
    <col min="11531" max="11531" width="26.625" style="42" customWidth="1"/>
    <col min="11532" max="11532" width="9.25" style="42" bestFit="1" customWidth="1"/>
    <col min="11533" max="11533" width="9" style="42" customWidth="1"/>
    <col min="11534" max="11534" width="8.25" style="42" customWidth="1"/>
    <col min="11535" max="11535" width="9.25" style="42" bestFit="1" customWidth="1"/>
    <col min="11536" max="11536" width="2.75" style="42" customWidth="1"/>
    <col min="11537" max="11541" width="0" style="42" hidden="1" customWidth="1"/>
    <col min="11542" max="11542" width="2.5" style="42" customWidth="1"/>
    <col min="11543" max="11543" width="6" style="42" bestFit="1" customWidth="1"/>
    <col min="11544" max="11544" width="21.125" style="42" customWidth="1"/>
    <col min="11545" max="11545" width="11" style="42" customWidth="1"/>
    <col min="11546" max="11546" width="15" style="42" customWidth="1"/>
    <col min="11547" max="11547" width="6.625" style="42" customWidth="1"/>
    <col min="11548" max="11549" width="7.375" style="42" customWidth="1"/>
    <col min="11550" max="11550" width="7.25" style="42" customWidth="1"/>
    <col min="11551" max="11768" width="8.25" style="42"/>
    <col min="11769" max="11769" width="27.75" style="42" customWidth="1"/>
    <col min="11770" max="11770" width="9.25" style="42" bestFit="1" customWidth="1"/>
    <col min="11771" max="11771" width="9" style="42" customWidth="1"/>
    <col min="11772" max="11772" width="8.25" style="42" customWidth="1"/>
    <col min="11773" max="11773" width="10.25" style="42" bestFit="1" customWidth="1"/>
    <col min="11774" max="11774" width="1.75" style="42" customWidth="1"/>
    <col min="11775" max="11775" width="27.75" style="42" customWidth="1"/>
    <col min="11776" max="11776" width="9.25" style="42" bestFit="1" customWidth="1"/>
    <col min="11777" max="11777" width="9" style="42" customWidth="1"/>
    <col min="11778" max="11778" width="8.25" style="42" customWidth="1"/>
    <col min="11779" max="11779" width="9.25" style="42" bestFit="1" customWidth="1"/>
    <col min="11780" max="11780" width="2.75" style="42" customWidth="1"/>
    <col min="11781" max="11781" width="26.625" style="42" customWidth="1"/>
    <col min="11782" max="11782" width="9.25" style="42" bestFit="1" customWidth="1"/>
    <col min="11783" max="11783" width="9" style="42" customWidth="1"/>
    <col min="11784" max="11784" width="8.25" style="42" customWidth="1"/>
    <col min="11785" max="11785" width="9.25" style="42" bestFit="1" customWidth="1"/>
    <col min="11786" max="11786" width="2.75" style="42" customWidth="1"/>
    <col min="11787" max="11787" width="26.625" style="42" customWidth="1"/>
    <col min="11788" max="11788" width="9.25" style="42" bestFit="1" customWidth="1"/>
    <col min="11789" max="11789" width="9" style="42" customWidth="1"/>
    <col min="11790" max="11790" width="8.25" style="42" customWidth="1"/>
    <col min="11791" max="11791" width="9.25" style="42" bestFit="1" customWidth="1"/>
    <col min="11792" max="11792" width="2.75" style="42" customWidth="1"/>
    <col min="11793" max="11797" width="0" style="42" hidden="1" customWidth="1"/>
    <col min="11798" max="11798" width="2.5" style="42" customWidth="1"/>
    <col min="11799" max="11799" width="6" style="42" bestFit="1" customWidth="1"/>
    <col min="11800" max="11800" width="21.125" style="42" customWidth="1"/>
    <col min="11801" max="11801" width="11" style="42" customWidth="1"/>
    <col min="11802" max="11802" width="15" style="42" customWidth="1"/>
    <col min="11803" max="11803" width="6.625" style="42" customWidth="1"/>
    <col min="11804" max="11805" width="7.375" style="42" customWidth="1"/>
    <col min="11806" max="11806" width="7.25" style="42" customWidth="1"/>
    <col min="11807" max="12024" width="8.25" style="42"/>
    <col min="12025" max="12025" width="27.75" style="42" customWidth="1"/>
    <col min="12026" max="12026" width="9.25" style="42" bestFit="1" customWidth="1"/>
    <col min="12027" max="12027" width="9" style="42" customWidth="1"/>
    <col min="12028" max="12028" width="8.25" style="42" customWidth="1"/>
    <col min="12029" max="12029" width="10.25" style="42" bestFit="1" customWidth="1"/>
    <col min="12030" max="12030" width="1.75" style="42" customWidth="1"/>
    <col min="12031" max="12031" width="27.75" style="42" customWidth="1"/>
    <col min="12032" max="12032" width="9.25" style="42" bestFit="1" customWidth="1"/>
    <col min="12033" max="12033" width="9" style="42" customWidth="1"/>
    <col min="12034" max="12034" width="8.25" style="42" customWidth="1"/>
    <col min="12035" max="12035" width="9.25" style="42" bestFit="1" customWidth="1"/>
    <col min="12036" max="12036" width="2.75" style="42" customWidth="1"/>
    <col min="12037" max="12037" width="26.625" style="42" customWidth="1"/>
    <col min="12038" max="12038" width="9.25" style="42" bestFit="1" customWidth="1"/>
    <col min="12039" max="12039" width="9" style="42" customWidth="1"/>
    <col min="12040" max="12040" width="8.25" style="42" customWidth="1"/>
    <col min="12041" max="12041" width="9.25" style="42" bestFit="1" customWidth="1"/>
    <col min="12042" max="12042" width="2.75" style="42" customWidth="1"/>
    <col min="12043" max="12043" width="26.625" style="42" customWidth="1"/>
    <col min="12044" max="12044" width="9.25" style="42" bestFit="1" customWidth="1"/>
    <col min="12045" max="12045" width="9" style="42" customWidth="1"/>
    <col min="12046" max="12046" width="8.25" style="42" customWidth="1"/>
    <col min="12047" max="12047" width="9.25" style="42" bestFit="1" customWidth="1"/>
    <col min="12048" max="12048" width="2.75" style="42" customWidth="1"/>
    <col min="12049" max="12053" width="0" style="42" hidden="1" customWidth="1"/>
    <col min="12054" max="12054" width="2.5" style="42" customWidth="1"/>
    <col min="12055" max="12055" width="6" style="42" bestFit="1" customWidth="1"/>
    <col min="12056" max="12056" width="21.125" style="42" customWidth="1"/>
    <col min="12057" max="12057" width="11" style="42" customWidth="1"/>
    <col min="12058" max="12058" width="15" style="42" customWidth="1"/>
    <col min="12059" max="12059" width="6.625" style="42" customWidth="1"/>
    <col min="12060" max="12061" width="7.375" style="42" customWidth="1"/>
    <col min="12062" max="12062" width="7.25" style="42" customWidth="1"/>
    <col min="12063" max="12280" width="8.25" style="42"/>
    <col min="12281" max="12281" width="27.75" style="42" customWidth="1"/>
    <col min="12282" max="12282" width="9.25" style="42" bestFit="1" customWidth="1"/>
    <col min="12283" max="12283" width="9" style="42" customWidth="1"/>
    <col min="12284" max="12284" width="8.25" style="42" customWidth="1"/>
    <col min="12285" max="12285" width="10.25" style="42" bestFit="1" customWidth="1"/>
    <col min="12286" max="12286" width="1.75" style="42" customWidth="1"/>
    <col min="12287" max="12287" width="27.75" style="42" customWidth="1"/>
    <col min="12288" max="12288" width="9.25" style="42" bestFit="1" customWidth="1"/>
    <col min="12289" max="12289" width="9" style="42" customWidth="1"/>
    <col min="12290" max="12290" width="8.25" style="42" customWidth="1"/>
    <col min="12291" max="12291" width="9.25" style="42" bestFit="1" customWidth="1"/>
    <col min="12292" max="12292" width="2.75" style="42" customWidth="1"/>
    <col min="12293" max="12293" width="26.625" style="42" customWidth="1"/>
    <col min="12294" max="12294" width="9.25" style="42" bestFit="1" customWidth="1"/>
    <col min="12295" max="12295" width="9" style="42" customWidth="1"/>
    <col min="12296" max="12296" width="8.25" style="42" customWidth="1"/>
    <col min="12297" max="12297" width="9.25" style="42" bestFit="1" customWidth="1"/>
    <col min="12298" max="12298" width="2.75" style="42" customWidth="1"/>
    <col min="12299" max="12299" width="26.625" style="42" customWidth="1"/>
    <col min="12300" max="12300" width="9.25" style="42" bestFit="1" customWidth="1"/>
    <col min="12301" max="12301" width="9" style="42" customWidth="1"/>
    <col min="12302" max="12302" width="8.25" style="42" customWidth="1"/>
    <col min="12303" max="12303" width="9.25" style="42" bestFit="1" customWidth="1"/>
    <col min="12304" max="12304" width="2.75" style="42" customWidth="1"/>
    <col min="12305" max="12309" width="0" style="42" hidden="1" customWidth="1"/>
    <col min="12310" max="12310" width="2.5" style="42" customWidth="1"/>
    <col min="12311" max="12311" width="6" style="42" bestFit="1" customWidth="1"/>
    <col min="12312" max="12312" width="21.125" style="42" customWidth="1"/>
    <col min="12313" max="12313" width="11" style="42" customWidth="1"/>
    <col min="12314" max="12314" width="15" style="42" customWidth="1"/>
    <col min="12315" max="12315" width="6.625" style="42" customWidth="1"/>
    <col min="12316" max="12317" width="7.375" style="42" customWidth="1"/>
    <col min="12318" max="12318" width="7.25" style="42" customWidth="1"/>
    <col min="12319" max="12536" width="8.25" style="42"/>
    <col min="12537" max="12537" width="27.75" style="42" customWidth="1"/>
    <col min="12538" max="12538" width="9.25" style="42" bestFit="1" customWidth="1"/>
    <col min="12539" max="12539" width="9" style="42" customWidth="1"/>
    <col min="12540" max="12540" width="8.25" style="42" customWidth="1"/>
    <col min="12541" max="12541" width="10.25" style="42" bestFit="1" customWidth="1"/>
    <col min="12542" max="12542" width="1.75" style="42" customWidth="1"/>
    <col min="12543" max="12543" width="27.75" style="42" customWidth="1"/>
    <col min="12544" max="12544" width="9.25" style="42" bestFit="1" customWidth="1"/>
    <col min="12545" max="12545" width="9" style="42" customWidth="1"/>
    <col min="12546" max="12546" width="8.25" style="42" customWidth="1"/>
    <col min="12547" max="12547" width="9.25" style="42" bestFit="1" customWidth="1"/>
    <col min="12548" max="12548" width="2.75" style="42" customWidth="1"/>
    <col min="12549" max="12549" width="26.625" style="42" customWidth="1"/>
    <col min="12550" max="12550" width="9.25" style="42" bestFit="1" customWidth="1"/>
    <col min="12551" max="12551" width="9" style="42" customWidth="1"/>
    <col min="12552" max="12552" width="8.25" style="42" customWidth="1"/>
    <col min="12553" max="12553" width="9.25" style="42" bestFit="1" customWidth="1"/>
    <col min="12554" max="12554" width="2.75" style="42" customWidth="1"/>
    <col min="12555" max="12555" width="26.625" style="42" customWidth="1"/>
    <col min="12556" max="12556" width="9.25" style="42" bestFit="1" customWidth="1"/>
    <col min="12557" max="12557" width="9" style="42" customWidth="1"/>
    <col min="12558" max="12558" width="8.25" style="42" customWidth="1"/>
    <col min="12559" max="12559" width="9.25" style="42" bestFit="1" customWidth="1"/>
    <col min="12560" max="12560" width="2.75" style="42" customWidth="1"/>
    <col min="12561" max="12565" width="0" style="42" hidden="1" customWidth="1"/>
    <col min="12566" max="12566" width="2.5" style="42" customWidth="1"/>
    <col min="12567" max="12567" width="6" style="42" bestFit="1" customWidth="1"/>
    <col min="12568" max="12568" width="21.125" style="42" customWidth="1"/>
    <col min="12569" max="12569" width="11" style="42" customWidth="1"/>
    <col min="12570" max="12570" width="15" style="42" customWidth="1"/>
    <col min="12571" max="12571" width="6.625" style="42" customWidth="1"/>
    <col min="12572" max="12573" width="7.375" style="42" customWidth="1"/>
    <col min="12574" max="12574" width="7.25" style="42" customWidth="1"/>
    <col min="12575" max="12792" width="8.25" style="42"/>
    <col min="12793" max="12793" width="27.75" style="42" customWidth="1"/>
    <col min="12794" max="12794" width="9.25" style="42" bestFit="1" customWidth="1"/>
    <col min="12795" max="12795" width="9" style="42" customWidth="1"/>
    <col min="12796" max="12796" width="8.25" style="42" customWidth="1"/>
    <col min="12797" max="12797" width="10.25" style="42" bestFit="1" customWidth="1"/>
    <col min="12798" max="12798" width="1.75" style="42" customWidth="1"/>
    <col min="12799" max="12799" width="27.75" style="42" customWidth="1"/>
    <col min="12800" max="12800" width="9.25" style="42" bestFit="1" customWidth="1"/>
    <col min="12801" max="12801" width="9" style="42" customWidth="1"/>
    <col min="12802" max="12802" width="8.25" style="42" customWidth="1"/>
    <col min="12803" max="12803" width="9.25" style="42" bestFit="1" customWidth="1"/>
    <col min="12804" max="12804" width="2.75" style="42" customWidth="1"/>
    <col min="12805" max="12805" width="26.625" style="42" customWidth="1"/>
    <col min="12806" max="12806" width="9.25" style="42" bestFit="1" customWidth="1"/>
    <col min="12807" max="12807" width="9" style="42" customWidth="1"/>
    <col min="12808" max="12808" width="8.25" style="42" customWidth="1"/>
    <col min="12809" max="12809" width="9.25" style="42" bestFit="1" customWidth="1"/>
    <col min="12810" max="12810" width="2.75" style="42" customWidth="1"/>
    <col min="12811" max="12811" width="26.625" style="42" customWidth="1"/>
    <col min="12812" max="12812" width="9.25" style="42" bestFit="1" customWidth="1"/>
    <col min="12813" max="12813" width="9" style="42" customWidth="1"/>
    <col min="12814" max="12814" width="8.25" style="42" customWidth="1"/>
    <col min="12815" max="12815" width="9.25" style="42" bestFit="1" customWidth="1"/>
    <col min="12816" max="12816" width="2.75" style="42" customWidth="1"/>
    <col min="12817" max="12821" width="0" style="42" hidden="1" customWidth="1"/>
    <col min="12822" max="12822" width="2.5" style="42" customWidth="1"/>
    <col min="12823" max="12823" width="6" style="42" bestFit="1" customWidth="1"/>
    <col min="12824" max="12824" width="21.125" style="42" customWidth="1"/>
    <col min="12825" max="12825" width="11" style="42" customWidth="1"/>
    <col min="12826" max="12826" width="15" style="42" customWidth="1"/>
    <col min="12827" max="12827" width="6.625" style="42" customWidth="1"/>
    <col min="12828" max="12829" width="7.375" style="42" customWidth="1"/>
    <col min="12830" max="12830" width="7.25" style="42" customWidth="1"/>
    <col min="12831" max="13048" width="8.25" style="42"/>
    <col min="13049" max="13049" width="27.75" style="42" customWidth="1"/>
    <col min="13050" max="13050" width="9.25" style="42" bestFit="1" customWidth="1"/>
    <col min="13051" max="13051" width="9" style="42" customWidth="1"/>
    <col min="13052" max="13052" width="8.25" style="42" customWidth="1"/>
    <col min="13053" max="13053" width="10.25" style="42" bestFit="1" customWidth="1"/>
    <col min="13054" max="13054" width="1.75" style="42" customWidth="1"/>
    <col min="13055" max="13055" width="27.75" style="42" customWidth="1"/>
    <col min="13056" max="13056" width="9.25" style="42" bestFit="1" customWidth="1"/>
    <col min="13057" max="13057" width="9" style="42" customWidth="1"/>
    <col min="13058" max="13058" width="8.25" style="42" customWidth="1"/>
    <col min="13059" max="13059" width="9.25" style="42" bestFit="1" customWidth="1"/>
    <col min="13060" max="13060" width="2.75" style="42" customWidth="1"/>
    <col min="13061" max="13061" width="26.625" style="42" customWidth="1"/>
    <col min="13062" max="13062" width="9.25" style="42" bestFit="1" customWidth="1"/>
    <col min="13063" max="13063" width="9" style="42" customWidth="1"/>
    <col min="13064" max="13064" width="8.25" style="42" customWidth="1"/>
    <col min="13065" max="13065" width="9.25" style="42" bestFit="1" customWidth="1"/>
    <col min="13066" max="13066" width="2.75" style="42" customWidth="1"/>
    <col min="13067" max="13067" width="26.625" style="42" customWidth="1"/>
    <col min="13068" max="13068" width="9.25" style="42" bestFit="1" customWidth="1"/>
    <col min="13069" max="13069" width="9" style="42" customWidth="1"/>
    <col min="13070" max="13070" width="8.25" style="42" customWidth="1"/>
    <col min="13071" max="13071" width="9.25" style="42" bestFit="1" customWidth="1"/>
    <col min="13072" max="13072" width="2.75" style="42" customWidth="1"/>
    <col min="13073" max="13077" width="0" style="42" hidden="1" customWidth="1"/>
    <col min="13078" max="13078" width="2.5" style="42" customWidth="1"/>
    <col min="13079" max="13079" width="6" style="42" bestFit="1" customWidth="1"/>
    <col min="13080" max="13080" width="21.125" style="42" customWidth="1"/>
    <col min="13081" max="13081" width="11" style="42" customWidth="1"/>
    <col min="13082" max="13082" width="15" style="42" customWidth="1"/>
    <col min="13083" max="13083" width="6.625" style="42" customWidth="1"/>
    <col min="13084" max="13085" width="7.375" style="42" customWidth="1"/>
    <col min="13086" max="13086" width="7.25" style="42" customWidth="1"/>
    <col min="13087" max="13304" width="8.25" style="42"/>
    <col min="13305" max="13305" width="27.75" style="42" customWidth="1"/>
    <col min="13306" max="13306" width="9.25" style="42" bestFit="1" customWidth="1"/>
    <col min="13307" max="13307" width="9" style="42" customWidth="1"/>
    <col min="13308" max="13308" width="8.25" style="42" customWidth="1"/>
    <col min="13309" max="13309" width="10.25" style="42" bestFit="1" customWidth="1"/>
    <col min="13310" max="13310" width="1.75" style="42" customWidth="1"/>
    <col min="13311" max="13311" width="27.75" style="42" customWidth="1"/>
    <col min="13312" max="13312" width="9.25" style="42" bestFit="1" customWidth="1"/>
    <col min="13313" max="13313" width="9" style="42" customWidth="1"/>
    <col min="13314" max="13314" width="8.25" style="42" customWidth="1"/>
    <col min="13315" max="13315" width="9.25" style="42" bestFit="1" customWidth="1"/>
    <col min="13316" max="13316" width="2.75" style="42" customWidth="1"/>
    <col min="13317" max="13317" width="26.625" style="42" customWidth="1"/>
    <col min="13318" max="13318" width="9.25" style="42" bestFit="1" customWidth="1"/>
    <col min="13319" max="13319" width="9" style="42" customWidth="1"/>
    <col min="13320" max="13320" width="8.25" style="42" customWidth="1"/>
    <col min="13321" max="13321" width="9.25" style="42" bestFit="1" customWidth="1"/>
    <col min="13322" max="13322" width="2.75" style="42" customWidth="1"/>
    <col min="13323" max="13323" width="26.625" style="42" customWidth="1"/>
    <col min="13324" max="13324" width="9.25" style="42" bestFit="1" customWidth="1"/>
    <col min="13325" max="13325" width="9" style="42" customWidth="1"/>
    <col min="13326" max="13326" width="8.25" style="42" customWidth="1"/>
    <col min="13327" max="13327" width="9.25" style="42" bestFit="1" customWidth="1"/>
    <col min="13328" max="13328" width="2.75" style="42" customWidth="1"/>
    <col min="13329" max="13333" width="0" style="42" hidden="1" customWidth="1"/>
    <col min="13334" max="13334" width="2.5" style="42" customWidth="1"/>
    <col min="13335" max="13335" width="6" style="42" bestFit="1" customWidth="1"/>
    <col min="13336" max="13336" width="21.125" style="42" customWidth="1"/>
    <col min="13337" max="13337" width="11" style="42" customWidth="1"/>
    <col min="13338" max="13338" width="15" style="42" customWidth="1"/>
    <col min="13339" max="13339" width="6.625" style="42" customWidth="1"/>
    <col min="13340" max="13341" width="7.375" style="42" customWidth="1"/>
    <col min="13342" max="13342" width="7.25" style="42" customWidth="1"/>
    <col min="13343" max="13560" width="8.25" style="42"/>
    <col min="13561" max="13561" width="27.75" style="42" customWidth="1"/>
    <col min="13562" max="13562" width="9.25" style="42" bestFit="1" customWidth="1"/>
    <col min="13563" max="13563" width="9" style="42" customWidth="1"/>
    <col min="13564" max="13564" width="8.25" style="42" customWidth="1"/>
    <col min="13565" max="13565" width="10.25" style="42" bestFit="1" customWidth="1"/>
    <col min="13566" max="13566" width="1.75" style="42" customWidth="1"/>
    <col min="13567" max="13567" width="27.75" style="42" customWidth="1"/>
    <col min="13568" max="13568" width="9.25" style="42" bestFit="1" customWidth="1"/>
    <col min="13569" max="13569" width="9" style="42" customWidth="1"/>
    <col min="13570" max="13570" width="8.25" style="42" customWidth="1"/>
    <col min="13571" max="13571" width="9.25" style="42" bestFit="1" customWidth="1"/>
    <col min="13572" max="13572" width="2.75" style="42" customWidth="1"/>
    <col min="13573" max="13573" width="26.625" style="42" customWidth="1"/>
    <col min="13574" max="13574" width="9.25" style="42" bestFit="1" customWidth="1"/>
    <col min="13575" max="13575" width="9" style="42" customWidth="1"/>
    <col min="13576" max="13576" width="8.25" style="42" customWidth="1"/>
    <col min="13577" max="13577" width="9.25" style="42" bestFit="1" customWidth="1"/>
    <col min="13578" max="13578" width="2.75" style="42" customWidth="1"/>
    <col min="13579" max="13579" width="26.625" style="42" customWidth="1"/>
    <col min="13580" max="13580" width="9.25" style="42" bestFit="1" customWidth="1"/>
    <col min="13581" max="13581" width="9" style="42" customWidth="1"/>
    <col min="13582" max="13582" width="8.25" style="42" customWidth="1"/>
    <col min="13583" max="13583" width="9.25" style="42" bestFit="1" customWidth="1"/>
    <col min="13584" max="13584" width="2.75" style="42" customWidth="1"/>
    <col min="13585" max="13589" width="0" style="42" hidden="1" customWidth="1"/>
    <col min="13590" max="13590" width="2.5" style="42" customWidth="1"/>
    <col min="13591" max="13591" width="6" style="42" bestFit="1" customWidth="1"/>
    <col min="13592" max="13592" width="21.125" style="42" customWidth="1"/>
    <col min="13593" max="13593" width="11" style="42" customWidth="1"/>
    <col min="13594" max="13594" width="15" style="42" customWidth="1"/>
    <col min="13595" max="13595" width="6.625" style="42" customWidth="1"/>
    <col min="13596" max="13597" width="7.375" style="42" customWidth="1"/>
    <col min="13598" max="13598" width="7.25" style="42" customWidth="1"/>
    <col min="13599" max="13816" width="8.25" style="42"/>
    <col min="13817" max="13817" width="27.75" style="42" customWidth="1"/>
    <col min="13818" max="13818" width="9.25" style="42" bestFit="1" customWidth="1"/>
    <col min="13819" max="13819" width="9" style="42" customWidth="1"/>
    <col min="13820" max="13820" width="8.25" style="42" customWidth="1"/>
    <col min="13821" max="13821" width="10.25" style="42" bestFit="1" customWidth="1"/>
    <col min="13822" max="13822" width="1.75" style="42" customWidth="1"/>
    <col min="13823" max="13823" width="27.75" style="42" customWidth="1"/>
    <col min="13824" max="13824" width="9.25" style="42" bestFit="1" customWidth="1"/>
    <col min="13825" max="13825" width="9" style="42" customWidth="1"/>
    <col min="13826" max="13826" width="8.25" style="42" customWidth="1"/>
    <col min="13827" max="13827" width="9.25" style="42" bestFit="1" customWidth="1"/>
    <col min="13828" max="13828" width="2.75" style="42" customWidth="1"/>
    <col min="13829" max="13829" width="26.625" style="42" customWidth="1"/>
    <col min="13830" max="13830" width="9.25" style="42" bestFit="1" customWidth="1"/>
    <col min="13831" max="13831" width="9" style="42" customWidth="1"/>
    <col min="13832" max="13832" width="8.25" style="42" customWidth="1"/>
    <col min="13833" max="13833" width="9.25" style="42" bestFit="1" customWidth="1"/>
    <col min="13834" max="13834" width="2.75" style="42" customWidth="1"/>
    <col min="13835" max="13835" width="26.625" style="42" customWidth="1"/>
    <col min="13836" max="13836" width="9.25" style="42" bestFit="1" customWidth="1"/>
    <col min="13837" max="13837" width="9" style="42" customWidth="1"/>
    <col min="13838" max="13838" width="8.25" style="42" customWidth="1"/>
    <col min="13839" max="13839" width="9.25" style="42" bestFit="1" customWidth="1"/>
    <col min="13840" max="13840" width="2.75" style="42" customWidth="1"/>
    <col min="13841" max="13845" width="0" style="42" hidden="1" customWidth="1"/>
    <col min="13846" max="13846" width="2.5" style="42" customWidth="1"/>
    <col min="13847" max="13847" width="6" style="42" bestFit="1" customWidth="1"/>
    <col min="13848" max="13848" width="21.125" style="42" customWidth="1"/>
    <col min="13849" max="13849" width="11" style="42" customWidth="1"/>
    <col min="13850" max="13850" width="15" style="42" customWidth="1"/>
    <col min="13851" max="13851" width="6.625" style="42" customWidth="1"/>
    <col min="13852" max="13853" width="7.375" style="42" customWidth="1"/>
    <col min="13854" max="13854" width="7.25" style="42" customWidth="1"/>
    <col min="13855" max="14072" width="8.25" style="42"/>
    <col min="14073" max="14073" width="27.75" style="42" customWidth="1"/>
    <col min="14074" max="14074" width="9.25" style="42" bestFit="1" customWidth="1"/>
    <col min="14075" max="14075" width="9" style="42" customWidth="1"/>
    <col min="14076" max="14076" width="8.25" style="42" customWidth="1"/>
    <col min="14077" max="14077" width="10.25" style="42" bestFit="1" customWidth="1"/>
    <col min="14078" max="14078" width="1.75" style="42" customWidth="1"/>
    <col min="14079" max="14079" width="27.75" style="42" customWidth="1"/>
    <col min="14080" max="14080" width="9.25" style="42" bestFit="1" customWidth="1"/>
    <col min="14081" max="14081" width="9" style="42" customWidth="1"/>
    <col min="14082" max="14082" width="8.25" style="42" customWidth="1"/>
    <col min="14083" max="14083" width="9.25" style="42" bestFit="1" customWidth="1"/>
    <col min="14084" max="14084" width="2.75" style="42" customWidth="1"/>
    <col min="14085" max="14085" width="26.625" style="42" customWidth="1"/>
    <col min="14086" max="14086" width="9.25" style="42" bestFit="1" customWidth="1"/>
    <col min="14087" max="14087" width="9" style="42" customWidth="1"/>
    <col min="14088" max="14088" width="8.25" style="42" customWidth="1"/>
    <col min="14089" max="14089" width="9.25" style="42" bestFit="1" customWidth="1"/>
    <col min="14090" max="14090" width="2.75" style="42" customWidth="1"/>
    <col min="14091" max="14091" width="26.625" style="42" customWidth="1"/>
    <col min="14092" max="14092" width="9.25" style="42" bestFit="1" customWidth="1"/>
    <col min="14093" max="14093" width="9" style="42" customWidth="1"/>
    <col min="14094" max="14094" width="8.25" style="42" customWidth="1"/>
    <col min="14095" max="14095" width="9.25" style="42" bestFit="1" customWidth="1"/>
    <col min="14096" max="14096" width="2.75" style="42" customWidth="1"/>
    <col min="14097" max="14101" width="0" style="42" hidden="1" customWidth="1"/>
    <col min="14102" max="14102" width="2.5" style="42" customWidth="1"/>
    <col min="14103" max="14103" width="6" style="42" bestFit="1" customWidth="1"/>
    <col min="14104" max="14104" width="21.125" style="42" customWidth="1"/>
    <col min="14105" max="14105" width="11" style="42" customWidth="1"/>
    <col min="14106" max="14106" width="15" style="42" customWidth="1"/>
    <col min="14107" max="14107" width="6.625" style="42" customWidth="1"/>
    <col min="14108" max="14109" width="7.375" style="42" customWidth="1"/>
    <col min="14110" max="14110" width="7.25" style="42" customWidth="1"/>
    <col min="14111" max="14328" width="8.25" style="42"/>
    <col min="14329" max="14329" width="27.75" style="42" customWidth="1"/>
    <col min="14330" max="14330" width="9.25" style="42" bestFit="1" customWidth="1"/>
    <col min="14331" max="14331" width="9" style="42" customWidth="1"/>
    <col min="14332" max="14332" width="8.25" style="42" customWidth="1"/>
    <col min="14333" max="14333" width="10.25" style="42" bestFit="1" customWidth="1"/>
    <col min="14334" max="14334" width="1.75" style="42" customWidth="1"/>
    <col min="14335" max="14335" width="27.75" style="42" customWidth="1"/>
    <col min="14336" max="14336" width="9.25" style="42" bestFit="1" customWidth="1"/>
    <col min="14337" max="14337" width="9" style="42" customWidth="1"/>
    <col min="14338" max="14338" width="8.25" style="42" customWidth="1"/>
    <col min="14339" max="14339" width="9.25" style="42" bestFit="1" customWidth="1"/>
    <col min="14340" max="14340" width="2.75" style="42" customWidth="1"/>
    <col min="14341" max="14341" width="26.625" style="42" customWidth="1"/>
    <col min="14342" max="14342" width="9.25" style="42" bestFit="1" customWidth="1"/>
    <col min="14343" max="14343" width="9" style="42" customWidth="1"/>
    <col min="14344" max="14344" width="8.25" style="42" customWidth="1"/>
    <col min="14345" max="14345" width="9.25" style="42" bestFit="1" customWidth="1"/>
    <col min="14346" max="14346" width="2.75" style="42" customWidth="1"/>
    <col min="14347" max="14347" width="26.625" style="42" customWidth="1"/>
    <col min="14348" max="14348" width="9.25" style="42" bestFit="1" customWidth="1"/>
    <col min="14349" max="14349" width="9" style="42" customWidth="1"/>
    <col min="14350" max="14350" width="8.25" style="42" customWidth="1"/>
    <col min="14351" max="14351" width="9.25" style="42" bestFit="1" customWidth="1"/>
    <col min="14352" max="14352" width="2.75" style="42" customWidth="1"/>
    <col min="14353" max="14357" width="0" style="42" hidden="1" customWidth="1"/>
    <col min="14358" max="14358" width="2.5" style="42" customWidth="1"/>
    <col min="14359" max="14359" width="6" style="42" bestFit="1" customWidth="1"/>
    <col min="14360" max="14360" width="21.125" style="42" customWidth="1"/>
    <col min="14361" max="14361" width="11" style="42" customWidth="1"/>
    <col min="14362" max="14362" width="15" style="42" customWidth="1"/>
    <col min="14363" max="14363" width="6.625" style="42" customWidth="1"/>
    <col min="14364" max="14365" width="7.375" style="42" customWidth="1"/>
    <col min="14366" max="14366" width="7.25" style="42" customWidth="1"/>
    <col min="14367" max="14584" width="8.25" style="42"/>
    <col min="14585" max="14585" width="27.75" style="42" customWidth="1"/>
    <col min="14586" max="14586" width="9.25" style="42" bestFit="1" customWidth="1"/>
    <col min="14587" max="14587" width="9" style="42" customWidth="1"/>
    <col min="14588" max="14588" width="8.25" style="42" customWidth="1"/>
    <col min="14589" max="14589" width="10.25" style="42" bestFit="1" customWidth="1"/>
    <col min="14590" max="14590" width="1.75" style="42" customWidth="1"/>
    <col min="14591" max="14591" width="27.75" style="42" customWidth="1"/>
    <col min="14592" max="14592" width="9.25" style="42" bestFit="1" customWidth="1"/>
    <col min="14593" max="14593" width="9" style="42" customWidth="1"/>
    <col min="14594" max="14594" width="8.25" style="42" customWidth="1"/>
    <col min="14595" max="14595" width="9.25" style="42" bestFit="1" customWidth="1"/>
    <col min="14596" max="14596" width="2.75" style="42" customWidth="1"/>
    <col min="14597" max="14597" width="26.625" style="42" customWidth="1"/>
    <col min="14598" max="14598" width="9.25" style="42" bestFit="1" customWidth="1"/>
    <col min="14599" max="14599" width="9" style="42" customWidth="1"/>
    <col min="14600" max="14600" width="8.25" style="42" customWidth="1"/>
    <col min="14601" max="14601" width="9.25" style="42" bestFit="1" customWidth="1"/>
    <col min="14602" max="14602" width="2.75" style="42" customWidth="1"/>
    <col min="14603" max="14603" width="26.625" style="42" customWidth="1"/>
    <col min="14604" max="14604" width="9.25" style="42" bestFit="1" customWidth="1"/>
    <col min="14605" max="14605" width="9" style="42" customWidth="1"/>
    <col min="14606" max="14606" width="8.25" style="42" customWidth="1"/>
    <col min="14607" max="14607" width="9.25" style="42" bestFit="1" customWidth="1"/>
    <col min="14608" max="14608" width="2.75" style="42" customWidth="1"/>
    <col min="14609" max="14613" width="0" style="42" hidden="1" customWidth="1"/>
    <col min="14614" max="14614" width="2.5" style="42" customWidth="1"/>
    <col min="14615" max="14615" width="6" style="42" bestFit="1" customWidth="1"/>
    <col min="14616" max="14616" width="21.125" style="42" customWidth="1"/>
    <col min="14617" max="14617" width="11" style="42" customWidth="1"/>
    <col min="14618" max="14618" width="15" style="42" customWidth="1"/>
    <col min="14619" max="14619" width="6.625" style="42" customWidth="1"/>
    <col min="14620" max="14621" width="7.375" style="42" customWidth="1"/>
    <col min="14622" max="14622" width="7.25" style="42" customWidth="1"/>
    <col min="14623" max="14840" width="8.25" style="42"/>
    <col min="14841" max="14841" width="27.75" style="42" customWidth="1"/>
    <col min="14842" max="14842" width="9.25" style="42" bestFit="1" customWidth="1"/>
    <col min="14843" max="14843" width="9" style="42" customWidth="1"/>
    <col min="14844" max="14844" width="8.25" style="42" customWidth="1"/>
    <col min="14845" max="14845" width="10.25" style="42" bestFit="1" customWidth="1"/>
    <col min="14846" max="14846" width="1.75" style="42" customWidth="1"/>
    <col min="14847" max="14847" width="27.75" style="42" customWidth="1"/>
    <col min="14848" max="14848" width="9.25" style="42" bestFit="1" customWidth="1"/>
    <col min="14849" max="14849" width="9" style="42" customWidth="1"/>
    <col min="14850" max="14850" width="8.25" style="42" customWidth="1"/>
    <col min="14851" max="14851" width="9.25" style="42" bestFit="1" customWidth="1"/>
    <col min="14852" max="14852" width="2.75" style="42" customWidth="1"/>
    <col min="14853" max="14853" width="26.625" style="42" customWidth="1"/>
    <col min="14854" max="14854" width="9.25" style="42" bestFit="1" customWidth="1"/>
    <col min="14855" max="14855" width="9" style="42" customWidth="1"/>
    <col min="14856" max="14856" width="8.25" style="42" customWidth="1"/>
    <col min="14857" max="14857" width="9.25" style="42" bestFit="1" customWidth="1"/>
    <col min="14858" max="14858" width="2.75" style="42" customWidth="1"/>
    <col min="14859" max="14859" width="26.625" style="42" customWidth="1"/>
    <col min="14860" max="14860" width="9.25" style="42" bestFit="1" customWidth="1"/>
    <col min="14861" max="14861" width="9" style="42" customWidth="1"/>
    <col min="14862" max="14862" width="8.25" style="42" customWidth="1"/>
    <col min="14863" max="14863" width="9.25" style="42" bestFit="1" customWidth="1"/>
    <col min="14864" max="14864" width="2.75" style="42" customWidth="1"/>
    <col min="14865" max="14869" width="0" style="42" hidden="1" customWidth="1"/>
    <col min="14870" max="14870" width="2.5" style="42" customWidth="1"/>
    <col min="14871" max="14871" width="6" style="42" bestFit="1" customWidth="1"/>
    <col min="14872" max="14872" width="21.125" style="42" customWidth="1"/>
    <col min="14873" max="14873" width="11" style="42" customWidth="1"/>
    <col min="14874" max="14874" width="15" style="42" customWidth="1"/>
    <col min="14875" max="14875" width="6.625" style="42" customWidth="1"/>
    <col min="14876" max="14877" width="7.375" style="42" customWidth="1"/>
    <col min="14878" max="14878" width="7.25" style="42" customWidth="1"/>
    <col min="14879" max="15096" width="8.25" style="42"/>
    <col min="15097" max="15097" width="27.75" style="42" customWidth="1"/>
    <col min="15098" max="15098" width="9.25" style="42" bestFit="1" customWidth="1"/>
    <col min="15099" max="15099" width="9" style="42" customWidth="1"/>
    <col min="15100" max="15100" width="8.25" style="42" customWidth="1"/>
    <col min="15101" max="15101" width="10.25" style="42" bestFit="1" customWidth="1"/>
    <col min="15102" max="15102" width="1.75" style="42" customWidth="1"/>
    <col min="15103" max="15103" width="27.75" style="42" customWidth="1"/>
    <col min="15104" max="15104" width="9.25" style="42" bestFit="1" customWidth="1"/>
    <col min="15105" max="15105" width="9" style="42" customWidth="1"/>
    <col min="15106" max="15106" width="8.25" style="42" customWidth="1"/>
    <col min="15107" max="15107" width="9.25" style="42" bestFit="1" customWidth="1"/>
    <col min="15108" max="15108" width="2.75" style="42" customWidth="1"/>
    <col min="15109" max="15109" width="26.625" style="42" customWidth="1"/>
    <col min="15110" max="15110" width="9.25" style="42" bestFit="1" customWidth="1"/>
    <col min="15111" max="15111" width="9" style="42" customWidth="1"/>
    <col min="15112" max="15112" width="8.25" style="42" customWidth="1"/>
    <col min="15113" max="15113" width="9.25" style="42" bestFit="1" customWidth="1"/>
    <col min="15114" max="15114" width="2.75" style="42" customWidth="1"/>
    <col min="15115" max="15115" width="26.625" style="42" customWidth="1"/>
    <col min="15116" max="15116" width="9.25" style="42" bestFit="1" customWidth="1"/>
    <col min="15117" max="15117" width="9" style="42" customWidth="1"/>
    <col min="15118" max="15118" width="8.25" style="42" customWidth="1"/>
    <col min="15119" max="15119" width="9.25" style="42" bestFit="1" customWidth="1"/>
    <col min="15120" max="15120" width="2.75" style="42" customWidth="1"/>
    <col min="15121" max="15125" width="0" style="42" hidden="1" customWidth="1"/>
    <col min="15126" max="15126" width="2.5" style="42" customWidth="1"/>
    <col min="15127" max="15127" width="6" style="42" bestFit="1" customWidth="1"/>
    <col min="15128" max="15128" width="21.125" style="42" customWidth="1"/>
    <col min="15129" max="15129" width="11" style="42" customWidth="1"/>
    <col min="15130" max="15130" width="15" style="42" customWidth="1"/>
    <col min="15131" max="15131" width="6.625" style="42" customWidth="1"/>
    <col min="15132" max="15133" width="7.375" style="42" customWidth="1"/>
    <col min="15134" max="15134" width="7.25" style="42" customWidth="1"/>
    <col min="15135" max="15352" width="8.25" style="42"/>
    <col min="15353" max="15353" width="27.75" style="42" customWidth="1"/>
    <col min="15354" max="15354" width="9.25" style="42" bestFit="1" customWidth="1"/>
    <col min="15355" max="15355" width="9" style="42" customWidth="1"/>
    <col min="15356" max="15356" width="8.25" style="42" customWidth="1"/>
    <col min="15357" max="15357" width="10.25" style="42" bestFit="1" customWidth="1"/>
    <col min="15358" max="15358" width="1.75" style="42" customWidth="1"/>
    <col min="15359" max="15359" width="27.75" style="42" customWidth="1"/>
    <col min="15360" max="15360" width="9.25" style="42" bestFit="1" customWidth="1"/>
    <col min="15361" max="15361" width="9" style="42" customWidth="1"/>
    <col min="15362" max="15362" width="8.25" style="42" customWidth="1"/>
    <col min="15363" max="15363" width="9.25" style="42" bestFit="1" customWidth="1"/>
    <col min="15364" max="15364" width="2.75" style="42" customWidth="1"/>
    <col min="15365" max="15365" width="26.625" style="42" customWidth="1"/>
    <col min="15366" max="15366" width="9.25" style="42" bestFit="1" customWidth="1"/>
    <col min="15367" max="15367" width="9" style="42" customWidth="1"/>
    <col min="15368" max="15368" width="8.25" style="42" customWidth="1"/>
    <col min="15369" max="15369" width="9.25" style="42" bestFit="1" customWidth="1"/>
    <col min="15370" max="15370" width="2.75" style="42" customWidth="1"/>
    <col min="15371" max="15371" width="26.625" style="42" customWidth="1"/>
    <col min="15372" max="15372" width="9.25" style="42" bestFit="1" customWidth="1"/>
    <col min="15373" max="15373" width="9" style="42" customWidth="1"/>
    <col min="15374" max="15374" width="8.25" style="42" customWidth="1"/>
    <col min="15375" max="15375" width="9.25" style="42" bestFit="1" customWidth="1"/>
    <col min="15376" max="15376" width="2.75" style="42" customWidth="1"/>
    <col min="15377" max="15381" width="0" style="42" hidden="1" customWidth="1"/>
    <col min="15382" max="15382" width="2.5" style="42" customWidth="1"/>
    <col min="15383" max="15383" width="6" style="42" bestFit="1" customWidth="1"/>
    <col min="15384" max="15384" width="21.125" style="42" customWidth="1"/>
    <col min="15385" max="15385" width="11" style="42" customWidth="1"/>
    <col min="15386" max="15386" width="15" style="42" customWidth="1"/>
    <col min="15387" max="15387" width="6.625" style="42" customWidth="1"/>
    <col min="15388" max="15389" width="7.375" style="42" customWidth="1"/>
    <col min="15390" max="15390" width="7.25" style="42" customWidth="1"/>
    <col min="15391" max="15608" width="8.25" style="42"/>
    <col min="15609" max="15609" width="27.75" style="42" customWidth="1"/>
    <col min="15610" max="15610" width="9.25" style="42" bestFit="1" customWidth="1"/>
    <col min="15611" max="15611" width="9" style="42" customWidth="1"/>
    <col min="15612" max="15612" width="8.25" style="42" customWidth="1"/>
    <col min="15613" max="15613" width="10.25" style="42" bestFit="1" customWidth="1"/>
    <col min="15614" max="15614" width="1.75" style="42" customWidth="1"/>
    <col min="15615" max="15615" width="27.75" style="42" customWidth="1"/>
    <col min="15616" max="15616" width="9.25" style="42" bestFit="1" customWidth="1"/>
    <col min="15617" max="15617" width="9" style="42" customWidth="1"/>
    <col min="15618" max="15618" width="8.25" style="42" customWidth="1"/>
    <col min="15619" max="15619" width="9.25" style="42" bestFit="1" customWidth="1"/>
    <col min="15620" max="15620" width="2.75" style="42" customWidth="1"/>
    <col min="15621" max="15621" width="26.625" style="42" customWidth="1"/>
    <col min="15622" max="15622" width="9.25" style="42" bestFit="1" customWidth="1"/>
    <col min="15623" max="15623" width="9" style="42" customWidth="1"/>
    <col min="15624" max="15624" width="8.25" style="42" customWidth="1"/>
    <col min="15625" max="15625" width="9.25" style="42" bestFit="1" customWidth="1"/>
    <col min="15626" max="15626" width="2.75" style="42" customWidth="1"/>
    <col min="15627" max="15627" width="26.625" style="42" customWidth="1"/>
    <col min="15628" max="15628" width="9.25" style="42" bestFit="1" customWidth="1"/>
    <col min="15629" max="15629" width="9" style="42" customWidth="1"/>
    <col min="15630" max="15630" width="8.25" style="42" customWidth="1"/>
    <col min="15631" max="15631" width="9.25" style="42" bestFit="1" customWidth="1"/>
    <col min="15632" max="15632" width="2.75" style="42" customWidth="1"/>
    <col min="15633" max="15637" width="0" style="42" hidden="1" customWidth="1"/>
    <col min="15638" max="15638" width="2.5" style="42" customWidth="1"/>
    <col min="15639" max="15639" width="6" style="42" bestFit="1" customWidth="1"/>
    <col min="15640" max="15640" width="21.125" style="42" customWidth="1"/>
    <col min="15641" max="15641" width="11" style="42" customWidth="1"/>
    <col min="15642" max="15642" width="15" style="42" customWidth="1"/>
    <col min="15643" max="15643" width="6.625" style="42" customWidth="1"/>
    <col min="15644" max="15645" width="7.375" style="42" customWidth="1"/>
    <col min="15646" max="15646" width="7.25" style="42" customWidth="1"/>
    <col min="15647" max="15864" width="8.25" style="42"/>
    <col min="15865" max="15865" width="27.75" style="42" customWidth="1"/>
    <col min="15866" max="15866" width="9.25" style="42" bestFit="1" customWidth="1"/>
    <col min="15867" max="15867" width="9" style="42" customWidth="1"/>
    <col min="15868" max="15868" width="8.25" style="42" customWidth="1"/>
    <col min="15869" max="15869" width="10.25" style="42" bestFit="1" customWidth="1"/>
    <col min="15870" max="15870" width="1.75" style="42" customWidth="1"/>
    <col min="15871" max="15871" width="27.75" style="42" customWidth="1"/>
    <col min="15872" max="15872" width="9.25" style="42" bestFit="1" customWidth="1"/>
    <col min="15873" max="15873" width="9" style="42" customWidth="1"/>
    <col min="15874" max="15874" width="8.25" style="42" customWidth="1"/>
    <col min="15875" max="15875" width="9.25" style="42" bestFit="1" customWidth="1"/>
    <col min="15876" max="15876" width="2.75" style="42" customWidth="1"/>
    <col min="15877" max="15877" width="26.625" style="42" customWidth="1"/>
    <col min="15878" max="15878" width="9.25" style="42" bestFit="1" customWidth="1"/>
    <col min="15879" max="15879" width="9" style="42" customWidth="1"/>
    <col min="15880" max="15880" width="8.25" style="42" customWidth="1"/>
    <col min="15881" max="15881" width="9.25" style="42" bestFit="1" customWidth="1"/>
    <col min="15882" max="15882" width="2.75" style="42" customWidth="1"/>
    <col min="15883" max="15883" width="26.625" style="42" customWidth="1"/>
    <col min="15884" max="15884" width="9.25" style="42" bestFit="1" customWidth="1"/>
    <col min="15885" max="15885" width="9" style="42" customWidth="1"/>
    <col min="15886" max="15886" width="8.25" style="42" customWidth="1"/>
    <col min="15887" max="15887" width="9.25" style="42" bestFit="1" customWidth="1"/>
    <col min="15888" max="15888" width="2.75" style="42" customWidth="1"/>
    <col min="15889" max="15893" width="0" style="42" hidden="1" customWidth="1"/>
    <col min="15894" max="15894" width="2.5" style="42" customWidth="1"/>
    <col min="15895" max="15895" width="6" style="42" bestFit="1" customWidth="1"/>
    <col min="15896" max="15896" width="21.125" style="42" customWidth="1"/>
    <col min="15897" max="15897" width="11" style="42" customWidth="1"/>
    <col min="15898" max="15898" width="15" style="42" customWidth="1"/>
    <col min="15899" max="15899" width="6.625" style="42" customWidth="1"/>
    <col min="15900" max="15901" width="7.375" style="42" customWidth="1"/>
    <col min="15902" max="15902" width="7.25" style="42" customWidth="1"/>
    <col min="15903" max="16120" width="8.25" style="42"/>
    <col min="16121" max="16121" width="27.75" style="42" customWidth="1"/>
    <col min="16122" max="16122" width="9.25" style="42" bestFit="1" customWidth="1"/>
    <col min="16123" max="16123" width="9" style="42" customWidth="1"/>
    <col min="16124" max="16124" width="8.25" style="42" customWidth="1"/>
    <col min="16125" max="16125" width="10.25" style="42" bestFit="1" customWidth="1"/>
    <col min="16126" max="16126" width="1.75" style="42" customWidth="1"/>
    <col min="16127" max="16127" width="27.75" style="42" customWidth="1"/>
    <col min="16128" max="16128" width="9.25" style="42" bestFit="1" customWidth="1"/>
    <col min="16129" max="16129" width="9" style="42" customWidth="1"/>
    <col min="16130" max="16130" width="8.25" style="42" customWidth="1"/>
    <col min="16131" max="16131" width="9.25" style="42" bestFit="1" customWidth="1"/>
    <col min="16132" max="16132" width="2.75" style="42" customWidth="1"/>
    <col min="16133" max="16133" width="26.625" style="42" customWidth="1"/>
    <col min="16134" max="16134" width="9.25" style="42" bestFit="1" customWidth="1"/>
    <col min="16135" max="16135" width="9" style="42" customWidth="1"/>
    <col min="16136" max="16136" width="8.25" style="42" customWidth="1"/>
    <col min="16137" max="16137" width="9.25" style="42" bestFit="1" customWidth="1"/>
    <col min="16138" max="16138" width="2.75" style="42" customWidth="1"/>
    <col min="16139" max="16139" width="26.625" style="42" customWidth="1"/>
    <col min="16140" max="16140" width="9.25" style="42" bestFit="1" customWidth="1"/>
    <col min="16141" max="16141" width="9" style="42" customWidth="1"/>
    <col min="16142" max="16142" width="8.25" style="42" customWidth="1"/>
    <col min="16143" max="16143" width="9.25" style="42" bestFit="1" customWidth="1"/>
    <col min="16144" max="16144" width="2.75" style="42" customWidth="1"/>
    <col min="16145" max="16149" width="0" style="42" hidden="1" customWidth="1"/>
    <col min="16150" max="16150" width="2.5" style="42" customWidth="1"/>
    <col min="16151" max="16151" width="6" style="42" bestFit="1" customWidth="1"/>
    <col min="16152" max="16152" width="21.125" style="42" customWidth="1"/>
    <col min="16153" max="16153" width="11" style="42" customWidth="1"/>
    <col min="16154" max="16154" width="15" style="42" customWidth="1"/>
    <col min="16155" max="16155" width="6.625" style="42" customWidth="1"/>
    <col min="16156" max="16157" width="7.375" style="42" customWidth="1"/>
    <col min="16158" max="16158" width="7.25" style="42" customWidth="1"/>
    <col min="16159" max="16384" width="8.25" style="42"/>
  </cols>
  <sheetData>
    <row r="1" spans="2:32" s="33" customFormat="1" x14ac:dyDescent="0.25">
      <c r="B1" s="242"/>
      <c r="C1" s="33">
        <v>2516</v>
      </c>
      <c r="G1" s="42"/>
      <c r="H1" s="242"/>
      <c r="M1" s="42"/>
      <c r="N1" s="242"/>
      <c r="T1" s="242"/>
      <c r="Y1" s="42"/>
      <c r="Z1" s="1050"/>
      <c r="AA1" s="1050"/>
      <c r="AB1" s="1050"/>
    </row>
    <row r="2" spans="2:32" s="33" customFormat="1" ht="15.75" thickBot="1" x14ac:dyDescent="0.3">
      <c r="B2" s="242"/>
      <c r="G2" s="42"/>
      <c r="H2" s="242"/>
      <c r="M2" s="42"/>
      <c r="N2" s="242"/>
      <c r="T2" s="242"/>
      <c r="Y2" s="42"/>
    </row>
    <row r="3" spans="2:32" s="33" customFormat="1" ht="15.75" thickBot="1" x14ac:dyDescent="0.3">
      <c r="B3" s="1051" t="s">
        <v>104</v>
      </c>
      <c r="C3" s="1052"/>
      <c r="D3" s="1052"/>
      <c r="E3" s="1052"/>
      <c r="F3" s="1053"/>
      <c r="G3" s="42"/>
      <c r="H3" s="1054"/>
      <c r="I3" s="1055"/>
      <c r="J3" s="1055"/>
      <c r="K3" s="1055"/>
      <c r="L3" s="1056"/>
      <c r="M3" s="195"/>
      <c r="N3" s="1054"/>
      <c r="O3" s="1055"/>
      <c r="P3" s="1055"/>
      <c r="Q3" s="1055"/>
      <c r="R3" s="1056"/>
      <c r="S3" s="195"/>
      <c r="T3" s="1054"/>
      <c r="U3" s="1055"/>
      <c r="V3" s="1055"/>
      <c r="W3" s="1055"/>
      <c r="X3" s="1056"/>
      <c r="Y3" s="195"/>
      <c r="Z3" s="1057" t="s">
        <v>48</v>
      </c>
      <c r="AA3" s="1058"/>
      <c r="AB3" s="1058"/>
      <c r="AC3" s="1058"/>
      <c r="AD3" s="1058"/>
      <c r="AE3" s="1059"/>
    </row>
    <row r="4" spans="2:32" s="33" customFormat="1" ht="15.75" customHeight="1" thickBot="1" x14ac:dyDescent="0.3">
      <c r="B4" s="1054" t="s">
        <v>49</v>
      </c>
      <c r="C4" s="1055"/>
      <c r="D4" s="1055"/>
      <c r="E4" s="1055"/>
      <c r="F4" s="1056"/>
      <c r="G4" s="42"/>
      <c r="H4" s="1054" t="s">
        <v>50</v>
      </c>
      <c r="I4" s="1055"/>
      <c r="J4" s="1055"/>
      <c r="K4" s="1055"/>
      <c r="L4" s="1056"/>
      <c r="M4" s="195"/>
      <c r="N4" s="1054" t="s">
        <v>51</v>
      </c>
      <c r="O4" s="1055"/>
      <c r="P4" s="1055"/>
      <c r="Q4" s="1055"/>
      <c r="R4" s="1056"/>
      <c r="S4" s="195"/>
      <c r="T4" s="1054" t="s">
        <v>52</v>
      </c>
      <c r="U4" s="1055"/>
      <c r="V4" s="1055"/>
      <c r="W4" s="1055"/>
      <c r="X4" s="1056"/>
      <c r="Y4" s="201"/>
      <c r="Z4" s="306" t="s">
        <v>352</v>
      </c>
      <c r="AA4" s="239"/>
      <c r="AB4" s="239">
        <f>'M2024 BLS  (53_PCT)'!C22</f>
        <v>81486.911999999997</v>
      </c>
      <c r="AC4" s="33" t="s">
        <v>663</v>
      </c>
      <c r="AD4" s="239"/>
      <c r="AE4" s="307"/>
    </row>
    <row r="5" spans="2:32" s="33" customFormat="1" ht="15.75" thickBot="1" x14ac:dyDescent="0.3">
      <c r="B5" s="300" t="s">
        <v>56</v>
      </c>
      <c r="C5" s="611" t="s">
        <v>105</v>
      </c>
      <c r="D5" s="301" t="s">
        <v>58</v>
      </c>
      <c r="E5" s="302">
        <v>365</v>
      </c>
      <c r="F5" s="303">
        <f>E5*C6</f>
        <v>2920</v>
      </c>
      <c r="G5" s="42"/>
      <c r="H5" s="300" t="s">
        <v>56</v>
      </c>
      <c r="I5" s="611" t="s">
        <v>57</v>
      </c>
      <c r="J5" s="301" t="s">
        <v>58</v>
      </c>
      <c r="K5" s="302">
        <v>365</v>
      </c>
      <c r="L5" s="303">
        <f>K5*I6</f>
        <v>4380</v>
      </c>
      <c r="M5" s="201"/>
      <c r="N5" s="300" t="s">
        <v>56</v>
      </c>
      <c r="O5" s="418" t="s">
        <v>59</v>
      </c>
      <c r="P5" s="301" t="s">
        <v>58</v>
      </c>
      <c r="Q5" s="302">
        <v>365</v>
      </c>
      <c r="R5" s="303">
        <f>O6*Q5</f>
        <v>5475</v>
      </c>
      <c r="S5" s="201"/>
      <c r="T5" s="304" t="s">
        <v>56</v>
      </c>
      <c r="U5" s="240" t="s">
        <v>60</v>
      </c>
      <c r="V5" s="204" t="s">
        <v>58</v>
      </c>
      <c r="W5" s="294">
        <v>365</v>
      </c>
      <c r="X5" s="305">
        <f>U6*W5</f>
        <v>7300</v>
      </c>
      <c r="Y5" s="201"/>
      <c r="Z5" s="306" t="s">
        <v>87</v>
      </c>
      <c r="AA5" s="239"/>
      <c r="AB5" s="239">
        <f>'M2024 BLS  (53_PCT)'!C18</f>
        <v>84174.063999999998</v>
      </c>
      <c r="AC5" s="33" t="s">
        <v>663</v>
      </c>
      <c r="AD5" s="242"/>
      <c r="AE5" s="358"/>
      <c r="AF5" s="242"/>
    </row>
    <row r="6" spans="2:32" s="242" customFormat="1" ht="15.75" thickBot="1" x14ac:dyDescent="0.3">
      <c r="B6" s="304"/>
      <c r="C6" s="610">
        <v>8</v>
      </c>
      <c r="D6" s="204"/>
      <c r="E6" s="294"/>
      <c r="F6" s="305"/>
      <c r="G6" s="42"/>
      <c r="H6" s="304"/>
      <c r="I6" s="609">
        <v>12</v>
      </c>
      <c r="J6" s="204"/>
      <c r="K6" s="294"/>
      <c r="L6" s="305"/>
      <c r="M6" s="201"/>
      <c r="N6" s="304"/>
      <c r="O6" s="610">
        <v>15</v>
      </c>
      <c r="P6" s="204"/>
      <c r="Q6" s="294"/>
      <c r="R6" s="305"/>
      <c r="S6" s="201"/>
      <c r="T6" s="304"/>
      <c r="U6" s="610">
        <v>20</v>
      </c>
      <c r="V6" s="204"/>
      <c r="W6" s="294"/>
      <c r="X6" s="305"/>
      <c r="Y6" s="42"/>
      <c r="Z6" s="306" t="s">
        <v>106</v>
      </c>
      <c r="AA6" s="239"/>
      <c r="AB6" s="239">
        <f>'M2024 BLS  (53_PCT)'!C8</f>
        <v>56388.633600000001</v>
      </c>
      <c r="AC6" s="33" t="s">
        <v>663</v>
      </c>
      <c r="AE6" s="358"/>
    </row>
    <row r="7" spans="2:32" s="242" customFormat="1" ht="27.75" customHeight="1" thickBot="1" x14ac:dyDescent="0.3">
      <c r="B7" s="155"/>
      <c r="C7" s="310" t="s">
        <v>65</v>
      </c>
      <c r="D7" s="293" t="s">
        <v>66</v>
      </c>
      <c r="E7" s="311" t="s">
        <v>67</v>
      </c>
      <c r="F7" s="312" t="s">
        <v>68</v>
      </c>
      <c r="G7" s="313"/>
      <c r="H7" s="155"/>
      <c r="I7" s="310" t="s">
        <v>65</v>
      </c>
      <c r="J7" s="293" t="s">
        <v>66</v>
      </c>
      <c r="K7" s="311" t="s">
        <v>67</v>
      </c>
      <c r="L7" s="312" t="s">
        <v>68</v>
      </c>
      <c r="M7" s="313"/>
      <c r="N7" s="304"/>
      <c r="O7" s="310" t="s">
        <v>65</v>
      </c>
      <c r="P7" s="293" t="s">
        <v>66</v>
      </c>
      <c r="Q7" s="311" t="s">
        <v>67</v>
      </c>
      <c r="R7" s="312" t="s">
        <v>68</v>
      </c>
      <c r="S7" s="240"/>
      <c r="T7" s="304"/>
      <c r="U7" s="310" t="s">
        <v>65</v>
      </c>
      <c r="V7" s="293" t="s">
        <v>66</v>
      </c>
      <c r="W7" s="311" t="s">
        <v>67</v>
      </c>
      <c r="X7" s="312" t="s">
        <v>68</v>
      </c>
      <c r="Y7" s="313"/>
      <c r="Z7" s="306" t="s">
        <v>75</v>
      </c>
      <c r="AA7" s="239"/>
      <c r="AB7" s="239">
        <f>'M2024 BLS  (53_PCT)'!C6</f>
        <v>46842.432000000008</v>
      </c>
      <c r="AC7" s="33" t="s">
        <v>663</v>
      </c>
      <c r="AE7" s="358"/>
      <c r="AF7" s="240"/>
    </row>
    <row r="8" spans="2:32" s="240" customFormat="1" ht="15.75" thickBot="1" x14ac:dyDescent="0.3">
      <c r="B8" s="155" t="s">
        <v>352</v>
      </c>
      <c r="C8" s="314"/>
      <c r="D8" s="239">
        <f>$AB$4</f>
        <v>81486.911999999997</v>
      </c>
      <c r="E8" s="38">
        <f>AB11</f>
        <v>2.15</v>
      </c>
      <c r="F8" s="307">
        <f t="shared" ref="F8:F11" si="0">D8*E8</f>
        <v>175196.86079999999</v>
      </c>
      <c r="G8" s="42"/>
      <c r="H8" s="155" t="s">
        <v>352</v>
      </c>
      <c r="I8" s="314"/>
      <c r="J8" s="239">
        <f>$AB$4</f>
        <v>81486.911999999997</v>
      </c>
      <c r="K8" s="38">
        <f>AC11</f>
        <v>2.15</v>
      </c>
      <c r="L8" s="307">
        <f t="shared" ref="L8:L11" si="1">J8*K8</f>
        <v>175196.86079999999</v>
      </c>
      <c r="M8" s="42"/>
      <c r="N8" s="155" t="s">
        <v>352</v>
      </c>
      <c r="O8" s="314"/>
      <c r="P8" s="239">
        <f>$AB$4</f>
        <v>81486.911999999997</v>
      </c>
      <c r="Q8" s="38">
        <f>AD11</f>
        <v>2.15</v>
      </c>
      <c r="R8" s="307">
        <f t="shared" ref="R8:R11" si="2">P8*Q8</f>
        <v>175196.86079999999</v>
      </c>
      <c r="S8" s="239"/>
      <c r="T8" s="155" t="s">
        <v>352</v>
      </c>
      <c r="U8" s="314"/>
      <c r="V8" s="239">
        <f>$AB$4</f>
        <v>81486.911999999997</v>
      </c>
      <c r="W8" s="38">
        <f>AE11</f>
        <v>2.15</v>
      </c>
      <c r="X8" s="307">
        <f t="shared" ref="X8:X11" si="3">V8*W8</f>
        <v>175196.86079999999</v>
      </c>
      <c r="Y8" s="42"/>
      <c r="Z8" s="325"/>
      <c r="AA8" s="326"/>
      <c r="AB8" s="326"/>
      <c r="AC8" s="327" t="s">
        <v>67</v>
      </c>
      <c r="AD8" s="327"/>
      <c r="AE8" s="646"/>
      <c r="AF8" s="242"/>
    </row>
    <row r="9" spans="2:32" s="242" customFormat="1" x14ac:dyDescent="0.25">
      <c r="B9" s="155" t="s">
        <v>87</v>
      </c>
      <c r="C9" s="38">
        <f>AB13</f>
        <v>7.5</v>
      </c>
      <c r="D9" s="239">
        <f>AB5</f>
        <v>84174.063999999998</v>
      </c>
      <c r="E9" s="38">
        <f>C6/C9</f>
        <v>1.0666666666666667</v>
      </c>
      <c r="F9" s="307">
        <f t="shared" si="0"/>
        <v>89785.66826666666</v>
      </c>
      <c r="G9" s="42"/>
      <c r="H9" s="155" t="s">
        <v>87</v>
      </c>
      <c r="I9" s="38">
        <f>AC13</f>
        <v>7.5</v>
      </c>
      <c r="J9" s="239">
        <f>AB5</f>
        <v>84174.063999999998</v>
      </c>
      <c r="K9" s="38">
        <f>I6/I9</f>
        <v>1.6</v>
      </c>
      <c r="L9" s="307">
        <f t="shared" si="1"/>
        <v>134678.5024</v>
      </c>
      <c r="M9" s="42"/>
      <c r="N9" s="155" t="s">
        <v>87</v>
      </c>
      <c r="O9" s="38">
        <f>AD13</f>
        <v>7.5</v>
      </c>
      <c r="P9" s="239">
        <f>AB5</f>
        <v>84174.063999999998</v>
      </c>
      <c r="Q9" s="38">
        <f>O6/O9</f>
        <v>2</v>
      </c>
      <c r="R9" s="307">
        <f t="shared" si="2"/>
        <v>168348.128</v>
      </c>
      <c r="S9" s="239"/>
      <c r="T9" s="155" t="s">
        <v>87</v>
      </c>
      <c r="U9" s="38">
        <f>AE13</f>
        <v>7.5</v>
      </c>
      <c r="V9" s="239">
        <f>AB5</f>
        <v>84174.063999999998</v>
      </c>
      <c r="W9" s="38">
        <f>U6/U9</f>
        <v>2.6666666666666665</v>
      </c>
      <c r="X9" s="307">
        <f t="shared" si="3"/>
        <v>224464.17066666664</v>
      </c>
      <c r="Y9" s="42"/>
      <c r="Z9" s="306"/>
      <c r="AA9" s="647" t="s">
        <v>84</v>
      </c>
      <c r="AB9" s="328">
        <v>8</v>
      </c>
      <c r="AC9" s="328">
        <v>12</v>
      </c>
      <c r="AD9" s="328">
        <v>15.5</v>
      </c>
      <c r="AE9" s="648">
        <v>20</v>
      </c>
      <c r="AF9" s="239"/>
    </row>
    <row r="10" spans="2:32" s="239" customFormat="1" x14ac:dyDescent="0.25">
      <c r="B10" s="319" t="s">
        <v>106</v>
      </c>
      <c r="C10" s="1060">
        <f>AB19</f>
        <v>1.1000000000000001</v>
      </c>
      <c r="D10" s="239">
        <f>AB6</f>
        <v>56388.633600000001</v>
      </c>
      <c r="E10" s="38">
        <f>7.27*0.2</f>
        <v>1.454</v>
      </c>
      <c r="F10" s="307">
        <f t="shared" si="0"/>
        <v>81989.073254400006</v>
      </c>
      <c r="G10" s="42"/>
      <c r="H10" s="319" t="s">
        <v>106</v>
      </c>
      <c r="I10" s="1060">
        <f>AC19</f>
        <v>1.1000000000000001</v>
      </c>
      <c r="J10" s="239">
        <f>AB6</f>
        <v>56388.633600000001</v>
      </c>
      <c r="K10" s="38">
        <f>10.91*0.2</f>
        <v>2.1819999999999999</v>
      </c>
      <c r="L10" s="307">
        <f t="shared" si="1"/>
        <v>123039.9985152</v>
      </c>
      <c r="M10" s="42"/>
      <c r="N10" s="319" t="s">
        <v>106</v>
      </c>
      <c r="O10" s="1060">
        <f>AD19</f>
        <v>1.1000000000000001</v>
      </c>
      <c r="P10" s="239">
        <f>AB6</f>
        <v>56388.633600000001</v>
      </c>
      <c r="Q10" s="38">
        <f>14.09*0.2</f>
        <v>2.8180000000000001</v>
      </c>
      <c r="R10" s="307">
        <f t="shared" si="2"/>
        <v>158903.16948480002</v>
      </c>
      <c r="S10" s="309"/>
      <c r="T10" s="319" t="s">
        <v>106</v>
      </c>
      <c r="U10" s="1060">
        <f>AE19</f>
        <v>1.1000000000000001</v>
      </c>
      <c r="V10" s="239">
        <f>AB6</f>
        <v>56388.633600000001</v>
      </c>
      <c r="W10" s="38">
        <f>18.18*0.2</f>
        <v>3.6360000000000001</v>
      </c>
      <c r="X10" s="307">
        <f t="shared" si="3"/>
        <v>205029.07176960001</v>
      </c>
      <c r="Y10" s="42"/>
      <c r="Z10" s="241"/>
      <c r="AA10" s="204"/>
      <c r="AB10" s="311" t="s">
        <v>67</v>
      </c>
      <c r="AC10" s="311"/>
      <c r="AD10" s="311"/>
      <c r="AE10" s="329"/>
    </row>
    <row r="11" spans="2:32" s="239" customFormat="1" ht="15.75" thickBot="1" x14ac:dyDescent="0.3">
      <c r="B11" s="319" t="s">
        <v>73</v>
      </c>
      <c r="C11" s="1060"/>
      <c r="D11" s="239">
        <f>AB7</f>
        <v>46842.432000000008</v>
      </c>
      <c r="E11" s="38">
        <f>(7.27*0.8)+((E10+5.816)*AB34)+(AB19)</f>
        <v>8.3420384615384613</v>
      </c>
      <c r="F11" s="307">
        <f t="shared" si="0"/>
        <v>390761.36937600008</v>
      </c>
      <c r="G11" s="42"/>
      <c r="H11" s="319" t="s">
        <v>73</v>
      </c>
      <c r="I11" s="1060"/>
      <c r="J11" s="239">
        <f>AB7</f>
        <v>46842.432000000008</v>
      </c>
      <c r="K11" s="38">
        <f>(10.91*0.8)+((K10+8.728)*AB34)+(AC16)</f>
        <v>11.868038461538461</v>
      </c>
      <c r="L11" s="307">
        <f t="shared" si="1"/>
        <v>555927.78460800007</v>
      </c>
      <c r="M11" s="42"/>
      <c r="N11" s="319" t="s">
        <v>73</v>
      </c>
      <c r="O11" s="1060"/>
      <c r="P11" s="239">
        <f>AB7</f>
        <v>46842.432000000008</v>
      </c>
      <c r="Q11" s="38">
        <f>(14.09*0.8)+((Q10+11.272)*AB34)+(AD16)</f>
        <v>15.285807692307692</v>
      </c>
      <c r="R11" s="307">
        <f t="shared" si="2"/>
        <v>716024.40739200008</v>
      </c>
      <c r="S11" s="309"/>
      <c r="T11" s="319" t="s">
        <v>73</v>
      </c>
      <c r="U11" s="1060"/>
      <c r="V11" s="239">
        <f>AB7</f>
        <v>46842.432000000008</v>
      </c>
      <c r="W11" s="38">
        <f>(18.18*0.8)+((W10+14.544)*AB34)+(AE16)</f>
        <v>19.776743589743592</v>
      </c>
      <c r="X11" s="307">
        <f t="shared" si="3"/>
        <v>926390.76678400033</v>
      </c>
      <c r="Y11" s="42"/>
      <c r="Z11" s="333" t="s">
        <v>352</v>
      </c>
      <c r="AB11" s="334">
        <v>2.15</v>
      </c>
      <c r="AC11" s="334">
        <v>2.15</v>
      </c>
      <c r="AD11" s="334">
        <v>2.15</v>
      </c>
      <c r="AE11" s="335">
        <v>2.15</v>
      </c>
      <c r="AF11" s="309"/>
    </row>
    <row r="12" spans="2:32" s="239" customFormat="1" ht="15.75" thickBot="1" x14ac:dyDescent="0.3">
      <c r="B12" s="319"/>
      <c r="C12" s="320"/>
      <c r="E12" s="38"/>
      <c r="F12" s="307"/>
      <c r="G12" s="42"/>
      <c r="H12" s="155"/>
      <c r="I12" s="320"/>
      <c r="J12" s="156"/>
      <c r="K12" s="38"/>
      <c r="L12" s="307"/>
      <c r="M12" s="42"/>
      <c r="N12" s="155"/>
      <c r="O12" s="320"/>
      <c r="P12" s="156"/>
      <c r="Q12" s="38"/>
      <c r="R12" s="307"/>
      <c r="S12" s="309"/>
      <c r="T12" s="155"/>
      <c r="U12" s="320"/>
      <c r="V12" s="156"/>
      <c r="W12" s="38"/>
      <c r="X12" s="307"/>
      <c r="Y12" s="42"/>
      <c r="Z12" s="337"/>
      <c r="AA12" s="35"/>
      <c r="AB12" s="338"/>
      <c r="AC12" s="338" t="s">
        <v>94</v>
      </c>
      <c r="AD12" s="338"/>
      <c r="AE12" s="339"/>
      <c r="AF12" s="309"/>
    </row>
    <row r="13" spans="2:32" s="309" customFormat="1" x14ac:dyDescent="0.25">
      <c r="B13" s="589" t="s">
        <v>538</v>
      </c>
      <c r="C13" s="585"/>
      <c r="D13" s="586"/>
      <c r="E13" s="587">
        <f>SUM(E8:E11)</f>
        <v>13.012705128205127</v>
      </c>
      <c r="F13" s="588">
        <f>SUM(F8:F12)</f>
        <v>737732.97169706668</v>
      </c>
      <c r="G13" s="42"/>
      <c r="H13" s="589" t="s">
        <v>538</v>
      </c>
      <c r="I13" s="585"/>
      <c r="J13" s="586"/>
      <c r="K13" s="587">
        <f>SUM(K8:K12)</f>
        <v>17.800038461538463</v>
      </c>
      <c r="L13" s="588">
        <f>SUM(L8:L12)</f>
        <v>988843.14632320008</v>
      </c>
      <c r="M13" s="42"/>
      <c r="N13" s="589" t="s">
        <v>538</v>
      </c>
      <c r="O13" s="585"/>
      <c r="P13" s="586"/>
      <c r="Q13" s="587">
        <f>SUM(Q8:Q12)</f>
        <v>22.253807692307692</v>
      </c>
      <c r="R13" s="588">
        <f>SUM(R8:R12)</f>
        <v>1218472.5656768</v>
      </c>
      <c r="S13" s="239"/>
      <c r="T13" s="589" t="s">
        <v>538</v>
      </c>
      <c r="U13" s="585"/>
      <c r="V13" s="586"/>
      <c r="W13" s="587">
        <f>SUM(W8:W12)</f>
        <v>28.229410256410258</v>
      </c>
      <c r="X13" s="588">
        <f>SUM(X8:X12)</f>
        <v>1531080.8700202671</v>
      </c>
      <c r="Y13" s="42"/>
      <c r="Z13" s="340" t="s">
        <v>87</v>
      </c>
      <c r="AA13" s="341"/>
      <c r="AB13" s="342">
        <v>7.5</v>
      </c>
      <c r="AC13" s="342">
        <v>7.5</v>
      </c>
      <c r="AD13" s="342">
        <v>7.5</v>
      </c>
      <c r="AE13" s="343">
        <v>7.5</v>
      </c>
      <c r="AF13" s="239"/>
    </row>
    <row r="14" spans="2:32" s="309" customFormat="1" x14ac:dyDescent="0.25">
      <c r="B14" s="604" t="s">
        <v>80</v>
      </c>
      <c r="C14" s="38"/>
      <c r="D14" s="239"/>
      <c r="E14" s="265">
        <f>'M2024 BLS  (53_PCT)'!C38</f>
        <v>0.24970000000000001</v>
      </c>
      <c r="F14" s="307">
        <f>F13*E14</f>
        <v>184211.92303275756</v>
      </c>
      <c r="G14" s="42"/>
      <c r="H14" s="604" t="s">
        <v>80</v>
      </c>
      <c r="I14" s="38"/>
      <c r="J14" s="239"/>
      <c r="K14" s="265">
        <f>E14</f>
        <v>0.24970000000000001</v>
      </c>
      <c r="L14" s="307">
        <f>L13*K14</f>
        <v>246914.13363690308</v>
      </c>
      <c r="M14" s="42"/>
      <c r="N14" s="604" t="s">
        <v>80</v>
      </c>
      <c r="O14" s="38"/>
      <c r="P14" s="239"/>
      <c r="Q14" s="265">
        <f>K14</f>
        <v>0.24970000000000001</v>
      </c>
      <c r="R14" s="307">
        <f>R13*Q14</f>
        <v>304252.59964949696</v>
      </c>
      <c r="S14" s="242"/>
      <c r="T14" s="604" t="s">
        <v>80</v>
      </c>
      <c r="U14" s="38"/>
      <c r="V14" s="239"/>
      <c r="W14" s="265">
        <f>Q14</f>
        <v>0.24970000000000001</v>
      </c>
      <c r="X14" s="307">
        <f>X13*W14</f>
        <v>382310.89324406069</v>
      </c>
      <c r="Y14" s="42"/>
      <c r="Z14" s="333" t="s">
        <v>75</v>
      </c>
      <c r="AA14" s="239"/>
      <c r="AB14" s="649" t="s">
        <v>67</v>
      </c>
      <c r="AC14" s="649"/>
      <c r="AD14" s="649"/>
      <c r="AE14" s="344"/>
      <c r="AF14" s="242"/>
    </row>
    <row r="15" spans="2:32" s="239" customFormat="1" ht="15.75" thickBot="1" x14ac:dyDescent="0.3">
      <c r="B15" s="590" t="s">
        <v>539</v>
      </c>
      <c r="C15" s="584"/>
      <c r="D15" s="584"/>
      <c r="E15" s="584"/>
      <c r="F15" s="605">
        <f>SUM(F13:F14)</f>
        <v>921944.89472982427</v>
      </c>
      <c r="G15" s="42"/>
      <c r="H15" s="590" t="s">
        <v>539</v>
      </c>
      <c r="I15" s="584"/>
      <c r="J15" s="584"/>
      <c r="K15" s="584"/>
      <c r="L15" s="605">
        <f>SUM(L13:L14)</f>
        <v>1235757.2799601031</v>
      </c>
      <c r="M15" s="42"/>
      <c r="N15" s="590" t="s">
        <v>539</v>
      </c>
      <c r="O15" s="584"/>
      <c r="P15" s="584"/>
      <c r="Q15" s="584"/>
      <c r="R15" s="605">
        <f>SUM(R13:R14)</f>
        <v>1522725.1653262968</v>
      </c>
      <c r="S15" s="242"/>
      <c r="T15" s="590" t="s">
        <v>539</v>
      </c>
      <c r="U15" s="584"/>
      <c r="V15" s="584"/>
      <c r="W15" s="584"/>
      <c r="X15" s="605">
        <f>SUM(X13:X14)</f>
        <v>1913391.7632643278</v>
      </c>
      <c r="Y15" s="42"/>
      <c r="Z15" s="306" t="s">
        <v>90</v>
      </c>
      <c r="AB15" s="650">
        <f>(0.75*7)/12</f>
        <v>0.4375</v>
      </c>
      <c r="AC15" s="650">
        <f>(0.75*12)/12</f>
        <v>0.75</v>
      </c>
      <c r="AD15" s="650">
        <f>(0.75*15)/12</f>
        <v>0.9375</v>
      </c>
      <c r="AE15" s="345">
        <f>(0.75*20)/12</f>
        <v>1.25</v>
      </c>
      <c r="AF15" s="242"/>
    </row>
    <row r="16" spans="2:32" s="239" customFormat="1" ht="16.5" thickTop="1" thickBot="1" x14ac:dyDescent="0.3">
      <c r="B16" s="583"/>
      <c r="C16" s="242"/>
      <c r="D16" s="242"/>
      <c r="E16" s="242"/>
      <c r="F16" s="336"/>
      <c r="G16" s="42"/>
      <c r="H16" s="583"/>
      <c r="I16" s="242"/>
      <c r="J16" s="242"/>
      <c r="K16" s="242"/>
      <c r="L16" s="336"/>
      <c r="M16" s="42"/>
      <c r="N16" s="583"/>
      <c r="O16" s="242"/>
      <c r="P16" s="242"/>
      <c r="Q16" s="242"/>
      <c r="R16" s="336"/>
      <c r="S16" s="242"/>
      <c r="T16" s="583"/>
      <c r="U16" s="242"/>
      <c r="V16" s="242"/>
      <c r="W16" s="242"/>
      <c r="X16" s="336"/>
      <c r="Y16" s="42"/>
      <c r="Z16" s="306" t="s">
        <v>92</v>
      </c>
      <c r="AB16" s="650">
        <f>(1*7)/12</f>
        <v>0.58333333333333337</v>
      </c>
      <c r="AC16" s="650">
        <f>(1*12)/12</f>
        <v>1</v>
      </c>
      <c r="AD16" s="650">
        <f>(1*15)/12</f>
        <v>1.25</v>
      </c>
      <c r="AE16" s="345">
        <f>(1*20)/12</f>
        <v>1.6666666666666667</v>
      </c>
      <c r="AF16" s="242"/>
    </row>
    <row r="17" spans="2:32" s="242" customFormat="1" ht="15.75" thickBot="1" x14ac:dyDescent="0.3">
      <c r="B17" s="583" t="s">
        <v>540</v>
      </c>
      <c r="D17" s="195"/>
      <c r="E17" s="294" t="s">
        <v>78</v>
      </c>
      <c r="F17" s="336"/>
      <c r="G17" s="42"/>
      <c r="H17" s="583" t="s">
        <v>540</v>
      </c>
      <c r="J17" s="195"/>
      <c r="K17" s="294" t="s">
        <v>78</v>
      </c>
      <c r="L17" s="336"/>
      <c r="M17" s="42"/>
      <c r="N17" s="583" t="s">
        <v>540</v>
      </c>
      <c r="P17" s="195"/>
      <c r="Q17" s="294" t="s">
        <v>78</v>
      </c>
      <c r="R17" s="336"/>
      <c r="T17" s="583" t="s">
        <v>540</v>
      </c>
      <c r="V17" s="195"/>
      <c r="W17" s="294" t="s">
        <v>78</v>
      </c>
      <c r="X17" s="336"/>
      <c r="Y17" s="42"/>
      <c r="Z17" s="325"/>
      <c r="AA17" s="347"/>
      <c r="AB17" s="338"/>
      <c r="AC17" s="338" t="s">
        <v>94</v>
      </c>
      <c r="AD17" s="338"/>
      <c r="AE17" s="339"/>
    </row>
    <row r="18" spans="2:32" s="242" customFormat="1" x14ac:dyDescent="0.25">
      <c r="B18" s="241" t="s">
        <v>83</v>
      </c>
      <c r="C18" s="33"/>
      <c r="D18" s="239"/>
      <c r="E18" s="38">
        <f>$AB$22</f>
        <v>45.182128999999996</v>
      </c>
      <c r="F18" s="307">
        <f>E18*F$5</f>
        <v>131931.81667999999</v>
      </c>
      <c r="G18" s="42"/>
      <c r="H18" s="241" t="s">
        <v>83</v>
      </c>
      <c r="I18" s="33"/>
      <c r="J18" s="239"/>
      <c r="K18" s="38">
        <f>$AB$22</f>
        <v>45.182128999999996</v>
      </c>
      <c r="L18" s="307">
        <f>K18*L$5</f>
        <v>197897.72501999998</v>
      </c>
      <c r="M18" s="42"/>
      <c r="N18" s="241" t="s">
        <v>83</v>
      </c>
      <c r="O18" s="33"/>
      <c r="P18" s="239"/>
      <c r="Q18" s="38">
        <f>$AB$22</f>
        <v>45.182128999999996</v>
      </c>
      <c r="R18" s="307">
        <f>Q18*R$5</f>
        <v>247372.15627499999</v>
      </c>
      <c r="S18" s="33"/>
      <c r="T18" s="241" t="s">
        <v>83</v>
      </c>
      <c r="U18" s="33"/>
      <c r="V18" s="239"/>
      <c r="W18" s="38">
        <f>$AB$22</f>
        <v>45.182128999999996</v>
      </c>
      <c r="X18" s="307">
        <f>W18*X$5</f>
        <v>329829.54169999994</v>
      </c>
      <c r="Y18" s="42"/>
      <c r="Z18" s="306"/>
      <c r="AA18" s="282" t="s">
        <v>84</v>
      </c>
      <c r="AB18" s="328">
        <v>8</v>
      </c>
      <c r="AC18" s="328">
        <v>12</v>
      </c>
      <c r="AD18" s="328">
        <v>15.5</v>
      </c>
      <c r="AE18" s="648">
        <v>20</v>
      </c>
      <c r="AF18" s="33"/>
    </row>
    <row r="19" spans="2:32" s="242" customFormat="1" x14ac:dyDescent="0.25">
      <c r="B19" s="241" t="s">
        <v>86</v>
      </c>
      <c r="C19" s="33"/>
      <c r="D19" s="239"/>
      <c r="E19" s="38">
        <f>$AB23</f>
        <v>16.33089</v>
      </c>
      <c r="F19" s="307">
        <f>E19*F$5</f>
        <v>47686.198799999998</v>
      </c>
      <c r="G19" s="42"/>
      <c r="H19" s="241" t="s">
        <v>86</v>
      </c>
      <c r="I19" s="33"/>
      <c r="J19" s="239"/>
      <c r="K19" s="38">
        <f>$AB23</f>
        <v>16.33089</v>
      </c>
      <c r="L19" s="307">
        <f>K19*L$5</f>
        <v>71529.298200000005</v>
      </c>
      <c r="M19" s="42"/>
      <c r="N19" s="241" t="s">
        <v>86</v>
      </c>
      <c r="O19" s="33"/>
      <c r="P19" s="239"/>
      <c r="Q19" s="38">
        <f>$AB23</f>
        <v>16.33089</v>
      </c>
      <c r="R19" s="307">
        <f>Q19*R$5</f>
        <v>89411.622749999995</v>
      </c>
      <c r="S19" s="33"/>
      <c r="T19" s="241" t="s">
        <v>86</v>
      </c>
      <c r="U19" s="33"/>
      <c r="V19" s="239"/>
      <c r="W19" s="38">
        <f>$AB23</f>
        <v>16.33089</v>
      </c>
      <c r="X19" s="307">
        <f>W19*X$5</f>
        <v>119215.497</v>
      </c>
      <c r="Y19" s="42"/>
      <c r="Z19" s="354" t="s">
        <v>96</v>
      </c>
      <c r="AA19" s="341"/>
      <c r="AB19" s="342">
        <v>1.1000000000000001</v>
      </c>
      <c r="AC19" s="342">
        <v>1.1000000000000001</v>
      </c>
      <c r="AD19" s="342">
        <v>1.1000000000000001</v>
      </c>
      <c r="AE19" s="343">
        <v>1.1000000000000001</v>
      </c>
      <c r="AF19" s="33"/>
    </row>
    <row r="20" spans="2:32" s="242" customFormat="1" ht="15" customHeight="1" thickBot="1" x14ac:dyDescent="0.3">
      <c r="B20" s="1045" t="s">
        <v>541</v>
      </c>
      <c r="C20" s="1025"/>
      <c r="D20" s="592"/>
      <c r="E20" s="593"/>
      <c r="F20" s="594">
        <f>SUM(F18:F19)</f>
        <v>179618.01548</v>
      </c>
      <c r="G20" s="42"/>
      <c r="H20" s="1045" t="s">
        <v>541</v>
      </c>
      <c r="I20" s="1025"/>
      <c r="J20" s="592"/>
      <c r="K20" s="593"/>
      <c r="L20" s="594">
        <f>SUM(L18:L19)</f>
        <v>269427.02321999997</v>
      </c>
      <c r="M20" s="42"/>
      <c r="N20" s="1045" t="s">
        <v>541</v>
      </c>
      <c r="O20" s="1025"/>
      <c r="P20" s="592"/>
      <c r="Q20" s="593"/>
      <c r="R20" s="594">
        <f>SUM(R18:R19)</f>
        <v>336783.779025</v>
      </c>
      <c r="S20" s="33"/>
      <c r="T20" s="1045" t="s">
        <v>541</v>
      </c>
      <c r="U20" s="1025"/>
      <c r="V20" s="592"/>
      <c r="W20" s="593"/>
      <c r="X20" s="594">
        <f>SUM(X18:X19)</f>
        <v>449045.03869999992</v>
      </c>
      <c r="Y20" s="42"/>
      <c r="Z20" s="315" t="s">
        <v>77</v>
      </c>
      <c r="AA20" s="315" t="s">
        <v>107</v>
      </c>
      <c r="AB20" s="334"/>
      <c r="AC20" s="33"/>
      <c r="AD20" s="33"/>
      <c r="AE20" s="139"/>
      <c r="AF20" s="33"/>
    </row>
    <row r="21" spans="2:32" s="242" customFormat="1" ht="15.75" thickTop="1" x14ac:dyDescent="0.25">
      <c r="B21" s="595"/>
      <c r="C21" s="596"/>
      <c r="D21" s="597"/>
      <c r="E21" s="598"/>
      <c r="F21" s="599"/>
      <c r="G21" s="42"/>
      <c r="H21" s="607"/>
      <c r="I21" s="44"/>
      <c r="J21" s="195"/>
      <c r="K21" s="353"/>
      <c r="L21" s="336"/>
      <c r="M21" s="42"/>
      <c r="N21" s="607"/>
      <c r="O21" s="44"/>
      <c r="P21" s="195"/>
      <c r="Q21" s="353"/>
      <c r="R21" s="336"/>
      <c r="S21" s="33"/>
      <c r="T21" s="607"/>
      <c r="U21" s="44"/>
      <c r="V21" s="195"/>
      <c r="W21" s="353"/>
      <c r="X21" s="336"/>
      <c r="Y21" s="42"/>
      <c r="Z21" s="241" t="s">
        <v>80</v>
      </c>
      <c r="AA21" s="33"/>
      <c r="AB21" s="651">
        <f>'M2024 BLS  (53_PCT)'!C38</f>
        <v>0.24970000000000001</v>
      </c>
      <c r="AC21" s="570" t="s">
        <v>355</v>
      </c>
      <c r="AD21" s="33"/>
      <c r="AE21" s="139"/>
      <c r="AF21" s="33"/>
    </row>
    <row r="22" spans="2:32" s="33" customFormat="1" x14ac:dyDescent="0.25">
      <c r="B22" s="1061" t="s">
        <v>357</v>
      </c>
      <c r="C22" s="1027"/>
      <c r="D22" s="422"/>
      <c r="E22" s="423"/>
      <c r="F22" s="424">
        <f>F15+F20</f>
        <v>1101562.9102098243</v>
      </c>
      <c r="G22" s="42"/>
      <c r="H22" s="1061" t="s">
        <v>357</v>
      </c>
      <c r="I22" s="1027"/>
      <c r="J22" s="422"/>
      <c r="K22" s="423"/>
      <c r="L22" s="424">
        <f>L15+L20</f>
        <v>1505184.3031801032</v>
      </c>
      <c r="M22" s="42"/>
      <c r="N22" s="1061" t="s">
        <v>357</v>
      </c>
      <c r="O22" s="1027"/>
      <c r="P22" s="422"/>
      <c r="Q22" s="423"/>
      <c r="R22" s="424">
        <f>R15+R20</f>
        <v>1859508.9443512969</v>
      </c>
      <c r="T22" s="1061" t="s">
        <v>357</v>
      </c>
      <c r="U22" s="1027"/>
      <c r="V22" s="422"/>
      <c r="W22" s="423"/>
      <c r="X22" s="424">
        <f>X15+X20</f>
        <v>2362436.8019643277</v>
      </c>
      <c r="Y22" s="608"/>
      <c r="Z22" s="241" t="s">
        <v>98</v>
      </c>
      <c r="AB22" s="907">
        <f>43.99*(2.71%+1)</f>
        <v>45.182128999999996</v>
      </c>
      <c r="AC22" s="570" t="s">
        <v>694</v>
      </c>
      <c r="AE22" s="139"/>
    </row>
    <row r="23" spans="2:32" s="33" customFormat="1" x14ac:dyDescent="0.25">
      <c r="B23" s="241" t="s">
        <v>89</v>
      </c>
      <c r="D23" s="346">
        <f>'M2022 BLS  (53_PCT)'!C41</f>
        <v>0.12</v>
      </c>
      <c r="E23" s="353"/>
      <c r="F23" s="336">
        <f>F22*D23</f>
        <v>132187.54922517893</v>
      </c>
      <c r="G23" s="42"/>
      <c r="H23" s="241" t="s">
        <v>89</v>
      </c>
      <c r="J23" s="346">
        <f>D23</f>
        <v>0.12</v>
      </c>
      <c r="K23" s="353"/>
      <c r="L23" s="336">
        <f>L22*J23</f>
        <v>180622.11638161237</v>
      </c>
      <c r="M23" s="42"/>
      <c r="N23" s="241" t="s">
        <v>89</v>
      </c>
      <c r="P23" s="346">
        <f>J23</f>
        <v>0.12</v>
      </c>
      <c r="Q23" s="353"/>
      <c r="R23" s="336">
        <f>R22*P23</f>
        <v>223141.07332215563</v>
      </c>
      <c r="T23" s="241" t="s">
        <v>89</v>
      </c>
      <c r="V23" s="346">
        <f>P23</f>
        <v>0.12</v>
      </c>
      <c r="W23" s="353"/>
      <c r="X23" s="336">
        <f>X22*V23</f>
        <v>283492.41623571934</v>
      </c>
      <c r="Y23" s="42"/>
      <c r="Z23" s="241" t="s">
        <v>86</v>
      </c>
      <c r="AB23" s="907">
        <f>15.9*(2.71%+1)</f>
        <v>16.33089</v>
      </c>
      <c r="AC23" s="570" t="s">
        <v>694</v>
      </c>
      <c r="AE23" s="139"/>
    </row>
    <row r="24" spans="2:32" s="33" customFormat="1" x14ac:dyDescent="0.25">
      <c r="B24" s="241" t="s">
        <v>46</v>
      </c>
      <c r="D24" s="346">
        <f>AB25</f>
        <v>2.5282070971092779E-2</v>
      </c>
      <c r="E24" s="38"/>
      <c r="F24" s="307">
        <f>D24*(F22+F23)</f>
        <v>31191.766676054078</v>
      </c>
      <c r="G24" s="42"/>
      <c r="H24" s="241" t="s">
        <v>46</v>
      </c>
      <c r="J24" s="346">
        <f>D24</f>
        <v>2.5282070971092779E-2</v>
      </c>
      <c r="K24" s="38"/>
      <c r="L24" s="307">
        <f>J24*(L22+L23)</f>
        <v>42620.677542883102</v>
      </c>
      <c r="M24" s="42"/>
      <c r="N24" s="241" t="s">
        <v>46</v>
      </c>
      <c r="P24" s="346">
        <f>J24</f>
        <v>2.5282070971092779E-2</v>
      </c>
      <c r="Q24" s="38"/>
      <c r="R24" s="307">
        <f>P24*(R22+R23)</f>
        <v>52653.705554767854</v>
      </c>
      <c r="T24" s="241" t="s">
        <v>46</v>
      </c>
      <c r="V24" s="346">
        <f>P24</f>
        <v>2.5282070971092779E-2</v>
      </c>
      <c r="W24" s="38"/>
      <c r="X24" s="307">
        <f>V24*(X22+X23)</f>
        <v>66894.570279021616</v>
      </c>
      <c r="Y24" s="324"/>
      <c r="Z24" s="316" t="s">
        <v>361</v>
      </c>
      <c r="AA24" s="366"/>
      <c r="AB24" s="367">
        <f>'M2024 BLS  (53_PCT)'!C41</f>
        <v>0.12</v>
      </c>
      <c r="AC24" s="41" t="s">
        <v>355</v>
      </c>
      <c r="AD24" s="366"/>
      <c r="AE24" s="368"/>
    </row>
    <row r="25" spans="2:32" s="33" customFormat="1" ht="15.75" thickBot="1" x14ac:dyDescent="0.3">
      <c r="B25" s="348" t="s">
        <v>91</v>
      </c>
      <c r="C25" s="349"/>
      <c r="D25" s="350"/>
      <c r="E25" s="351"/>
      <c r="F25" s="352">
        <f>SUM(F22:F24)</f>
        <v>1264942.2261110574</v>
      </c>
      <c r="H25" s="348" t="s">
        <v>91</v>
      </c>
      <c r="I25" s="349"/>
      <c r="J25" s="350"/>
      <c r="K25" s="351"/>
      <c r="L25" s="352">
        <f>SUM(L22:L24)</f>
        <v>1728427.0971045988</v>
      </c>
      <c r="M25" s="42"/>
      <c r="N25" s="348" t="s">
        <v>91</v>
      </c>
      <c r="O25" s="349"/>
      <c r="P25" s="350"/>
      <c r="Q25" s="351"/>
      <c r="R25" s="352">
        <f>SUM(R22:R24)</f>
        <v>2135303.7232282204</v>
      </c>
      <c r="S25" s="242"/>
      <c r="T25" s="348" t="s">
        <v>91</v>
      </c>
      <c r="U25" s="349"/>
      <c r="V25" s="350"/>
      <c r="W25" s="351"/>
      <c r="X25" s="352">
        <f>SUM(X22:X24)</f>
        <v>2712823.7884790688</v>
      </c>
      <c r="Y25" s="324"/>
      <c r="Z25" s="369" t="s">
        <v>665</v>
      </c>
      <c r="AA25" s="36"/>
      <c r="AB25" s="370">
        <f>'CAF Spring 2025'!CT26</f>
        <v>2.5282070971092779E-2</v>
      </c>
      <c r="AC25" s="40" t="s">
        <v>689</v>
      </c>
      <c r="AD25" s="371"/>
      <c r="AE25" s="372"/>
    </row>
    <row r="26" spans="2:32" s="33" customFormat="1" ht="16.5" thickTop="1" thickBot="1" x14ac:dyDescent="0.3">
      <c r="B26" s="355" t="s">
        <v>93</v>
      </c>
      <c r="C26" s="324"/>
      <c r="D26" s="324"/>
      <c r="E26" s="324"/>
      <c r="F26" s="602">
        <f>F25/F5</f>
        <v>433.19939250378678</v>
      </c>
      <c r="G26" s="356"/>
      <c r="H26" s="355" t="s">
        <v>93</v>
      </c>
      <c r="I26" s="324"/>
      <c r="J26" s="324"/>
      <c r="K26" s="324"/>
      <c r="L26" s="602">
        <f>L25/L5</f>
        <v>394.61805869968009</v>
      </c>
      <c r="M26" s="356"/>
      <c r="N26" s="355" t="s">
        <v>93</v>
      </c>
      <c r="O26" s="324"/>
      <c r="P26" s="324"/>
      <c r="Q26" s="324"/>
      <c r="R26" s="602">
        <f>R25/R5</f>
        <v>390.00981246177543</v>
      </c>
      <c r="S26" s="357"/>
      <c r="T26" s="355" t="s">
        <v>93</v>
      </c>
      <c r="U26" s="324"/>
      <c r="V26" s="324"/>
      <c r="W26" s="324"/>
      <c r="X26" s="602">
        <f>X25/X5</f>
        <v>371.61969705192723</v>
      </c>
      <c r="Y26" s="42"/>
    </row>
    <row r="27" spans="2:32" s="33" customFormat="1" ht="15.75" thickBot="1" x14ac:dyDescent="0.3">
      <c r="B27" s="359" t="s">
        <v>95</v>
      </c>
      <c r="C27" s="295"/>
      <c r="D27" s="360">
        <v>0.9</v>
      </c>
      <c r="E27" s="361"/>
      <c r="F27" s="362">
        <f>F$25*(D24+1)/(F$5*D27)</f>
        <v>493.50174476633538</v>
      </c>
      <c r="G27" s="356"/>
      <c r="H27" s="359" t="s">
        <v>95</v>
      </c>
      <c r="I27" s="295"/>
      <c r="J27" s="360">
        <v>0.9</v>
      </c>
      <c r="K27" s="361"/>
      <c r="L27" s="362">
        <f>L$25*(J24+1)/(L$5*J27)</f>
        <v>449.54980051800032</v>
      </c>
      <c r="M27" s="356"/>
      <c r="N27" s="359" t="s">
        <v>95</v>
      </c>
      <c r="O27" s="295"/>
      <c r="P27" s="360">
        <v>0.9</v>
      </c>
      <c r="Q27" s="361"/>
      <c r="R27" s="362">
        <f>R$25*(P24+1)/(R$5*P27)</f>
        <v>444.30007579984067</v>
      </c>
      <c r="S27" s="357"/>
      <c r="T27" s="359" t="s">
        <v>95</v>
      </c>
      <c r="U27" s="295"/>
      <c r="V27" s="360">
        <v>0.9</v>
      </c>
      <c r="W27" s="361"/>
      <c r="X27" s="362">
        <f>X$25*(V24+1)/(X$5*V27)</f>
        <v>423.35001400783341</v>
      </c>
      <c r="Y27" s="356"/>
    </row>
    <row r="28" spans="2:32" s="33" customFormat="1" ht="15.75" thickBot="1" x14ac:dyDescent="0.3">
      <c r="B28" s="355"/>
      <c r="D28" s="364">
        <v>0.85</v>
      </c>
      <c r="E28" s="239"/>
      <c r="F28" s="362">
        <f>F$25*(D24+1)/(F$5*D28)</f>
        <v>522.53125916435511</v>
      </c>
      <c r="G28" s="356"/>
      <c r="H28" s="355"/>
      <c r="J28" s="364">
        <v>0.85</v>
      </c>
      <c r="K28" s="239"/>
      <c r="L28" s="362">
        <f>L$25*(J24+1)/(L$5*J28)</f>
        <v>475.99390643082387</v>
      </c>
      <c r="M28" s="356"/>
      <c r="N28" s="355"/>
      <c r="P28" s="364">
        <v>0.85</v>
      </c>
      <c r="Q28" s="239"/>
      <c r="R28" s="362">
        <f>R$25*(P24+1)/(R$5*P28)</f>
        <v>470.43537437630187</v>
      </c>
      <c r="S28" s="357"/>
      <c r="T28" s="355"/>
      <c r="V28" s="364">
        <v>0.85</v>
      </c>
      <c r="W28" s="239"/>
      <c r="X28" s="362">
        <f>X$25*(V24+1)/(X$5*V28)</f>
        <v>448.25295600829418</v>
      </c>
      <c r="Y28" s="356"/>
      <c r="Z28" s="297" t="s">
        <v>53</v>
      </c>
      <c r="AA28" s="298" t="s">
        <v>54</v>
      </c>
      <c r="AB28" s="299" t="s">
        <v>55</v>
      </c>
    </row>
    <row r="29" spans="2:32" s="33" customFormat="1" ht="15.75" thickBot="1" x14ac:dyDescent="0.3">
      <c r="B29" s="355"/>
      <c r="D29" s="364">
        <v>0.8</v>
      </c>
      <c r="E29" s="239"/>
      <c r="F29" s="362">
        <f>F$25*(D24+1)/(F$5*D29)</f>
        <v>555.18946286212736</v>
      </c>
      <c r="G29" s="356"/>
      <c r="H29" s="355"/>
      <c r="J29" s="364">
        <v>0.8</v>
      </c>
      <c r="K29" s="239"/>
      <c r="L29" s="362">
        <f>L$25*(J24+1)/(L$5*J29)</f>
        <v>505.74352558275035</v>
      </c>
      <c r="M29" s="356"/>
      <c r="N29" s="355"/>
      <c r="P29" s="364">
        <v>0.8</v>
      </c>
      <c r="Q29" s="239"/>
      <c r="R29" s="362">
        <f>R$25*(P24+1)/(R$5*P29)</f>
        <v>499.83758527482075</v>
      </c>
      <c r="S29" s="357"/>
      <c r="T29" s="355"/>
      <c r="V29" s="364">
        <v>0.8</v>
      </c>
      <c r="W29" s="239"/>
      <c r="X29" s="362">
        <f>X$25*(V24+1)/(X$5*V29)</f>
        <v>476.26876575881255</v>
      </c>
      <c r="Y29" s="356"/>
      <c r="Z29" s="241" t="s">
        <v>62</v>
      </c>
      <c r="AA29" s="208">
        <v>15</v>
      </c>
      <c r="AB29" s="308">
        <f>AA29*8</f>
        <v>120</v>
      </c>
    </row>
    <row r="30" spans="2:32" s="33" customFormat="1" ht="15.75" thickBot="1" x14ac:dyDescent="0.3">
      <c r="B30" s="355"/>
      <c r="D30" s="364">
        <v>0.75</v>
      </c>
      <c r="E30" s="239"/>
      <c r="F30" s="362">
        <f>F$25*(D24+1)/(F$5*D30)</f>
        <v>592.20209371960243</v>
      </c>
      <c r="G30" s="356"/>
      <c r="H30" s="355"/>
      <c r="J30" s="364">
        <v>0.75</v>
      </c>
      <c r="K30" s="239"/>
      <c r="L30" s="362">
        <f>L$25*(J24+1)/(L$5*J30)</f>
        <v>539.45976062160037</v>
      </c>
      <c r="M30" s="356"/>
      <c r="N30" s="355"/>
      <c r="P30" s="364">
        <v>0.75</v>
      </c>
      <c r="Q30" s="239"/>
      <c r="R30" s="362">
        <f>R$25*(P24+1)/(R$5*P30)</f>
        <v>533.16009095980883</v>
      </c>
      <c r="S30" s="357"/>
      <c r="T30" s="355"/>
      <c r="V30" s="364">
        <v>0.75</v>
      </c>
      <c r="W30" s="239"/>
      <c r="X30" s="362">
        <f>X$25*(V24+1)/(X$5*V30)</f>
        <v>508.02001680940009</v>
      </c>
      <c r="Y30" s="356"/>
      <c r="Z30" s="241" t="s">
        <v>63</v>
      </c>
      <c r="AA30" s="208">
        <v>15</v>
      </c>
      <c r="AB30" s="308">
        <f>AA30*8</f>
        <v>120</v>
      </c>
      <c r="AC30" s="242"/>
      <c r="AD30" s="242"/>
      <c r="AE30" s="242"/>
    </row>
    <row r="31" spans="2:32" s="33" customFormat="1" ht="15.75" thickBot="1" x14ac:dyDescent="0.3">
      <c r="B31" s="355"/>
      <c r="D31" s="364">
        <v>0.7</v>
      </c>
      <c r="E31" s="239"/>
      <c r="F31" s="362">
        <f>F$25*(D24+1)/(F$5*D31)</f>
        <v>634.50224327100273</v>
      </c>
      <c r="G31" s="356"/>
      <c r="H31" s="355"/>
      <c r="J31" s="364">
        <v>0.7</v>
      </c>
      <c r="K31" s="239"/>
      <c r="L31" s="362">
        <f>L$25*(J24+1)/(L$5*J31)</f>
        <v>577.99260066600038</v>
      </c>
      <c r="M31" s="356"/>
      <c r="N31" s="355"/>
      <c r="P31" s="364">
        <v>0.7</v>
      </c>
      <c r="Q31" s="239"/>
      <c r="R31" s="362">
        <f>R$25*(P24+1)/(R$5*P31)</f>
        <v>571.24295459979521</v>
      </c>
      <c r="S31" s="357"/>
      <c r="T31" s="355"/>
      <c r="V31" s="364">
        <v>0.7</v>
      </c>
      <c r="W31" s="239"/>
      <c r="X31" s="362">
        <f>X$25*(V24+1)/(X$5*V31)</f>
        <v>544.30716086721441</v>
      </c>
      <c r="Y31" s="356"/>
      <c r="Z31" s="241" t="s">
        <v>64</v>
      </c>
      <c r="AA31" s="208">
        <v>13</v>
      </c>
      <c r="AB31" s="308">
        <f>AA31*8</f>
        <v>104</v>
      </c>
      <c r="AC31" s="242"/>
      <c r="AD31" s="242"/>
      <c r="AE31" s="242"/>
    </row>
    <row r="32" spans="2:32" s="242" customFormat="1" ht="15" customHeight="1" thickBot="1" x14ac:dyDescent="0.3">
      <c r="B32" s="355"/>
      <c r="C32" s="33"/>
      <c r="D32" s="364">
        <v>0.65</v>
      </c>
      <c r="E32" s="239"/>
      <c r="F32" s="362">
        <f>F$25*(D24+1)/(F$5*D32)</f>
        <v>683.31010813800287</v>
      </c>
      <c r="G32" s="356"/>
      <c r="H32" s="355"/>
      <c r="I32" s="33"/>
      <c r="J32" s="364">
        <v>0.65</v>
      </c>
      <c r="K32" s="239"/>
      <c r="L32" s="362">
        <f>L$25*(J24+1)/(L$5*J32)</f>
        <v>622.45356994800045</v>
      </c>
      <c r="M32" s="356"/>
      <c r="N32" s="355"/>
      <c r="O32" s="33"/>
      <c r="P32" s="364">
        <v>0.65</v>
      </c>
      <c r="Q32" s="239"/>
      <c r="R32" s="362">
        <f>R$25*(P24+1)/(R$5*P32)</f>
        <v>615.18472033824094</v>
      </c>
      <c r="S32" s="357"/>
      <c r="T32" s="355"/>
      <c r="U32" s="33"/>
      <c r="V32" s="364">
        <v>0.65</v>
      </c>
      <c r="W32" s="239"/>
      <c r="X32" s="362">
        <f>X$25*(V24+1)/(X$5*V32)</f>
        <v>586.17694247238467</v>
      </c>
      <c r="Y32" s="356"/>
      <c r="Z32" s="316" t="s">
        <v>69</v>
      </c>
      <c r="AA32" s="317">
        <v>8</v>
      </c>
      <c r="AB32" s="318">
        <f>AA32*8</f>
        <v>64</v>
      </c>
      <c r="AC32" s="363"/>
      <c r="AD32" s="363"/>
      <c r="AE32" s="363"/>
    </row>
    <row r="33" spans="1:35" s="242" customFormat="1" ht="13.9" customHeight="1" thickBot="1" x14ac:dyDescent="0.3">
      <c r="B33" s="355"/>
      <c r="C33" s="33"/>
      <c r="D33" s="364">
        <v>0.6</v>
      </c>
      <c r="E33" s="239"/>
      <c r="F33" s="362">
        <f>F$25*(D24+1)/(F$5*D33)</f>
        <v>740.25261714950307</v>
      </c>
      <c r="G33" s="356"/>
      <c r="H33" s="355"/>
      <c r="I33" s="33"/>
      <c r="J33" s="364">
        <v>0.6</v>
      </c>
      <c r="K33" s="239"/>
      <c r="L33" s="362">
        <f>L$25*(J24+1)/(L$5*J33)</f>
        <v>674.32470077700043</v>
      </c>
      <c r="M33" s="356"/>
      <c r="N33" s="355"/>
      <c r="O33" s="33"/>
      <c r="P33" s="364">
        <v>0.6</v>
      </c>
      <c r="Q33" s="239"/>
      <c r="R33" s="362">
        <f>R$25*(P24+1)/(R$5*P33)</f>
        <v>666.450113699761</v>
      </c>
      <c r="S33" s="357"/>
      <c r="T33" s="355"/>
      <c r="U33" s="33"/>
      <c r="V33" s="364">
        <v>0.6</v>
      </c>
      <c r="W33" s="239"/>
      <c r="X33" s="362">
        <f>X$25*(V24+1)/(X$5*V33)</f>
        <v>635.02502101175014</v>
      </c>
      <c r="Y33" s="356"/>
      <c r="Z33" s="241"/>
      <c r="AA33" s="269" t="s">
        <v>71</v>
      </c>
      <c r="AB33" s="308">
        <f>SUM(AB29:AB32)</f>
        <v>408</v>
      </c>
      <c r="AC33" s="363"/>
      <c r="AD33" s="363"/>
      <c r="AE33" s="363"/>
    </row>
    <row r="34" spans="1:35" s="363" customFormat="1" ht="15.75" thickBot="1" x14ac:dyDescent="0.3">
      <c r="B34" s="355"/>
      <c r="C34" s="33"/>
      <c r="D34" s="364">
        <v>0.55000000000000004</v>
      </c>
      <c r="E34" s="239"/>
      <c r="F34" s="362">
        <f>F$25*(D24+1)/(F$5*D34)</f>
        <v>807.54830961763957</v>
      </c>
      <c r="G34" s="356"/>
      <c r="H34" s="355"/>
      <c r="I34" s="33"/>
      <c r="J34" s="364">
        <v>0.55000000000000004</v>
      </c>
      <c r="K34" s="239"/>
      <c r="L34" s="362">
        <f>L$25*(J24+1)/(L$5*J34)</f>
        <v>735.62694630218232</v>
      </c>
      <c r="M34" s="356"/>
      <c r="N34" s="355"/>
      <c r="O34" s="33"/>
      <c r="P34" s="364">
        <v>0.55000000000000004</v>
      </c>
      <c r="Q34" s="239"/>
      <c r="R34" s="362">
        <f>R$25*(P24+1)/(R$5*P34)</f>
        <v>727.03648767246636</v>
      </c>
      <c r="S34" s="357"/>
      <c r="T34" s="355"/>
      <c r="U34" s="33"/>
      <c r="V34" s="364">
        <v>0.55000000000000004</v>
      </c>
      <c r="W34" s="239"/>
      <c r="X34" s="362">
        <f>X$25*(V24+1)/(X$5*V34)</f>
        <v>692.75456837645459</v>
      </c>
      <c r="Y34" s="356"/>
      <c r="Z34" s="321"/>
      <c r="AA34" s="322" t="s">
        <v>72</v>
      </c>
      <c r="AB34" s="323">
        <f>AB33/(52*40)</f>
        <v>0.19615384615384615</v>
      </c>
      <c r="AC34" s="33"/>
      <c r="AD34" s="33"/>
      <c r="AE34" s="33"/>
    </row>
    <row r="35" spans="1:35" s="363" customFormat="1" ht="15.75" thickBot="1" x14ac:dyDescent="0.3">
      <c r="B35" s="373"/>
      <c r="C35" s="36"/>
      <c r="D35" s="374">
        <v>0.5</v>
      </c>
      <c r="E35" s="375"/>
      <c r="F35" s="376">
        <f>F$25*(D24+1)/(F$5*D35)</f>
        <v>888.3031405794037</v>
      </c>
      <c r="G35" s="356"/>
      <c r="H35" s="373"/>
      <c r="I35" s="36"/>
      <c r="J35" s="374">
        <v>0.5</v>
      </c>
      <c r="K35" s="375"/>
      <c r="L35" s="376">
        <f>L$25*(J24+1)/(L$5*J35)</f>
        <v>809.18964093240061</v>
      </c>
      <c r="M35" s="356"/>
      <c r="N35" s="373"/>
      <c r="O35" s="36"/>
      <c r="P35" s="374">
        <v>0.5</v>
      </c>
      <c r="Q35" s="375"/>
      <c r="R35" s="376">
        <f>R$25*(P24+1)/(R$5*P35)</f>
        <v>799.74013643971318</v>
      </c>
      <c r="S35" s="357"/>
      <c r="T35" s="373"/>
      <c r="U35" s="36"/>
      <c r="V35" s="374">
        <v>0.5</v>
      </c>
      <c r="W35" s="375"/>
      <c r="X35" s="376">
        <f>X$25*(V24+1)/(X$5*V35)</f>
        <v>762.03002521410008</v>
      </c>
      <c r="Y35" s="356"/>
      <c r="Z35" s="33"/>
      <c r="AA35" s="33"/>
      <c r="AB35" s="33"/>
      <c r="AC35" s="33"/>
      <c r="AD35" s="33"/>
      <c r="AE35" s="33"/>
    </row>
    <row r="36" spans="1:35" s="33" customFormat="1" ht="15.75" thickBot="1" x14ac:dyDescent="0.3">
      <c r="A36"/>
      <c r="B36" s="42"/>
      <c r="C36" s="42"/>
      <c r="D36" s="42"/>
      <c r="E36" s="187"/>
      <c r="F36" s="42"/>
      <c r="G36" s="356"/>
      <c r="H36" s="42"/>
      <c r="I36" s="42"/>
      <c r="J36" s="42"/>
      <c r="K36" s="187"/>
      <c r="L36" s="42"/>
      <c r="M36" s="42"/>
      <c r="N36" s="42"/>
      <c r="O36" s="42"/>
      <c r="P36" s="42"/>
      <c r="Q36" s="187"/>
      <c r="R36" s="42"/>
      <c r="S36" s="42"/>
      <c r="T36" s="42"/>
      <c r="U36" s="42"/>
      <c r="V36" s="42"/>
      <c r="W36" s="187"/>
      <c r="X36" s="42"/>
      <c r="Y36" s="42"/>
      <c r="Z36" s="242"/>
      <c r="AA36" s="242"/>
      <c r="AB36" s="242"/>
      <c r="AC36" s="242"/>
      <c r="AD36" s="242"/>
      <c r="AE36" s="242"/>
    </row>
    <row r="37" spans="1:35" s="33" customFormat="1" ht="15.75" thickBot="1" x14ac:dyDescent="0.3">
      <c r="B37" s="1051" t="s">
        <v>108</v>
      </c>
      <c r="C37" s="1052"/>
      <c r="D37" s="1052"/>
      <c r="E37" s="1052"/>
      <c r="F37" s="1053"/>
      <c r="G37" s="42"/>
      <c r="M37" s="42"/>
      <c r="Y37" s="42"/>
    </row>
    <row r="38" spans="1:35" s="33" customFormat="1" ht="15.75" thickBot="1" x14ac:dyDescent="0.3">
      <c r="B38" s="1054" t="s">
        <v>49</v>
      </c>
      <c r="C38" s="1055"/>
      <c r="D38" s="1055"/>
      <c r="E38" s="1055"/>
      <c r="F38" s="1056"/>
      <c r="G38" s="42"/>
      <c r="H38" s="1054" t="s">
        <v>50</v>
      </c>
      <c r="I38" s="1055"/>
      <c r="J38" s="1055"/>
      <c r="K38" s="1055"/>
      <c r="L38" s="1056"/>
      <c r="M38" s="42"/>
      <c r="N38" s="631"/>
      <c r="O38" s="632"/>
      <c r="P38" s="633" t="s">
        <v>51</v>
      </c>
      <c r="Q38" s="634"/>
      <c r="R38" s="635"/>
      <c r="S38" s="281"/>
      <c r="T38" s="631"/>
      <c r="U38" s="632"/>
      <c r="V38" s="633" t="s">
        <v>52</v>
      </c>
      <c r="W38" s="634"/>
      <c r="X38" s="635"/>
      <c r="Y38" s="42"/>
      <c r="Z38" s="1057" t="s">
        <v>48</v>
      </c>
      <c r="AA38" s="1062"/>
      <c r="AB38" s="1062"/>
      <c r="AC38" s="1062"/>
      <c r="AD38" s="1062"/>
      <c r="AE38" s="1063"/>
      <c r="AF38" s="363"/>
      <c r="AG38" s="363"/>
      <c r="AH38" s="363"/>
      <c r="AI38" s="363"/>
    </row>
    <row r="39" spans="1:35" s="33" customFormat="1" ht="15.75" thickBot="1" x14ac:dyDescent="0.3">
      <c r="B39" s="377" t="s">
        <v>56</v>
      </c>
      <c r="C39" s="638" t="s">
        <v>109</v>
      </c>
      <c r="D39" s="301" t="s">
        <v>58</v>
      </c>
      <c r="E39" s="302">
        <v>365</v>
      </c>
      <c r="F39" s="303">
        <f>E39*C40</f>
        <v>1825</v>
      </c>
      <c r="G39" s="42"/>
      <c r="H39" s="377" t="s">
        <v>56</v>
      </c>
      <c r="I39" s="611" t="s">
        <v>110</v>
      </c>
      <c r="J39" s="301" t="s">
        <v>58</v>
      </c>
      <c r="K39" s="302">
        <v>365</v>
      </c>
      <c r="L39" s="303">
        <f>K39*I40</f>
        <v>3650</v>
      </c>
      <c r="M39" s="201"/>
      <c r="N39" s="377" t="s">
        <v>56</v>
      </c>
      <c r="O39" s="250" t="s">
        <v>59</v>
      </c>
      <c r="P39" s="301" t="s">
        <v>58</v>
      </c>
      <c r="Q39" s="302">
        <v>365</v>
      </c>
      <c r="R39" s="303">
        <f>O40*Q39</f>
        <v>5475</v>
      </c>
      <c r="S39" s="246"/>
      <c r="T39" s="377" t="s">
        <v>56</v>
      </c>
      <c r="U39" s="250" t="s">
        <v>360</v>
      </c>
      <c r="V39" s="301" t="s">
        <v>58</v>
      </c>
      <c r="W39" s="302">
        <v>365</v>
      </c>
      <c r="X39" s="303">
        <f>U40*W39</f>
        <v>7300</v>
      </c>
      <c r="Y39" s="42"/>
      <c r="Z39" s="155" t="s">
        <v>352</v>
      </c>
      <c r="AA39" s="239"/>
      <c r="AB39" s="647">
        <f>AB4</f>
        <v>81486.911999999997</v>
      </c>
      <c r="AC39" s="33" t="s">
        <v>663</v>
      </c>
      <c r="AD39" s="239"/>
      <c r="AE39" s="307"/>
      <c r="AG39" s="242"/>
      <c r="AH39" s="240"/>
      <c r="AI39" s="293"/>
    </row>
    <row r="40" spans="1:35" s="33" customFormat="1" ht="15.75" thickBot="1" x14ac:dyDescent="0.3">
      <c r="B40" s="642"/>
      <c r="C40" s="610">
        <v>5</v>
      </c>
      <c r="D40" s="643"/>
      <c r="E40" s="237"/>
      <c r="F40" s="644"/>
      <c r="G40" s="42"/>
      <c r="H40" s="258"/>
      <c r="I40" s="610">
        <v>10</v>
      </c>
      <c r="J40" s="204"/>
      <c r="K40" s="294"/>
      <c r="L40" s="305"/>
      <c r="M40" s="201"/>
      <c r="N40" s="258"/>
      <c r="O40" s="610">
        <v>15</v>
      </c>
      <c r="P40" s="204"/>
      <c r="Q40" s="244"/>
      <c r="R40" s="305"/>
      <c r="S40" s="246"/>
      <c r="T40" s="258"/>
      <c r="U40" s="610">
        <v>20</v>
      </c>
      <c r="V40" s="204"/>
      <c r="W40" s="244"/>
      <c r="X40" s="305"/>
      <c r="Y40" s="201"/>
      <c r="Z40" s="306" t="s">
        <v>87</v>
      </c>
      <c r="AA40" s="239"/>
      <c r="AB40" s="647">
        <f>AB5</f>
        <v>84174.063999999998</v>
      </c>
      <c r="AC40" s="33" t="s">
        <v>663</v>
      </c>
      <c r="AD40" s="239"/>
      <c r="AE40" s="307"/>
      <c r="AH40" s="208"/>
      <c r="AI40" s="208"/>
    </row>
    <row r="41" spans="1:35" ht="23.25" customHeight="1" x14ac:dyDescent="0.25">
      <c r="B41" s="645"/>
      <c r="C41" s="310" t="s">
        <v>65</v>
      </c>
      <c r="D41" s="293" t="s">
        <v>66</v>
      </c>
      <c r="E41" s="311" t="s">
        <v>67</v>
      </c>
      <c r="F41" s="312" t="s">
        <v>68</v>
      </c>
      <c r="G41" s="313"/>
      <c r="H41" s="155"/>
      <c r="I41" s="310" t="s">
        <v>65</v>
      </c>
      <c r="J41" s="293" t="s">
        <v>66</v>
      </c>
      <c r="K41" s="311" t="s">
        <v>67</v>
      </c>
      <c r="L41" s="312" t="s">
        <v>68</v>
      </c>
      <c r="M41" s="313"/>
      <c r="N41" s="155"/>
      <c r="O41" s="612" t="s">
        <v>65</v>
      </c>
      <c r="P41" s="613" t="s">
        <v>66</v>
      </c>
      <c r="Q41" s="614" t="s">
        <v>67</v>
      </c>
      <c r="R41" s="615" t="s">
        <v>68</v>
      </c>
      <c r="S41" s="616"/>
      <c r="T41" s="155"/>
      <c r="U41" s="612" t="s">
        <v>65</v>
      </c>
      <c r="V41" s="613" t="s">
        <v>66</v>
      </c>
      <c r="W41" s="614" t="s">
        <v>67</v>
      </c>
      <c r="X41" s="615" t="s">
        <v>68</v>
      </c>
      <c r="Y41" s="201"/>
      <c r="Z41" s="306" t="s">
        <v>106</v>
      </c>
      <c r="AA41" s="309"/>
      <c r="AB41" s="647">
        <f>AB6</f>
        <v>56388.633600000001</v>
      </c>
      <c r="AC41" s="33" t="s">
        <v>663</v>
      </c>
      <c r="AD41" s="239"/>
      <c r="AE41" s="307"/>
      <c r="AF41" s="33"/>
      <c r="AG41" s="33"/>
      <c r="AH41" s="208"/>
      <c r="AI41" s="208"/>
    </row>
    <row r="42" spans="1:35" ht="15.75" thickBot="1" x14ac:dyDescent="0.3">
      <c r="B42" s="155" t="s">
        <v>352</v>
      </c>
      <c r="C42" s="314"/>
      <c r="D42" s="239">
        <f>$AB$4</f>
        <v>81486.911999999997</v>
      </c>
      <c r="E42" s="38">
        <f>AB45</f>
        <v>0.25</v>
      </c>
      <c r="F42" s="307">
        <f>D42*E42</f>
        <v>20371.727999999999</v>
      </c>
      <c r="H42" s="155" t="s">
        <v>352</v>
      </c>
      <c r="I42" s="314"/>
      <c r="J42" s="239">
        <f>$AB$4</f>
        <v>81486.911999999997</v>
      </c>
      <c r="K42" s="38">
        <f>AC45</f>
        <v>0.25</v>
      </c>
      <c r="L42" s="307">
        <f>J42*K42</f>
        <v>20371.727999999999</v>
      </c>
      <c r="N42" s="155" t="s">
        <v>352</v>
      </c>
      <c r="O42" s="314"/>
      <c r="P42" s="239">
        <f>AB39</f>
        <v>81486.911999999997</v>
      </c>
      <c r="Q42" s="38">
        <f>AD45</f>
        <v>0.25</v>
      </c>
      <c r="R42" s="307">
        <f>P42*Q42</f>
        <v>20371.727999999999</v>
      </c>
      <c r="S42" s="239"/>
      <c r="T42" s="155" t="s">
        <v>352</v>
      </c>
      <c r="U42" s="314"/>
      <c r="V42" s="239">
        <f>AB39</f>
        <v>81486.911999999997</v>
      </c>
      <c r="W42" s="38">
        <v>0.25</v>
      </c>
      <c r="X42" s="307">
        <f>V42*W42</f>
        <v>20371.727999999999</v>
      </c>
      <c r="Z42" s="379" t="s">
        <v>75</v>
      </c>
      <c r="AA42" s="375"/>
      <c r="AB42" s="380">
        <f>AB7</f>
        <v>46842.432000000008</v>
      </c>
      <c r="AC42" s="33" t="s">
        <v>663</v>
      </c>
      <c r="AD42" s="375"/>
      <c r="AE42" s="381"/>
      <c r="AF42" s="242"/>
      <c r="AG42" s="33"/>
      <c r="AH42" s="208"/>
      <c r="AI42" s="208"/>
    </row>
    <row r="43" spans="1:35" s="33" customFormat="1" ht="15.75" thickBot="1" x14ac:dyDescent="0.3">
      <c r="B43" s="155" t="s">
        <v>106</v>
      </c>
      <c r="C43" s="314"/>
      <c r="D43" s="239">
        <f>AB6</f>
        <v>56388.633600000001</v>
      </c>
      <c r="E43" s="38">
        <v>1</v>
      </c>
      <c r="F43" s="307">
        <f>E43*D43</f>
        <v>56388.633600000001</v>
      </c>
      <c r="G43" s="42"/>
      <c r="H43" s="155" t="s">
        <v>106</v>
      </c>
      <c r="I43" s="314"/>
      <c r="J43" s="239">
        <f>AB6</f>
        <v>56388.633600000001</v>
      </c>
      <c r="K43" s="38">
        <f>AC47</f>
        <v>1</v>
      </c>
      <c r="L43" s="307">
        <f>K43*J43</f>
        <v>56388.633600000001</v>
      </c>
      <c r="M43" s="42"/>
      <c r="N43" s="155" t="s">
        <v>106</v>
      </c>
      <c r="O43" s="314"/>
      <c r="P43" s="239">
        <f>AB6</f>
        <v>56388.633600000001</v>
      </c>
      <c r="Q43" s="38">
        <f>AD47</f>
        <v>2</v>
      </c>
      <c r="R43" s="307">
        <f>Q43*P43</f>
        <v>112777.2672</v>
      </c>
      <c r="S43" s="282"/>
      <c r="T43" s="155"/>
      <c r="U43" s="314"/>
      <c r="V43" s="239"/>
      <c r="W43" s="38"/>
      <c r="X43" s="307"/>
      <c r="Y43" s="313"/>
      <c r="Z43" s="325"/>
      <c r="AA43" s="326"/>
      <c r="AB43" s="302"/>
      <c r="AC43" s="302" t="s">
        <v>67</v>
      </c>
      <c r="AD43" s="302"/>
      <c r="AE43" s="382"/>
      <c r="AF43" s="240"/>
      <c r="AH43" s="208"/>
      <c r="AI43" s="208"/>
    </row>
    <row r="44" spans="1:35" s="33" customFormat="1" x14ac:dyDescent="0.25">
      <c r="B44" s="319" t="s">
        <v>73</v>
      </c>
      <c r="C44" s="38">
        <v>7.5</v>
      </c>
      <c r="D44" s="239">
        <f>AB42</f>
        <v>46842.432000000008</v>
      </c>
      <c r="E44" s="38">
        <v>1</v>
      </c>
      <c r="F44" s="307">
        <f>D44*E44</f>
        <v>46842.432000000008</v>
      </c>
      <c r="G44" s="42"/>
      <c r="H44" s="319" t="s">
        <v>73</v>
      </c>
      <c r="I44" s="38">
        <v>7.5</v>
      </c>
      <c r="J44" s="239">
        <f>AB42</f>
        <v>46842.432000000008</v>
      </c>
      <c r="K44" s="38">
        <f>AC48</f>
        <v>1</v>
      </c>
      <c r="L44" s="307">
        <f>J44*K44</f>
        <v>46842.432000000008</v>
      </c>
      <c r="M44" s="42"/>
      <c r="N44" s="319" t="s">
        <v>73</v>
      </c>
      <c r="O44" s="38">
        <v>7.5</v>
      </c>
      <c r="P44" s="239">
        <f>AB42</f>
        <v>46842.432000000008</v>
      </c>
      <c r="Q44" s="38">
        <f>AD48</f>
        <v>2.2000000000000002</v>
      </c>
      <c r="R44" s="307">
        <f>P44*Q44</f>
        <v>103053.35040000002</v>
      </c>
      <c r="S44" s="617"/>
      <c r="T44" s="319" t="s">
        <v>74</v>
      </c>
      <c r="U44" s="38">
        <v>7.5</v>
      </c>
      <c r="V44" s="239">
        <f>AB42</f>
        <v>46842.432000000008</v>
      </c>
      <c r="W44" s="38">
        <f>AE47</f>
        <v>4.84</v>
      </c>
      <c r="X44" s="307">
        <f>V44*W44</f>
        <v>226717.37088000003</v>
      </c>
      <c r="Y44" s="383"/>
      <c r="Z44" s="384"/>
      <c r="AA44" s="385" t="s">
        <v>84</v>
      </c>
      <c r="AB44" s="386">
        <v>8</v>
      </c>
      <c r="AC44" s="387">
        <v>12</v>
      </c>
      <c r="AD44" s="387">
        <v>15</v>
      </c>
      <c r="AE44" s="652">
        <v>20</v>
      </c>
      <c r="AF44" s="240"/>
      <c r="AH44" s="208"/>
      <c r="AI44" s="208"/>
    </row>
    <row r="45" spans="1:35" s="33" customFormat="1" x14ac:dyDescent="0.25">
      <c r="B45" s="319"/>
      <c r="C45" s="38"/>
      <c r="D45" s="239"/>
      <c r="E45" s="38"/>
      <c r="F45" s="307"/>
      <c r="G45" s="42"/>
      <c r="H45" s="155"/>
      <c r="I45" s="38"/>
      <c r="J45" s="156"/>
      <c r="K45" s="38"/>
      <c r="L45" s="307"/>
      <c r="M45" s="42"/>
      <c r="N45" s="155"/>
      <c r="O45" s="38"/>
      <c r="P45" s="618"/>
      <c r="Q45" s="38"/>
      <c r="R45" s="307"/>
      <c r="S45" s="282"/>
      <c r="T45" s="155"/>
      <c r="U45" s="38"/>
      <c r="V45" s="618"/>
      <c r="W45" s="38"/>
      <c r="X45" s="307"/>
      <c r="Y45" s="42"/>
      <c r="Z45" s="333" t="s">
        <v>352</v>
      </c>
      <c r="AA45" s="239"/>
      <c r="AB45" s="334">
        <v>0.25</v>
      </c>
      <c r="AC45" s="334">
        <v>0.25</v>
      </c>
      <c r="AD45" s="334">
        <v>0.25</v>
      </c>
      <c r="AE45" s="335">
        <v>0.25</v>
      </c>
      <c r="AF45" s="242"/>
      <c r="AH45" s="269"/>
      <c r="AI45" s="208"/>
    </row>
    <row r="46" spans="1:35" s="309" customFormat="1" x14ac:dyDescent="0.25">
      <c r="B46" s="589" t="s">
        <v>538</v>
      </c>
      <c r="C46" s="585"/>
      <c r="D46" s="586"/>
      <c r="E46" s="587">
        <f>SUM(E42:E44)</f>
        <v>2.25</v>
      </c>
      <c r="F46" s="588">
        <f>SUM(F42:F45)</f>
        <v>123602.7936</v>
      </c>
      <c r="G46" s="42"/>
      <c r="H46" s="589" t="s">
        <v>538</v>
      </c>
      <c r="I46" s="585"/>
      <c r="J46" s="586"/>
      <c r="K46" s="587">
        <f>SUM(K42:K45)</f>
        <v>2.25</v>
      </c>
      <c r="L46" s="588">
        <f>SUM(L42:L45)</f>
        <v>123602.7936</v>
      </c>
      <c r="M46" s="42"/>
      <c r="N46" s="589" t="s">
        <v>538</v>
      </c>
      <c r="O46" s="585"/>
      <c r="P46" s="586"/>
      <c r="Q46" s="587">
        <f>SUM(Q42:Q45)</f>
        <v>4.45</v>
      </c>
      <c r="R46" s="588">
        <f>SUM(R42:R45)</f>
        <v>236202.34560000003</v>
      </c>
      <c r="S46" s="239"/>
      <c r="T46" s="589" t="s">
        <v>538</v>
      </c>
      <c r="U46" s="585"/>
      <c r="V46" s="586"/>
      <c r="W46" s="587">
        <f>SUM(W42:W45)</f>
        <v>5.09</v>
      </c>
      <c r="X46" s="588">
        <f>SUM(X42:X45)</f>
        <v>247089.09888000003</v>
      </c>
      <c r="Y46" s="42"/>
      <c r="Z46" s="389" t="s">
        <v>75</v>
      </c>
      <c r="AA46" s="390"/>
      <c r="AB46" s="391" t="s">
        <v>67</v>
      </c>
      <c r="AC46" s="392"/>
      <c r="AD46" s="392"/>
      <c r="AE46" s="393"/>
      <c r="AF46" s="239"/>
      <c r="AG46" s="33"/>
      <c r="AH46" s="33"/>
      <c r="AI46" s="33"/>
    </row>
    <row r="47" spans="1:35" s="309" customFormat="1" x14ac:dyDescent="0.25">
      <c r="B47" s="604" t="s">
        <v>80</v>
      </c>
      <c r="C47" s="38"/>
      <c r="D47" s="239"/>
      <c r="E47" s="265">
        <f>'M2022 BLS  (53_PCT)'!C38</f>
        <v>0.27379999999999999</v>
      </c>
      <c r="F47" s="307">
        <f>F46*E47</f>
        <v>33842.444887680002</v>
      </c>
      <c r="G47" s="42"/>
      <c r="H47" s="604" t="s">
        <v>80</v>
      </c>
      <c r="I47" s="38"/>
      <c r="J47" s="239"/>
      <c r="K47" s="265">
        <f>E47</f>
        <v>0.27379999999999999</v>
      </c>
      <c r="L47" s="307">
        <f>L46*K47</f>
        <v>33842.444887680002</v>
      </c>
      <c r="M47" s="42"/>
      <c r="N47" s="604" t="s">
        <v>80</v>
      </c>
      <c r="O47" s="38"/>
      <c r="P47" s="239"/>
      <c r="Q47" s="618">
        <f>K47</f>
        <v>0.27379999999999999</v>
      </c>
      <c r="R47" s="307">
        <f>R46*Q47</f>
        <v>64672.202225280009</v>
      </c>
      <c r="S47" s="242"/>
      <c r="T47" s="604" t="s">
        <v>80</v>
      </c>
      <c r="U47" s="38"/>
      <c r="V47" s="239"/>
      <c r="W47" s="618">
        <f>Q47</f>
        <v>0.27379999999999999</v>
      </c>
      <c r="X47" s="307">
        <f>X46*W47</f>
        <v>67652.995273344</v>
      </c>
      <c r="Y47" s="42"/>
      <c r="Z47" s="306" t="s">
        <v>90</v>
      </c>
      <c r="AA47" s="239"/>
      <c r="AB47" s="650">
        <v>1</v>
      </c>
      <c r="AC47" s="650">
        <v>1</v>
      </c>
      <c r="AD47" s="650">
        <v>2</v>
      </c>
      <c r="AE47" s="1064">
        <v>4.84</v>
      </c>
      <c r="AG47" s="242"/>
      <c r="AH47" s="242"/>
      <c r="AI47" s="242"/>
    </row>
    <row r="48" spans="1:35" s="239" customFormat="1" ht="15.75" thickBot="1" x14ac:dyDescent="0.3">
      <c r="B48" s="590" t="s">
        <v>539</v>
      </c>
      <c r="C48" s="584"/>
      <c r="D48" s="584"/>
      <c r="E48" s="584"/>
      <c r="F48" s="605">
        <f>SUM(F46:F47)</f>
        <v>157445.23848768001</v>
      </c>
      <c r="G48" s="42"/>
      <c r="H48" s="590" t="s">
        <v>539</v>
      </c>
      <c r="I48" s="584"/>
      <c r="J48" s="584"/>
      <c r="K48" s="584"/>
      <c r="L48" s="605">
        <f>SUM(L46:L47)</f>
        <v>157445.23848768001</v>
      </c>
      <c r="M48" s="42"/>
      <c r="N48" s="590" t="s">
        <v>539</v>
      </c>
      <c r="O48" s="584"/>
      <c r="P48" s="584"/>
      <c r="Q48" s="584"/>
      <c r="R48" s="605">
        <f>SUM(R46:R47)</f>
        <v>300874.54782528005</v>
      </c>
      <c r="S48" s="242"/>
      <c r="T48" s="590" t="s">
        <v>539</v>
      </c>
      <c r="U48" s="584"/>
      <c r="V48" s="584"/>
      <c r="W48" s="584"/>
      <c r="X48" s="605">
        <f>SUM(X46:X47)</f>
        <v>314742.09415334405</v>
      </c>
      <c r="Y48" s="42"/>
      <c r="Z48" s="306" t="s">
        <v>92</v>
      </c>
      <c r="AB48" s="650">
        <v>1</v>
      </c>
      <c r="AC48" s="650">
        <v>1</v>
      </c>
      <c r="AD48" s="650">
        <v>2.2000000000000002</v>
      </c>
      <c r="AE48" s="1065"/>
      <c r="AF48" s="309"/>
      <c r="AG48" s="242"/>
      <c r="AH48" s="242"/>
      <c r="AI48" s="242"/>
    </row>
    <row r="49" spans="2:35" s="242" customFormat="1" ht="16.5" thickTop="1" thickBot="1" x14ac:dyDescent="0.3">
      <c r="B49" s="252"/>
      <c r="D49" s="195"/>
      <c r="E49" s="353"/>
      <c r="F49" s="336"/>
      <c r="G49" s="42"/>
      <c r="H49" s="252"/>
      <c r="J49" s="195"/>
      <c r="K49" s="353"/>
      <c r="L49" s="336"/>
      <c r="M49" s="42"/>
      <c r="N49" s="252"/>
      <c r="P49" s="195"/>
      <c r="Q49" s="353"/>
      <c r="R49" s="336"/>
      <c r="T49" s="252"/>
      <c r="V49" s="195"/>
      <c r="W49" s="353"/>
      <c r="X49" s="336"/>
      <c r="Y49" s="42"/>
      <c r="Z49" s="325"/>
      <c r="AA49" s="326"/>
      <c r="AB49" s="394"/>
      <c r="AC49" s="394" t="s">
        <v>94</v>
      </c>
      <c r="AD49" s="394"/>
      <c r="AE49" s="395"/>
      <c r="AF49" s="239"/>
      <c r="AG49" s="240"/>
      <c r="AH49" s="240"/>
      <c r="AI49" s="240"/>
    </row>
    <row r="50" spans="2:35" s="242" customFormat="1" ht="21.75" customHeight="1" x14ac:dyDescent="0.25">
      <c r="B50" s="583" t="s">
        <v>540</v>
      </c>
      <c r="D50" s="195"/>
      <c r="E50" s="294" t="s">
        <v>78</v>
      </c>
      <c r="F50" s="336"/>
      <c r="G50" s="42"/>
      <c r="H50" s="583" t="s">
        <v>540</v>
      </c>
      <c r="J50" s="195"/>
      <c r="K50" s="294" t="s">
        <v>78</v>
      </c>
      <c r="L50" s="336"/>
      <c r="M50" s="42"/>
      <c r="N50" s="583" t="s">
        <v>540</v>
      </c>
      <c r="P50" s="195"/>
      <c r="Q50" s="294" t="s">
        <v>78</v>
      </c>
      <c r="R50" s="336"/>
      <c r="T50" s="583" t="s">
        <v>540</v>
      </c>
      <c r="V50" s="195"/>
      <c r="W50" s="294" t="s">
        <v>78</v>
      </c>
      <c r="X50" s="336"/>
      <c r="Y50" s="42"/>
      <c r="Z50" s="396"/>
      <c r="AA50" s="397" t="s">
        <v>84</v>
      </c>
      <c r="AB50" s="387">
        <v>8</v>
      </c>
      <c r="AC50" s="387">
        <v>12</v>
      </c>
      <c r="AD50" s="387">
        <v>15.5</v>
      </c>
      <c r="AE50" s="652">
        <v>20</v>
      </c>
      <c r="AG50" s="240"/>
      <c r="AH50" s="240"/>
      <c r="AI50" s="240"/>
    </row>
    <row r="51" spans="2:35" s="240" customFormat="1" x14ac:dyDescent="0.25">
      <c r="B51" s="241" t="s">
        <v>83</v>
      </c>
      <c r="C51" s="33"/>
      <c r="D51" s="239"/>
      <c r="E51" s="38">
        <f>$AB$22</f>
        <v>45.182128999999996</v>
      </c>
      <c r="F51" s="307">
        <f>E51*F39</f>
        <v>82457.385424999986</v>
      </c>
      <c r="G51" s="42"/>
      <c r="H51" s="241" t="s">
        <v>83</v>
      </c>
      <c r="I51" s="33"/>
      <c r="J51" s="239"/>
      <c r="K51" s="38">
        <f>$AB$22</f>
        <v>45.182128999999996</v>
      </c>
      <c r="L51" s="307">
        <f>K51*L39</f>
        <v>164914.77084999997</v>
      </c>
      <c r="M51" s="42"/>
      <c r="N51" s="241" t="s">
        <v>83</v>
      </c>
      <c r="O51" s="33"/>
      <c r="P51" s="239"/>
      <c r="Q51" s="38">
        <f>$AB$22</f>
        <v>45.182128999999996</v>
      </c>
      <c r="R51" s="307">
        <f>Q51*R39</f>
        <v>247372.15627499999</v>
      </c>
      <c r="S51" s="242"/>
      <c r="T51" s="241" t="s">
        <v>83</v>
      </c>
      <c r="U51" s="33"/>
      <c r="V51" s="239"/>
      <c r="W51" s="38">
        <f>$AB$22</f>
        <v>45.182128999999996</v>
      </c>
      <c r="X51" s="307">
        <f>W51*X39</f>
        <v>329829.54169999994</v>
      </c>
      <c r="Y51" s="42"/>
      <c r="Z51" s="398" t="s">
        <v>96</v>
      </c>
      <c r="AA51" s="399"/>
      <c r="AB51" s="400">
        <v>7.5</v>
      </c>
      <c r="AC51" s="400">
        <v>7.5</v>
      </c>
      <c r="AD51" s="400">
        <v>7.5</v>
      </c>
      <c r="AE51" s="401">
        <v>7.5</v>
      </c>
      <c r="AF51" s="242"/>
      <c r="AG51" s="242"/>
      <c r="AH51" s="242"/>
      <c r="AI51" s="242"/>
    </row>
    <row r="52" spans="2:35" s="240" customFormat="1" x14ac:dyDescent="0.25">
      <c r="B52" s="241" t="s">
        <v>86</v>
      </c>
      <c r="C52" s="33"/>
      <c r="D52" s="239"/>
      <c r="E52" s="38">
        <f>'FY21 UFR TILP-YOUTH'!Z31</f>
        <v>15.901681537562935</v>
      </c>
      <c r="F52" s="307">
        <f>E52*F39</f>
        <v>29020.568806052357</v>
      </c>
      <c r="G52" s="42"/>
      <c r="H52" s="241" t="s">
        <v>86</v>
      </c>
      <c r="I52" s="33"/>
      <c r="J52" s="239"/>
      <c r="K52" s="38">
        <f>E52</f>
        <v>15.901681537562935</v>
      </c>
      <c r="L52" s="307">
        <f>K52*L39</f>
        <v>58041.137612104714</v>
      </c>
      <c r="M52" s="42"/>
      <c r="N52" s="241" t="s">
        <v>86</v>
      </c>
      <c r="O52" s="33"/>
      <c r="P52" s="239"/>
      <c r="Q52" s="38">
        <f>K52</f>
        <v>15.901681537562935</v>
      </c>
      <c r="R52" s="307">
        <f>Q52*R39</f>
        <v>87061.70641815706</v>
      </c>
      <c r="S52" s="33"/>
      <c r="T52" s="241" t="s">
        <v>86</v>
      </c>
      <c r="U52" s="33"/>
      <c r="V52" s="239"/>
      <c r="W52" s="38">
        <f>Q52</f>
        <v>15.901681537562935</v>
      </c>
      <c r="X52" s="307">
        <f>W52*X39</f>
        <v>116082.27522420943</v>
      </c>
      <c r="Y52" s="42"/>
      <c r="Z52" s="241" t="s">
        <v>77</v>
      </c>
      <c r="AA52" s="242"/>
      <c r="AB52" s="647"/>
      <c r="AC52" s="33"/>
      <c r="AD52" s="33"/>
      <c r="AE52" s="139"/>
      <c r="AF52" s="242"/>
      <c r="AG52" s="239"/>
      <c r="AH52" s="239"/>
      <c r="AI52" s="239"/>
    </row>
    <row r="53" spans="2:35" s="242" customFormat="1" ht="15.75" thickBot="1" x14ac:dyDescent="0.3">
      <c r="B53" s="1045" t="s">
        <v>541</v>
      </c>
      <c r="C53" s="1025"/>
      <c r="D53" s="592"/>
      <c r="E53" s="593"/>
      <c r="F53" s="594">
        <f>SUM(F51:F52)</f>
        <v>111477.95423105234</v>
      </c>
      <c r="G53" s="42"/>
      <c r="H53" s="1045" t="s">
        <v>541</v>
      </c>
      <c r="I53" s="1025"/>
      <c r="J53" s="592"/>
      <c r="K53" s="593"/>
      <c r="L53" s="594">
        <f>SUM(L51:L52)</f>
        <v>222955.90846210468</v>
      </c>
      <c r="M53" s="42"/>
      <c r="N53" s="1045" t="s">
        <v>541</v>
      </c>
      <c r="O53" s="1025"/>
      <c r="P53" s="592"/>
      <c r="Q53" s="593"/>
      <c r="R53" s="594">
        <f>SUM(R51:R52)</f>
        <v>334433.86269315705</v>
      </c>
      <c r="S53" s="33"/>
      <c r="T53" s="1045" t="s">
        <v>541</v>
      </c>
      <c r="U53" s="1025"/>
      <c r="V53" s="592"/>
      <c r="W53" s="593"/>
      <c r="X53" s="594">
        <f>SUM(X51:X52)</f>
        <v>445911.81692420936</v>
      </c>
      <c r="Y53" s="42"/>
      <c r="Z53" s="241" t="s">
        <v>80</v>
      </c>
      <c r="AA53" s="33"/>
      <c r="AB53" s="651">
        <f>AB21</f>
        <v>0.24970000000000001</v>
      </c>
      <c r="AC53" s="30" t="s">
        <v>355</v>
      </c>
      <c r="AD53" s="33"/>
      <c r="AE53" s="139"/>
      <c r="AF53" s="33"/>
      <c r="AG53" s="309"/>
      <c r="AH53" s="309"/>
      <c r="AI53" s="309"/>
    </row>
    <row r="54" spans="2:35" s="242" customFormat="1" ht="15.75" thickTop="1" x14ac:dyDescent="0.25">
      <c r="B54" s="636"/>
      <c r="C54" s="637"/>
      <c r="D54" s="195"/>
      <c r="E54" s="353"/>
      <c r="F54" s="336"/>
      <c r="G54" s="42"/>
      <c r="H54" s="241"/>
      <c r="I54" s="33"/>
      <c r="J54" s="239"/>
      <c r="K54" s="38"/>
      <c r="L54" s="307"/>
      <c r="M54" s="42"/>
      <c r="N54" s="241"/>
      <c r="O54" s="33"/>
      <c r="P54" s="239"/>
      <c r="Q54" s="38"/>
      <c r="R54" s="307"/>
      <c r="S54" s="33"/>
      <c r="T54" s="241"/>
      <c r="U54" s="33"/>
      <c r="V54" s="239"/>
      <c r="W54" s="38"/>
      <c r="X54" s="307"/>
      <c r="Y54" s="42"/>
      <c r="Z54" s="241" t="s">
        <v>98</v>
      </c>
      <c r="AA54" s="33"/>
      <c r="AB54" s="907">
        <f>43.99*(2.71%+1)</f>
        <v>45.182128999999996</v>
      </c>
      <c r="AC54" s="570" t="s">
        <v>694</v>
      </c>
      <c r="AD54" s="33"/>
      <c r="AE54" s="139"/>
      <c r="AF54" s="33"/>
      <c r="AG54" s="309"/>
      <c r="AH54" s="309"/>
      <c r="AI54" s="309"/>
    </row>
    <row r="55" spans="2:35" s="239" customFormat="1" x14ac:dyDescent="0.25">
      <c r="B55" s="1061" t="s">
        <v>357</v>
      </c>
      <c r="C55" s="1027"/>
      <c r="D55" s="330"/>
      <c r="E55" s="331"/>
      <c r="F55" s="332">
        <f>F48+F53</f>
        <v>268923.19271873235</v>
      </c>
      <c r="G55" s="42"/>
      <c r="H55" s="1061" t="s">
        <v>357</v>
      </c>
      <c r="I55" s="1027"/>
      <c r="J55" s="330"/>
      <c r="K55" s="331"/>
      <c r="L55" s="332">
        <f>L48+L53</f>
        <v>380401.14694978471</v>
      </c>
      <c r="M55" s="42"/>
      <c r="N55" s="619" t="s">
        <v>88</v>
      </c>
      <c r="O55" s="620"/>
      <c r="P55" s="330"/>
      <c r="Q55" s="331"/>
      <c r="R55" s="332">
        <f>R48+R53</f>
        <v>635308.41051843716</v>
      </c>
      <c r="S55" s="242"/>
      <c r="T55" s="619" t="s">
        <v>88</v>
      </c>
      <c r="U55" s="620"/>
      <c r="V55" s="330"/>
      <c r="W55" s="331"/>
      <c r="X55" s="332">
        <f>X48+X53</f>
        <v>760653.91107755341</v>
      </c>
      <c r="Y55" s="42"/>
      <c r="Z55" s="241" t="s">
        <v>99</v>
      </c>
      <c r="AA55" s="33"/>
      <c r="AB55" s="907">
        <f>13.2*(2.71%+1)</f>
        <v>13.557719999999998</v>
      </c>
      <c r="AC55" s="570" t="s">
        <v>694</v>
      </c>
      <c r="AD55" s="33"/>
      <c r="AE55" s="139"/>
      <c r="AF55" s="33"/>
    </row>
    <row r="56" spans="2:35" s="309" customFormat="1" x14ac:dyDescent="0.25">
      <c r="B56" s="241" t="s">
        <v>89</v>
      </c>
      <c r="C56" s="33"/>
      <c r="D56" s="346">
        <f>'[21]Salary Bench Chart'!C33</f>
        <v>0.12</v>
      </c>
      <c r="E56" s="38"/>
      <c r="F56" s="307">
        <f>F55*D56</f>
        <v>32270.783126247879</v>
      </c>
      <c r="G56" s="42"/>
      <c r="H56" s="241" t="s">
        <v>89</v>
      </c>
      <c r="I56" s="33"/>
      <c r="J56" s="346">
        <f>'[21]Salary Bench Chart'!C33</f>
        <v>0.12</v>
      </c>
      <c r="K56" s="38"/>
      <c r="L56" s="307">
        <f>L55*J56</f>
        <v>45648.137633974162</v>
      </c>
      <c r="M56" s="42"/>
      <c r="N56" s="241" t="s">
        <v>89</v>
      </c>
      <c r="O56" s="33"/>
      <c r="P56" s="346">
        <v>0.12</v>
      </c>
      <c r="Q56" s="38"/>
      <c r="R56" s="307">
        <f>P56*R55</f>
        <v>76237.00926221245</v>
      </c>
      <c r="S56" s="33"/>
      <c r="T56" s="241" t="s">
        <v>89</v>
      </c>
      <c r="U56" s="33"/>
      <c r="V56" s="346">
        <v>0.12</v>
      </c>
      <c r="W56" s="38"/>
      <c r="X56" s="307">
        <f>V56*X55</f>
        <v>91278.469329306405</v>
      </c>
      <c r="Y56" s="42"/>
      <c r="Z56" s="241" t="s">
        <v>100</v>
      </c>
      <c r="AA56" s="33"/>
      <c r="AB56" s="907">
        <f>7.33*(2.71%+1)</f>
        <v>7.5286429999999998</v>
      </c>
      <c r="AC56" s="570" t="s">
        <v>694</v>
      </c>
      <c r="AD56" s="33"/>
      <c r="AE56" s="139"/>
      <c r="AF56" s="33"/>
      <c r="AG56" s="242"/>
      <c r="AH56" s="242"/>
      <c r="AI56" s="242"/>
    </row>
    <row r="57" spans="2:35" s="309" customFormat="1" ht="14.25" customHeight="1" x14ac:dyDescent="0.25">
      <c r="B57" s="241" t="s">
        <v>46</v>
      </c>
      <c r="C57" s="33"/>
      <c r="D57" s="346">
        <f>'TILP Models (A&amp;B) 2026'!AB59</f>
        <v>2.5282070971092779E-2</v>
      </c>
      <c r="E57" s="38"/>
      <c r="F57" s="307">
        <f>D57*(F55+F56)</f>
        <v>7614.8074733783942</v>
      </c>
      <c r="G57" s="42"/>
      <c r="H57" s="241" t="s">
        <v>46</v>
      </c>
      <c r="I57" s="33"/>
      <c r="J57" s="346">
        <f>AB59</f>
        <v>2.5282070971092779E-2</v>
      </c>
      <c r="K57" s="38"/>
      <c r="L57" s="307">
        <f>J57*(L55+L56)</f>
        <v>10771.408250029895</v>
      </c>
      <c r="M57" s="42"/>
      <c r="N57" s="241" t="s">
        <v>46</v>
      </c>
      <c r="O57" s="33"/>
      <c r="P57" s="346">
        <f>AB59</f>
        <v>2.5282070971092779E-2</v>
      </c>
      <c r="Q57" s="38"/>
      <c r="R57" s="307">
        <f>P57*(R55+R56)</f>
        <v>17989.341802050389</v>
      </c>
      <c r="S57" s="33"/>
      <c r="T57" s="241" t="s">
        <v>46</v>
      </c>
      <c r="U57" s="33"/>
      <c r="V57" s="346">
        <f>AB59</f>
        <v>2.5282070971092779E-2</v>
      </c>
      <c r="W57" s="38"/>
      <c r="X57" s="307">
        <f>V57*(X55+X56)</f>
        <v>21538.614904018243</v>
      </c>
      <c r="Y57" s="42"/>
      <c r="Z57" s="241" t="s">
        <v>86</v>
      </c>
      <c r="AA57" s="33"/>
      <c r="AB57" s="907">
        <f>15.9*(2.71%+1)</f>
        <v>16.33089</v>
      </c>
      <c r="AC57" s="570" t="s">
        <v>694</v>
      </c>
      <c r="AD57" s="33"/>
      <c r="AE57" s="139"/>
      <c r="AF57" s="33"/>
      <c r="AG57" s="242"/>
      <c r="AH57" s="242"/>
      <c r="AI57" s="242"/>
    </row>
    <row r="58" spans="2:35" s="239" customFormat="1" ht="15.75" thickBot="1" x14ac:dyDescent="0.3">
      <c r="B58" s="348" t="s">
        <v>91</v>
      </c>
      <c r="C58" s="349"/>
      <c r="D58" s="350"/>
      <c r="E58" s="351"/>
      <c r="F58" s="352">
        <f>SUM(F55:F57)</f>
        <v>308808.78331835859</v>
      </c>
      <c r="H58" s="348" t="s">
        <v>91</v>
      </c>
      <c r="I58" s="349"/>
      <c r="J58" s="350"/>
      <c r="K58" s="351"/>
      <c r="L58" s="352">
        <f>SUM(L55:L57)</f>
        <v>436820.69283378875</v>
      </c>
      <c r="M58" s="42"/>
      <c r="N58" s="621" t="s">
        <v>91</v>
      </c>
      <c r="O58" s="622"/>
      <c r="P58" s="623"/>
      <c r="Q58" s="624"/>
      <c r="R58" s="352">
        <f>SUM(R55:R57)</f>
        <v>729534.76158269995</v>
      </c>
      <c r="S58" s="625"/>
      <c r="T58" s="621" t="s">
        <v>91</v>
      </c>
      <c r="U58" s="622"/>
      <c r="V58" s="623"/>
      <c r="W58" s="624"/>
      <c r="X58" s="352">
        <f>SUM(X55:X57)</f>
        <v>873470.99531087803</v>
      </c>
      <c r="Y58" s="42"/>
      <c r="Z58" s="316" t="s">
        <v>361</v>
      </c>
      <c r="AA58" s="366"/>
      <c r="AB58" s="367">
        <f>AB24</f>
        <v>0.12</v>
      </c>
      <c r="AC58" s="41" t="s">
        <v>355</v>
      </c>
      <c r="AD58" s="366"/>
      <c r="AE58" s="368"/>
      <c r="AF58" s="33"/>
      <c r="AG58" s="242"/>
      <c r="AH58" s="242"/>
      <c r="AI58" s="242"/>
    </row>
    <row r="59" spans="2:35" s="242" customFormat="1" ht="16.5" thickTop="1" thickBot="1" x14ac:dyDescent="0.3">
      <c r="B59" s="355" t="s">
        <v>93</v>
      </c>
      <c r="C59" s="324"/>
      <c r="D59" s="324"/>
      <c r="E59" s="324"/>
      <c r="F59" s="602">
        <f>F58/F39</f>
        <v>169.21029222923758</v>
      </c>
      <c r="G59" s="356"/>
      <c r="H59" s="355" t="s">
        <v>93</v>
      </c>
      <c r="I59" s="324"/>
      <c r="J59" s="324"/>
      <c r="K59" s="324"/>
      <c r="L59" s="602">
        <f>L58/L39</f>
        <v>119.67690214624349</v>
      </c>
      <c r="M59" s="356"/>
      <c r="N59" s="626" t="s">
        <v>93</v>
      </c>
      <c r="O59" s="627"/>
      <c r="P59" s="627"/>
      <c r="Q59" s="627"/>
      <c r="R59" s="602">
        <f>R58/R39</f>
        <v>133.24835827994519</v>
      </c>
      <c r="S59" s="628"/>
      <c r="T59" s="626" t="s">
        <v>93</v>
      </c>
      <c r="U59" s="627"/>
      <c r="V59" s="627"/>
      <c r="W59" s="627"/>
      <c r="X59" s="602">
        <f>X58/X39</f>
        <v>119.65356100149015</v>
      </c>
      <c r="Y59" s="356"/>
      <c r="Z59" s="369" t="s">
        <v>362</v>
      </c>
      <c r="AA59" s="36"/>
      <c r="AB59" s="370">
        <f>AB25</f>
        <v>2.5282070971092779E-2</v>
      </c>
      <c r="AC59" s="40" t="s">
        <v>689</v>
      </c>
      <c r="AD59" s="371"/>
      <c r="AE59" s="372"/>
      <c r="AF59" s="33"/>
      <c r="AG59" s="33"/>
      <c r="AH59" s="33"/>
      <c r="AI59" s="33"/>
    </row>
    <row r="60" spans="2:35" s="242" customFormat="1" ht="15.75" thickBot="1" x14ac:dyDescent="0.3">
      <c r="B60" s="359" t="s">
        <v>95</v>
      </c>
      <c r="C60" s="295"/>
      <c r="D60" s="360">
        <v>0.9</v>
      </c>
      <c r="E60" s="361"/>
      <c r="F60" s="362">
        <f>F$58*(D57+1)/(F$39*D60)</f>
        <v>192.76475427379611</v>
      </c>
      <c r="G60" s="356"/>
      <c r="H60" s="359" t="s">
        <v>95</v>
      </c>
      <c r="I60" s="295"/>
      <c r="J60" s="360">
        <v>0.9</v>
      </c>
      <c r="K60" s="361"/>
      <c r="L60" s="362">
        <f>L$58*(J57+1)/(L$39*J60)</f>
        <v>136.33620231100593</v>
      </c>
      <c r="M60" s="356"/>
      <c r="N60" s="629" t="s">
        <v>95</v>
      </c>
      <c r="O60" s="295"/>
      <c r="P60" s="360">
        <v>0.9</v>
      </c>
      <c r="Q60" s="361"/>
      <c r="R60" s="362">
        <f>R58*(P57+1)/(R39*P60)</f>
        <v>151.79683636751153</v>
      </c>
      <c r="S60" s="628"/>
      <c r="T60" s="629" t="s">
        <v>95</v>
      </c>
      <c r="U60" s="295"/>
      <c r="V60" s="360">
        <v>0.9</v>
      </c>
      <c r="W60" s="361"/>
      <c r="X60" s="362">
        <f>X$58*(V$57+1)/(X$39*V60)</f>
        <v>136.3096120251931</v>
      </c>
      <c r="Y60" s="356"/>
      <c r="Z60" s="42"/>
      <c r="AA60" s="42"/>
      <c r="AB60" s="313"/>
      <c r="AC60" s="42"/>
      <c r="AD60" s="42"/>
      <c r="AE60" s="42"/>
      <c r="AF60" s="33"/>
      <c r="AG60" s="33"/>
      <c r="AH60" s="33"/>
      <c r="AI60" s="33"/>
    </row>
    <row r="61" spans="2:35" s="33" customFormat="1" ht="15.75" thickBot="1" x14ac:dyDescent="0.3">
      <c r="B61" s="355"/>
      <c r="D61" s="364">
        <v>0.85</v>
      </c>
      <c r="E61" s="239"/>
      <c r="F61" s="362">
        <f>F$58*(D57+1)/(F$39*D61)</f>
        <v>204.10385746637238</v>
      </c>
      <c r="G61" s="356"/>
      <c r="H61" s="355"/>
      <c r="J61" s="364">
        <v>0.85</v>
      </c>
      <c r="K61" s="239"/>
      <c r="L61" s="362">
        <f>L$58*(J57+1)/(L$39*J61)</f>
        <v>144.35597891753571</v>
      </c>
      <c r="M61" s="356"/>
      <c r="N61" s="626"/>
      <c r="P61" s="364">
        <v>0.85</v>
      </c>
      <c r="Q61" s="239"/>
      <c r="R61" s="362">
        <f>R58*(P57+1)/(R39*P61)</f>
        <v>160.72606203618867</v>
      </c>
      <c r="S61" s="628"/>
      <c r="T61" s="626"/>
      <c r="V61" s="364">
        <v>0.85</v>
      </c>
      <c r="W61" s="239"/>
      <c r="X61" s="362">
        <f>X$58*(V$57+1)/(X$39*V61)</f>
        <v>144.32782449726329</v>
      </c>
      <c r="Y61" s="356"/>
      <c r="Z61" s="42"/>
      <c r="AA61" s="42"/>
      <c r="AB61" s="313"/>
      <c r="AC61" s="42"/>
      <c r="AD61" s="42"/>
      <c r="AE61" s="42"/>
    </row>
    <row r="62" spans="2:35" s="33" customFormat="1" ht="15.75" thickBot="1" x14ac:dyDescent="0.3">
      <c r="B62" s="355"/>
      <c r="D62" s="364">
        <v>0.8</v>
      </c>
      <c r="E62" s="239"/>
      <c r="F62" s="362">
        <f>F$58*(D57+1)/(F$39*D62)</f>
        <v>216.86034855802063</v>
      </c>
      <c r="G62" s="356"/>
      <c r="H62" s="355"/>
      <c r="J62" s="364">
        <v>0.8</v>
      </c>
      <c r="K62" s="239"/>
      <c r="L62" s="362">
        <f>L$58*(J57+1)/(L$39*J62)</f>
        <v>153.37822759988168</v>
      </c>
      <c r="M62" s="356"/>
      <c r="N62" s="626"/>
      <c r="P62" s="364">
        <v>0.8</v>
      </c>
      <c r="Q62" s="239"/>
      <c r="R62" s="362">
        <f>R58*(P57+1)/(R39*P62)</f>
        <v>170.77144091345045</v>
      </c>
      <c r="S62" s="628"/>
      <c r="T62" s="626"/>
      <c r="V62" s="364">
        <v>0.8</v>
      </c>
      <c r="W62" s="239"/>
      <c r="X62" s="362">
        <f t="shared" ref="X62:X68" si="4">X$58*(V$57+1)/(X$39*V62)</f>
        <v>153.34831352834226</v>
      </c>
      <c r="Y62" s="356"/>
      <c r="Z62" s="42"/>
      <c r="AA62" s="42"/>
      <c r="AB62" s="42"/>
      <c r="AC62" s="42"/>
      <c r="AD62" s="42"/>
      <c r="AE62" s="42"/>
      <c r="AF62" s="242"/>
    </row>
    <row r="63" spans="2:35" s="33" customFormat="1" ht="15.75" thickBot="1" x14ac:dyDescent="0.3">
      <c r="B63" s="355"/>
      <c r="D63" s="364">
        <v>0.75</v>
      </c>
      <c r="E63" s="239"/>
      <c r="F63" s="362">
        <f>F$58*(D57+1)/(F$39*D63)</f>
        <v>231.31770512855536</v>
      </c>
      <c r="G63" s="356"/>
      <c r="H63" s="355"/>
      <c r="J63" s="364">
        <v>0.75</v>
      </c>
      <c r="K63" s="239"/>
      <c r="L63" s="362">
        <f>L$58*(J57+1)/(L$39*J63)</f>
        <v>163.60344277320712</v>
      </c>
      <c r="M63" s="356"/>
      <c r="N63" s="626"/>
      <c r="P63" s="364">
        <v>0.75</v>
      </c>
      <c r="Q63" s="239"/>
      <c r="R63" s="362">
        <f>R58*(P57+1)/(R39*P63)</f>
        <v>182.15620364101383</v>
      </c>
      <c r="S63" s="628"/>
      <c r="T63" s="626"/>
      <c r="V63" s="364">
        <v>0.75</v>
      </c>
      <c r="W63" s="239"/>
      <c r="X63" s="362">
        <f t="shared" si="4"/>
        <v>163.57153443023174</v>
      </c>
      <c r="Y63" s="356"/>
      <c r="Z63" s="42"/>
      <c r="AA63" s="42"/>
      <c r="AB63" s="42"/>
      <c r="AC63" s="42"/>
      <c r="AD63" s="42"/>
      <c r="AE63" s="42"/>
      <c r="AF63" s="363"/>
      <c r="AG63" s="242"/>
      <c r="AH63" s="242"/>
      <c r="AI63" s="242"/>
    </row>
    <row r="64" spans="2:35" s="33" customFormat="1" ht="15.75" thickBot="1" x14ac:dyDescent="0.3">
      <c r="B64" s="355"/>
      <c r="D64" s="364">
        <v>0.7</v>
      </c>
      <c r="E64" s="239"/>
      <c r="F64" s="362">
        <f>F$58*(D57+1)/(F$39*D64)</f>
        <v>247.84039835202358</v>
      </c>
      <c r="G64" s="356"/>
      <c r="H64" s="355"/>
      <c r="J64" s="364">
        <v>0.7</v>
      </c>
      <c r="K64" s="239"/>
      <c r="L64" s="362">
        <f>L$58*(J57+1)/(L$39*J64)</f>
        <v>175.28940297129336</v>
      </c>
      <c r="M64" s="356"/>
      <c r="N64" s="626"/>
      <c r="P64" s="364">
        <v>0.7</v>
      </c>
      <c r="Q64" s="239"/>
      <c r="R64" s="362">
        <f>R58*(P57+1)/(R39*P64)</f>
        <v>195.1673610439434</v>
      </c>
      <c r="S64" s="628"/>
      <c r="T64" s="626"/>
      <c r="V64" s="364">
        <v>0.7</v>
      </c>
      <c r="W64" s="239"/>
      <c r="X64" s="362">
        <f t="shared" si="4"/>
        <v>175.25521546096257</v>
      </c>
      <c r="Y64" s="356"/>
      <c r="Z64" s="42"/>
      <c r="AA64" s="42"/>
      <c r="AB64" s="42"/>
      <c r="AC64" s="42"/>
      <c r="AD64" s="42"/>
      <c r="AE64" s="42"/>
      <c r="AF64" s="363"/>
      <c r="AG64" s="363"/>
      <c r="AH64" s="363"/>
      <c r="AI64" s="363"/>
    </row>
    <row r="65" spans="2:35" s="33" customFormat="1" ht="15.75" thickBot="1" x14ac:dyDescent="0.3">
      <c r="B65" s="355"/>
      <c r="D65" s="364">
        <v>0.65</v>
      </c>
      <c r="E65" s="239"/>
      <c r="F65" s="362">
        <f>F$58*(D57+1)/(F$39*D65)</f>
        <v>266.90504437910232</v>
      </c>
      <c r="G65" s="356"/>
      <c r="H65" s="355"/>
      <c r="J65" s="364">
        <v>0.65</v>
      </c>
      <c r="K65" s="239"/>
      <c r="L65" s="362">
        <f>L$58*(J57+1)/(L$39*J65)</f>
        <v>188.77320319985438</v>
      </c>
      <c r="M65" s="356"/>
      <c r="N65" s="626"/>
      <c r="P65" s="364">
        <v>0.65</v>
      </c>
      <c r="Q65" s="239"/>
      <c r="R65" s="362">
        <f>R58*(P57+1)/(R39*P65)</f>
        <v>210.18023497040056</v>
      </c>
      <c r="S65" s="628"/>
      <c r="T65" s="626"/>
      <c r="V65" s="364">
        <v>0.65</v>
      </c>
      <c r="W65" s="239"/>
      <c r="X65" s="362">
        <f t="shared" si="4"/>
        <v>188.73638588103663</v>
      </c>
      <c r="Y65" s="356"/>
      <c r="Z65" s="42"/>
      <c r="AA65" s="42"/>
      <c r="AB65" s="42"/>
      <c r="AC65" s="42"/>
      <c r="AD65" s="42"/>
      <c r="AE65" s="42"/>
      <c r="AG65" s="242"/>
      <c r="AH65" s="242"/>
      <c r="AI65" s="242"/>
    </row>
    <row r="66" spans="2:35" s="33" customFormat="1" ht="15.75" thickBot="1" x14ac:dyDescent="0.3">
      <c r="B66" s="355"/>
      <c r="D66" s="364">
        <v>0.6</v>
      </c>
      <c r="E66" s="239"/>
      <c r="F66" s="362">
        <f>F$58*(D57+1)/(F$39*D66)</f>
        <v>289.14713141069421</v>
      </c>
      <c r="G66" s="356"/>
      <c r="H66" s="355"/>
      <c r="J66" s="364">
        <v>0.6</v>
      </c>
      <c r="K66" s="239"/>
      <c r="L66" s="362">
        <f>L$58*(J57+1)/(L$39*J66)</f>
        <v>204.5043034665089</v>
      </c>
      <c r="M66" s="356"/>
      <c r="N66" s="626"/>
      <c r="P66" s="364">
        <v>0.6</v>
      </c>
      <c r="Q66" s="239"/>
      <c r="R66" s="362">
        <f>R58*(P57+1)/(R39*P66)</f>
        <v>227.69525455126728</v>
      </c>
      <c r="S66" s="628"/>
      <c r="T66" s="626"/>
      <c r="V66" s="364">
        <v>0.6</v>
      </c>
      <c r="W66" s="239"/>
      <c r="X66" s="362">
        <f t="shared" si="4"/>
        <v>204.46441803778967</v>
      </c>
      <c r="Y66" s="356"/>
      <c r="Z66" s="42"/>
      <c r="AA66" s="42"/>
      <c r="AB66" s="42"/>
      <c r="AC66" s="42"/>
      <c r="AD66" s="42"/>
      <c r="AE66" s="42"/>
      <c r="AG66" s="242"/>
      <c r="AH66" s="242"/>
      <c r="AI66" s="242"/>
    </row>
    <row r="67" spans="2:35" s="33" customFormat="1" ht="15.75" thickBot="1" x14ac:dyDescent="0.3">
      <c r="B67" s="355"/>
      <c r="D67" s="364">
        <v>0.55000000000000004</v>
      </c>
      <c r="E67" s="239"/>
      <c r="F67" s="362">
        <f>F$58*(D57+1)/(F$39*D67)</f>
        <v>315.4332342662118</v>
      </c>
      <c r="G67" s="356"/>
      <c r="H67" s="355"/>
      <c r="J67" s="364">
        <v>0.55000000000000004</v>
      </c>
      <c r="K67" s="239"/>
      <c r="L67" s="362">
        <f>L$58*(J57+1)/(L$39*J67)</f>
        <v>223.09560378164605</v>
      </c>
      <c r="M67" s="356"/>
      <c r="N67" s="626"/>
      <c r="P67" s="364">
        <v>0.55000000000000004</v>
      </c>
      <c r="Q67" s="239"/>
      <c r="R67" s="362">
        <f>R58*(P57+1)/(R39*P67)</f>
        <v>248.39482314683698</v>
      </c>
      <c r="S67" s="628"/>
      <c r="T67" s="626"/>
      <c r="V67" s="364">
        <v>0.55000000000000004</v>
      </c>
      <c r="W67" s="239"/>
      <c r="X67" s="362">
        <f t="shared" si="4"/>
        <v>223.05209240486144</v>
      </c>
      <c r="Y67" s="356"/>
      <c r="Z67" s="42"/>
      <c r="AA67" s="42"/>
      <c r="AB67" s="42"/>
      <c r="AC67" s="42"/>
      <c r="AD67" s="42"/>
      <c r="AE67" s="42"/>
      <c r="AG67" s="240"/>
      <c r="AH67" s="240"/>
      <c r="AI67" s="240"/>
    </row>
    <row r="68" spans="2:35" s="33" customFormat="1" ht="15.75" thickBot="1" x14ac:dyDescent="0.3">
      <c r="B68" s="373"/>
      <c r="C68" s="36"/>
      <c r="D68" s="374">
        <v>0.5</v>
      </c>
      <c r="E68" s="375"/>
      <c r="F68" s="376">
        <f>F$58*(D57+1)/(F$39*D68)</f>
        <v>346.97655769283301</v>
      </c>
      <c r="G68" s="356"/>
      <c r="H68" s="373"/>
      <c r="I68" s="36"/>
      <c r="J68" s="374">
        <v>0.5</v>
      </c>
      <c r="K68" s="375"/>
      <c r="L68" s="376">
        <f>L$58*(J57+1)/(L$39*J68)</f>
        <v>245.40516415981068</v>
      </c>
      <c r="M68" s="356"/>
      <c r="N68" s="630"/>
      <c r="O68" s="36"/>
      <c r="P68" s="374">
        <v>0.5</v>
      </c>
      <c r="Q68" s="375"/>
      <c r="R68" s="376">
        <f>R58*(P57+1)/(R39*P68)</f>
        <v>273.23430546152076</v>
      </c>
      <c r="S68" s="628"/>
      <c r="T68" s="630"/>
      <c r="U68" s="36"/>
      <c r="V68" s="374">
        <v>0.5</v>
      </c>
      <c r="W68" s="375"/>
      <c r="X68" s="376">
        <f t="shared" si="4"/>
        <v>245.3573016453476</v>
      </c>
      <c r="Y68" s="356"/>
      <c r="Z68" s="42"/>
      <c r="AA68" s="42"/>
      <c r="AB68" s="42"/>
      <c r="AC68" s="42"/>
      <c r="AD68" s="42"/>
      <c r="AE68" s="42"/>
      <c r="AF68" s="242"/>
      <c r="AG68" s="240"/>
      <c r="AH68" s="240"/>
      <c r="AI68" s="240"/>
    </row>
    <row r="69" spans="2:35" s="33" customFormat="1" x14ac:dyDescent="0.25">
      <c r="B69" s="42"/>
      <c r="C69" s="42"/>
      <c r="D69" s="42"/>
      <c r="E69" s="187"/>
      <c r="F69" s="42"/>
      <c r="G69" s="42"/>
      <c r="H69" s="42"/>
      <c r="I69" s="42"/>
      <c r="J69" s="42"/>
      <c r="K69" s="187"/>
      <c r="L69" s="42"/>
      <c r="M69" s="42"/>
      <c r="N69" s="42"/>
      <c r="O69" s="42"/>
      <c r="P69" s="42"/>
      <c r="Q69" s="42"/>
      <c r="R69" s="42"/>
      <c r="S69" s="42"/>
      <c r="T69" s="42"/>
      <c r="U69" s="42"/>
      <c r="V69" s="42"/>
      <c r="W69" s="42"/>
      <c r="X69" s="42"/>
      <c r="Y69" s="42"/>
      <c r="Z69" s="242"/>
      <c r="AA69" s="242"/>
      <c r="AB69" s="242"/>
      <c r="AD69" s="242"/>
      <c r="AE69" s="242"/>
      <c r="AF69" s="240"/>
      <c r="AG69" s="242"/>
      <c r="AH69" s="242"/>
      <c r="AI69" s="242"/>
    </row>
    <row r="70" spans="2:35" s="33" customFormat="1" x14ac:dyDescent="0.25">
      <c r="B70" s="42"/>
      <c r="C70" s="42"/>
      <c r="D70" s="42"/>
      <c r="E70" s="187"/>
      <c r="F70" s="42"/>
      <c r="G70" s="42"/>
      <c r="H70" s="42"/>
      <c r="I70" s="42"/>
      <c r="J70" s="42"/>
      <c r="K70" s="187"/>
      <c r="L70" s="42"/>
      <c r="M70" s="42"/>
      <c r="N70" s="42"/>
      <c r="O70" s="42"/>
      <c r="P70" s="42"/>
      <c r="Q70" s="42"/>
      <c r="R70" s="42"/>
      <c r="S70" s="42"/>
      <c r="T70" s="42"/>
      <c r="U70" s="42"/>
      <c r="V70" s="42"/>
      <c r="W70" s="42"/>
      <c r="X70" s="42"/>
      <c r="Y70" s="42"/>
      <c r="Z70" s="363"/>
      <c r="AA70" s="363"/>
      <c r="AB70" s="363"/>
      <c r="AC70" s="242"/>
      <c r="AD70" s="363"/>
      <c r="AE70" s="363"/>
      <c r="AF70" s="240"/>
      <c r="AG70" s="239"/>
      <c r="AH70" s="239"/>
      <c r="AI70" s="239"/>
    </row>
    <row r="71" spans="2:35" s="242" customFormat="1" ht="15" customHeight="1" x14ac:dyDescent="0.25">
      <c r="B71" s="42"/>
      <c r="C71" s="402"/>
      <c r="D71" s="42"/>
      <c r="E71" s="42"/>
      <c r="F71" s="42"/>
      <c r="G71" s="42"/>
      <c r="H71" s="42"/>
      <c r="I71" s="402"/>
      <c r="J71" s="42"/>
      <c r="K71" s="42"/>
      <c r="L71" s="42"/>
      <c r="M71" s="42"/>
      <c r="N71" s="42"/>
      <c r="O71" s="402"/>
      <c r="P71" s="42"/>
      <c r="Q71" s="42"/>
      <c r="R71" s="42"/>
      <c r="S71" s="42"/>
      <c r="T71" s="42"/>
      <c r="U71" s="402"/>
      <c r="V71" s="42"/>
      <c r="W71" s="42"/>
      <c r="X71" s="42"/>
      <c r="Y71" s="42"/>
      <c r="Z71" s="363"/>
      <c r="AA71" s="363"/>
      <c r="AB71" s="363"/>
      <c r="AD71" s="363"/>
      <c r="AE71" s="363"/>
      <c r="AG71" s="309"/>
      <c r="AH71" s="309"/>
      <c r="AI71" s="309"/>
    </row>
    <row r="72" spans="2:35" s="242" customFormat="1" x14ac:dyDescent="0.25">
      <c r="B72" s="42"/>
      <c r="C72" s="403"/>
      <c r="D72" s="42"/>
      <c r="E72" s="42"/>
      <c r="F72" s="42"/>
      <c r="G72" s="42"/>
      <c r="H72" s="42"/>
      <c r="I72" s="403"/>
      <c r="J72" s="42"/>
      <c r="K72" s="42"/>
      <c r="L72" s="42"/>
      <c r="M72" s="42"/>
      <c r="N72" s="42"/>
      <c r="O72" s="403"/>
      <c r="P72" s="42"/>
      <c r="Q72" s="42"/>
      <c r="R72" s="42"/>
      <c r="S72" s="42"/>
      <c r="T72" s="42"/>
      <c r="U72" s="403"/>
      <c r="V72" s="42"/>
      <c r="W72" s="42"/>
      <c r="X72" s="42"/>
      <c r="Y72" s="42"/>
      <c r="AF72" s="239"/>
      <c r="AG72" s="309"/>
      <c r="AH72" s="309"/>
      <c r="AI72" s="309"/>
    </row>
    <row r="73" spans="2:35" s="363" customFormat="1" x14ac:dyDescent="0.25">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309"/>
      <c r="AG73" s="239"/>
      <c r="AH73" s="239"/>
      <c r="AI73" s="239"/>
    </row>
    <row r="74" spans="2:35" s="363" customFormat="1" x14ac:dyDescent="0.25">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309"/>
      <c r="AG74" s="242"/>
      <c r="AH74" s="242"/>
      <c r="AI74" s="242"/>
    </row>
    <row r="75" spans="2:35" s="33" customFormat="1" x14ac:dyDescent="0.25">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239"/>
      <c r="AG75" s="242"/>
      <c r="AH75" s="242"/>
      <c r="AI75" s="242"/>
    </row>
    <row r="76" spans="2:35" s="33" customFormat="1" x14ac:dyDescent="0.25">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242"/>
      <c r="AG76" s="242"/>
      <c r="AH76" s="242"/>
      <c r="AI76" s="242"/>
    </row>
    <row r="77" spans="2:35" s="33" customFormat="1" x14ac:dyDescent="0.25">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242"/>
    </row>
    <row r="78" spans="2:35" s="33" customFormat="1" x14ac:dyDescent="0.25">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242"/>
      <c r="AG78" s="42"/>
      <c r="AH78" s="42"/>
      <c r="AI78" s="42"/>
    </row>
    <row r="79" spans="2:35" s="33" customFormat="1" x14ac:dyDescent="0.25">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G79" s="42"/>
      <c r="AH79" s="42"/>
      <c r="AI79" s="42"/>
    </row>
    <row r="80" spans="2:35" s="33" customFormat="1" x14ac:dyDescent="0.25">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G80" s="42"/>
      <c r="AH80" s="42"/>
      <c r="AI80" s="42"/>
    </row>
    <row r="81" spans="2:35" s="33" customFormat="1" x14ac:dyDescent="0.25">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G81" s="42"/>
      <c r="AH81" s="42"/>
      <c r="AI81" s="42"/>
    </row>
    <row r="82" spans="2:35" s="33" customFormat="1" x14ac:dyDescent="0.25">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G82" s="42"/>
      <c r="AH82" s="42"/>
      <c r="AI82" s="42"/>
    </row>
    <row r="83" spans="2:35" s="33" customFormat="1" x14ac:dyDescent="0.25">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G83" s="42"/>
      <c r="AH83" s="42"/>
      <c r="AI83" s="42"/>
    </row>
    <row r="84" spans="2:35" x14ac:dyDescent="0.25">
      <c r="AB84" s="42"/>
      <c r="AF84" s="33"/>
    </row>
    <row r="85" spans="2:35" x14ac:dyDescent="0.25">
      <c r="AB85" s="42"/>
      <c r="AF85" s="33"/>
    </row>
    <row r="86" spans="2:35" x14ac:dyDescent="0.25">
      <c r="AB86" s="42"/>
    </row>
    <row r="87" spans="2:35" x14ac:dyDescent="0.25">
      <c r="AB87" s="42"/>
      <c r="AG87" s="33"/>
      <c r="AH87" s="33"/>
      <c r="AI87" s="33"/>
    </row>
    <row r="88" spans="2:35" x14ac:dyDescent="0.25">
      <c r="AB88" s="42"/>
      <c r="AG88" s="242"/>
      <c r="AH88" s="242"/>
      <c r="AI88" s="242"/>
    </row>
    <row r="89" spans="2:35" x14ac:dyDescent="0.25">
      <c r="AB89" s="42"/>
    </row>
    <row r="90" spans="2:35" x14ac:dyDescent="0.25">
      <c r="AB90" s="42"/>
    </row>
    <row r="91" spans="2:35" x14ac:dyDescent="0.25">
      <c r="AB91" s="42"/>
    </row>
    <row r="92" spans="2:35" x14ac:dyDescent="0.25">
      <c r="AB92" s="42"/>
    </row>
    <row r="93" spans="2:35" x14ac:dyDescent="0.25">
      <c r="AB93" s="42"/>
    </row>
    <row r="94" spans="2:35" x14ac:dyDescent="0.25">
      <c r="AB94" s="42"/>
    </row>
    <row r="95" spans="2:35" x14ac:dyDescent="0.25">
      <c r="AB95" s="42"/>
      <c r="AF95" s="242"/>
    </row>
    <row r="96" spans="2:35" x14ac:dyDescent="0.25">
      <c r="AF96" s="242"/>
    </row>
    <row r="112" spans="33:35" x14ac:dyDescent="0.25">
      <c r="AG112" s="33"/>
      <c r="AH112" s="33"/>
      <c r="AI112" s="33"/>
    </row>
    <row r="113" spans="32:35" x14ac:dyDescent="0.25">
      <c r="AG113" s="33"/>
      <c r="AH113" s="33"/>
      <c r="AI113" s="33"/>
    </row>
    <row r="114" spans="32:35" x14ac:dyDescent="0.25">
      <c r="AG114" s="33"/>
      <c r="AH114" s="33"/>
      <c r="AI114" s="33"/>
    </row>
    <row r="120" spans="32:35" x14ac:dyDescent="0.25">
      <c r="AF120" s="33"/>
    </row>
    <row r="121" spans="32:35" x14ac:dyDescent="0.25">
      <c r="AF121" s="33"/>
    </row>
    <row r="122" spans="32:35" x14ac:dyDescent="0.25">
      <c r="AF122" s="33"/>
    </row>
  </sheetData>
  <mergeCells count="33">
    <mergeCell ref="B55:C55"/>
    <mergeCell ref="H55:I55"/>
    <mergeCell ref="B37:F37"/>
    <mergeCell ref="B38:F38"/>
    <mergeCell ref="H38:L38"/>
    <mergeCell ref="Z38:AE38"/>
    <mergeCell ref="AE47:AE48"/>
    <mergeCell ref="B53:C53"/>
    <mergeCell ref="H53:I53"/>
    <mergeCell ref="N53:O53"/>
    <mergeCell ref="T53:U53"/>
    <mergeCell ref="B20:C20"/>
    <mergeCell ref="H20:I20"/>
    <mergeCell ref="N20:O20"/>
    <mergeCell ref="T20:U20"/>
    <mergeCell ref="B22:C22"/>
    <mergeCell ref="H22:I22"/>
    <mergeCell ref="N22:O22"/>
    <mergeCell ref="T22:U22"/>
    <mergeCell ref="B4:F4"/>
    <mergeCell ref="H4:L4"/>
    <mergeCell ref="N4:R4"/>
    <mergeCell ref="T4:X4"/>
    <mergeCell ref="C10:C11"/>
    <mergeCell ref="I10:I11"/>
    <mergeCell ref="O10:O11"/>
    <mergeCell ref="U10:U11"/>
    <mergeCell ref="Z1:AB1"/>
    <mergeCell ref="B3:F3"/>
    <mergeCell ref="H3:L3"/>
    <mergeCell ref="N3:R3"/>
    <mergeCell ref="T3:X3"/>
    <mergeCell ref="Z3:AE3"/>
  </mergeCells>
  <pageMargins left="0.75" right="0.75" top="0.42" bottom="0.41" header="0.17" footer="0.18"/>
  <pageSetup paperSize="5" scale="35" fitToHeight="0" orientation="landscape" r:id="rId1"/>
  <headerFooter alignWithMargins="0">
    <oddHeader>&amp;C&amp;A</oddHead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0CAC-1F54-4842-B565-55593D07182A}">
  <sheetPr>
    <pageSetUpPr fitToPage="1"/>
  </sheetPr>
  <dimension ref="A1:S71"/>
  <sheetViews>
    <sheetView topLeftCell="A22" zoomScale="90" zoomScaleNormal="90" workbookViewId="0">
      <selection activeCell="K68" sqref="K68"/>
    </sheetView>
  </sheetViews>
  <sheetFormatPr defaultRowHeight="15" x14ac:dyDescent="0.25"/>
  <cols>
    <col min="1" max="1" width="29.25" style="42" customWidth="1"/>
    <col min="2" max="2" width="14.5" style="42" customWidth="1"/>
    <col min="3" max="3" width="11" style="42" customWidth="1"/>
    <col min="4" max="4" width="5.75" style="42" customWidth="1"/>
    <col min="5" max="5" width="10.5" style="42" bestFit="1" customWidth="1"/>
    <col min="6" max="6" width="11.75" style="42" bestFit="1" customWidth="1"/>
    <col min="7" max="7" width="8.875" style="42" bestFit="1" customWidth="1"/>
    <col min="8" max="8" width="7.25" style="42" bestFit="1" customWidth="1"/>
    <col min="9" max="9" width="3.75" style="42" customWidth="1"/>
    <col min="10" max="10" width="20.5" style="42" bestFit="1" customWidth="1"/>
    <col min="11" max="11" width="15.25" style="42" customWidth="1"/>
    <col min="12" max="12" width="10.5" style="42" bestFit="1" customWidth="1"/>
    <col min="13" max="13" width="9.625" style="42" bestFit="1" customWidth="1"/>
    <col min="14" max="14" width="8.875" style="42" bestFit="1" customWidth="1"/>
    <col min="15" max="15" width="7.25" style="42" bestFit="1" customWidth="1"/>
    <col min="16" max="16" width="29.375" style="42" bestFit="1" customWidth="1"/>
    <col min="17" max="17" width="10.25" style="42" bestFit="1" customWidth="1"/>
    <col min="18" max="18" width="13.125" style="42" bestFit="1" customWidth="1"/>
    <col min="19" max="19" width="4" style="42" bestFit="1" customWidth="1"/>
    <col min="20" max="20" width="11.375" style="42" bestFit="1" customWidth="1"/>
    <col min="21" max="21" width="10.5" style="42" bestFit="1" customWidth="1"/>
    <col min="22" max="22" width="5" style="42" bestFit="1" customWidth="1"/>
    <col min="23" max="23" width="9" style="42"/>
    <col min="24" max="24" width="31.25" style="42" customWidth="1"/>
    <col min="25" max="25" width="10.25" style="42" bestFit="1" customWidth="1"/>
    <col min="26" max="16384" width="9" style="42"/>
  </cols>
  <sheetData>
    <row r="1" spans="1:19" s="191" customFormat="1" ht="13.9" hidden="1" customHeight="1" thickBot="1" x14ac:dyDescent="0.25">
      <c r="A1" s="190"/>
      <c r="B1" s="190"/>
      <c r="C1" s="190"/>
      <c r="E1" s="33"/>
    </row>
    <row r="2" spans="1:19" s="191" customFormat="1" ht="12.75" hidden="1" x14ac:dyDescent="0.2">
      <c r="A2" s="192"/>
      <c r="B2" s="192"/>
      <c r="C2" s="193" t="s">
        <v>50</v>
      </c>
      <c r="D2" s="194"/>
      <c r="E2" s="195"/>
      <c r="G2" s="196"/>
      <c r="J2" s="192"/>
      <c r="K2" s="192"/>
      <c r="L2" s="190"/>
      <c r="M2" s="190"/>
      <c r="N2" s="196"/>
    </row>
    <row r="3" spans="1:19" s="202" customFormat="1" ht="12.75" hidden="1" x14ac:dyDescent="0.2">
      <c r="A3" s="197" t="s">
        <v>56</v>
      </c>
      <c r="B3" s="198" t="s">
        <v>60</v>
      </c>
      <c r="C3" s="199" t="s">
        <v>58</v>
      </c>
      <c r="D3" s="200">
        <v>30</v>
      </c>
      <c r="E3" s="201">
        <f>B4*D3</f>
        <v>600</v>
      </c>
      <c r="G3" s="191"/>
      <c r="J3" s="197" t="s">
        <v>56</v>
      </c>
      <c r="K3" s="198" t="s">
        <v>85</v>
      </c>
      <c r="L3" s="203" t="e">
        <f>#REF!*#REF!</f>
        <v>#REF!</v>
      </c>
      <c r="N3" s="191"/>
      <c r="O3" s="203"/>
      <c r="R3" s="203"/>
      <c r="S3" s="203"/>
    </row>
    <row r="4" spans="1:19" s="202" customFormat="1" ht="12.75" hidden="1" x14ac:dyDescent="0.2">
      <c r="A4" s="203"/>
      <c r="B4" s="198">
        <v>20</v>
      </c>
      <c r="C4" s="197"/>
      <c r="E4" s="204"/>
      <c r="F4" s="200"/>
      <c r="G4" s="205"/>
      <c r="H4" s="200"/>
      <c r="I4" s="203"/>
      <c r="K4" s="197"/>
      <c r="L4" s="200"/>
      <c r="M4" s="203"/>
      <c r="N4" s="205"/>
      <c r="O4" s="203"/>
      <c r="R4" s="203"/>
      <c r="S4" s="203"/>
    </row>
    <row r="5" spans="1:19" s="191" customFormat="1" ht="12.75" hidden="1" x14ac:dyDescent="0.2">
      <c r="A5" s="206"/>
      <c r="B5" s="206"/>
      <c r="C5" s="206"/>
      <c r="E5" s="33"/>
      <c r="J5" s="206"/>
      <c r="K5" s="206"/>
    </row>
    <row r="6" spans="1:19" s="191" customFormat="1" ht="12.75" hidden="1" x14ac:dyDescent="0.2">
      <c r="C6" s="207" t="s">
        <v>111</v>
      </c>
      <c r="D6" s="207" t="s">
        <v>67</v>
      </c>
      <c r="E6" s="208" t="s">
        <v>112</v>
      </c>
      <c r="G6" s="207"/>
      <c r="L6" s="207" t="s">
        <v>112</v>
      </c>
      <c r="N6" s="207"/>
    </row>
    <row r="7" spans="1:19" s="191" customFormat="1" ht="13.5" hidden="1" thickBot="1" x14ac:dyDescent="0.25">
      <c r="A7" s="209" t="s">
        <v>113</v>
      </c>
      <c r="C7" s="210">
        <f>Q8</f>
        <v>30625</v>
      </c>
      <c r="D7" s="211">
        <f>2*0.16</f>
        <v>0.32</v>
      </c>
      <c r="E7" s="32">
        <f>C7*D7</f>
        <v>9800</v>
      </c>
      <c r="G7" s="212"/>
      <c r="J7" s="209" t="s">
        <v>113</v>
      </c>
      <c r="L7" s="212" t="e">
        <f>#REF!*#REF!</f>
        <v>#REF!</v>
      </c>
      <c r="N7" s="212"/>
      <c r="P7" s="1066" t="s">
        <v>48</v>
      </c>
      <c r="Q7" s="1067"/>
    </row>
    <row r="8" spans="1:19" s="191" customFormat="1" ht="12.75" hidden="1" x14ac:dyDescent="0.2">
      <c r="A8" s="209" t="s">
        <v>114</v>
      </c>
      <c r="C8" s="210">
        <f>Q9</f>
        <v>37812.5</v>
      </c>
      <c r="D8" s="211">
        <v>0.16</v>
      </c>
      <c r="E8" s="32">
        <f>C8*D8</f>
        <v>6050</v>
      </c>
      <c r="G8" s="212"/>
      <c r="J8" s="209" t="s">
        <v>114</v>
      </c>
      <c r="L8" s="212" t="e">
        <f>#REF!*#REF!</f>
        <v>#REF!</v>
      </c>
      <c r="N8" s="212"/>
      <c r="P8" s="213" t="s">
        <v>115</v>
      </c>
      <c r="Q8" s="214">
        <f>4900/0.16</f>
        <v>30625</v>
      </c>
    </row>
    <row r="9" spans="1:19" s="191" customFormat="1" ht="13.5" hidden="1" thickBot="1" x14ac:dyDescent="0.25">
      <c r="A9" s="209" t="s">
        <v>116</v>
      </c>
      <c r="B9" s="215">
        <f>'[21]Rate Options'!$AJ$30</f>
        <v>0.25578770213785851</v>
      </c>
      <c r="C9" s="212"/>
      <c r="D9" s="212"/>
      <c r="E9" s="32">
        <f>(E7+E8)*B9</f>
        <v>4054.2350788850572</v>
      </c>
      <c r="G9" s="216"/>
      <c r="J9" s="209" t="s">
        <v>116</v>
      </c>
      <c r="K9" s="215">
        <f>'[21]Rate Options'!$AJ$30</f>
        <v>0.25578770213785851</v>
      </c>
      <c r="L9" s="212" t="e">
        <f>(L7+L8)*K9</f>
        <v>#REF!</v>
      </c>
      <c r="N9" s="216"/>
      <c r="P9" s="217" t="s">
        <v>117</v>
      </c>
      <c r="Q9" s="218">
        <f>6050/0.16</f>
        <v>37812.5</v>
      </c>
    </row>
    <row r="10" spans="1:19" s="191" customFormat="1" ht="12.75" hidden="1" x14ac:dyDescent="0.2">
      <c r="A10" s="209" t="s">
        <v>118</v>
      </c>
      <c r="B10" s="215" t="e">
        <f>'[21]Rate Options'!$AJ$42</f>
        <v>#REF!</v>
      </c>
      <c r="C10" s="212"/>
      <c r="D10" s="212"/>
      <c r="E10" s="32" t="e">
        <f>SUM(E7:E9)*B10</f>
        <v>#REF!</v>
      </c>
      <c r="F10" s="212"/>
      <c r="G10" s="216"/>
      <c r="H10" s="212"/>
      <c r="J10" s="209" t="s">
        <v>118</v>
      </c>
      <c r="K10" s="215" t="e">
        <f>'[21]Rate Options'!$AJ$42</f>
        <v>#REF!</v>
      </c>
      <c r="L10" s="212" t="e">
        <f>SUM(L7:L9)*K10</f>
        <v>#REF!</v>
      </c>
      <c r="N10" s="216"/>
    </row>
    <row r="11" spans="1:19" s="191" customFormat="1" ht="12.75" hidden="1" x14ac:dyDescent="0.2">
      <c r="A11" s="219" t="s">
        <v>91</v>
      </c>
      <c r="B11" s="220"/>
      <c r="C11" s="220"/>
      <c r="D11" s="220"/>
      <c r="E11" s="221" t="e">
        <f>SUM(E7:E10)</f>
        <v>#REF!</v>
      </c>
      <c r="G11" s="212"/>
      <c r="J11" s="219" t="s">
        <v>91</v>
      </c>
      <c r="K11" s="220"/>
      <c r="L11" s="222" t="e">
        <f>SUM(L7:L10)</f>
        <v>#REF!</v>
      </c>
      <c r="N11" s="212"/>
    </row>
    <row r="12" spans="1:19" s="191" customFormat="1" ht="12.75" hidden="1" x14ac:dyDescent="0.2">
      <c r="C12" s="199"/>
      <c r="D12" s="199"/>
      <c r="E12" s="223" t="e">
        <f>E11/E3</f>
        <v>#REF!</v>
      </c>
      <c r="F12" s="224" t="s">
        <v>119</v>
      </c>
      <c r="G12" s="225" t="s">
        <v>120</v>
      </c>
      <c r="L12" s="226" t="e">
        <f>L11/L3</f>
        <v>#REF!</v>
      </c>
      <c r="M12" s="224" t="s">
        <v>119</v>
      </c>
      <c r="N12" s="225" t="s">
        <v>120</v>
      </c>
    </row>
    <row r="13" spans="1:19" s="191" customFormat="1" ht="12.75" hidden="1" x14ac:dyDescent="0.2">
      <c r="A13" s="197" t="s">
        <v>46</v>
      </c>
      <c r="B13" s="227">
        <f>'[21]Rate Options'!$AK$43</f>
        <v>4.4640068153077195E-2</v>
      </c>
      <c r="C13" s="199"/>
      <c r="D13" s="199"/>
      <c r="E13" s="33"/>
      <c r="F13" s="228" t="e">
        <f>ROUND(E12*(1+B$13),2)</f>
        <v>#REF!</v>
      </c>
      <c r="G13" s="229">
        <v>0.9</v>
      </c>
      <c r="H13" s="230" t="e">
        <f t="shared" ref="H13:H21" si="0">$F$13/G13</f>
        <v>#REF!</v>
      </c>
      <c r="J13" s="197" t="s">
        <v>46</v>
      </c>
      <c r="K13" s="227">
        <f>'[21]Rate Options'!$AK$43</f>
        <v>4.4640068153077195E-2</v>
      </c>
      <c r="M13" s="228" t="e">
        <f>ROUND(L12*(1+K$13),2)</f>
        <v>#REF!</v>
      </c>
      <c r="N13" s="229">
        <v>0.9</v>
      </c>
      <c r="O13" s="230" t="e">
        <f t="shared" ref="O13:O21" si="1">$M$13/N13</f>
        <v>#REF!</v>
      </c>
    </row>
    <row r="14" spans="1:19" s="191" customFormat="1" ht="12.75" hidden="1" x14ac:dyDescent="0.2">
      <c r="E14" s="33"/>
      <c r="G14" s="229">
        <v>0.85</v>
      </c>
      <c r="H14" s="230" t="e">
        <f t="shared" si="0"/>
        <v>#REF!</v>
      </c>
      <c r="N14" s="229">
        <v>0.85</v>
      </c>
      <c r="O14" s="230" t="e">
        <f t="shared" si="1"/>
        <v>#REF!</v>
      </c>
    </row>
    <row r="15" spans="1:19" s="231" customFormat="1" hidden="1" x14ac:dyDescent="0.25">
      <c r="A15" s="197"/>
      <c r="C15" s="199"/>
      <c r="D15" s="199"/>
      <c r="E15" s="42"/>
      <c r="G15" s="229">
        <v>0.8</v>
      </c>
      <c r="H15" s="230" t="e">
        <f t="shared" si="0"/>
        <v>#REF!</v>
      </c>
      <c r="N15" s="229">
        <v>0.8</v>
      </c>
      <c r="O15" s="230" t="e">
        <f t="shared" si="1"/>
        <v>#REF!</v>
      </c>
    </row>
    <row r="16" spans="1:19" s="231" customFormat="1" hidden="1" x14ac:dyDescent="0.25">
      <c r="E16" s="42"/>
      <c r="G16" s="229">
        <v>0.75</v>
      </c>
      <c r="H16" s="230" t="e">
        <f t="shared" si="0"/>
        <v>#REF!</v>
      </c>
      <c r="N16" s="229">
        <v>0.75</v>
      </c>
      <c r="O16" s="230" t="e">
        <f t="shared" si="1"/>
        <v>#REF!</v>
      </c>
    </row>
    <row r="17" spans="1:15" s="231" customFormat="1" hidden="1" x14ac:dyDescent="0.25">
      <c r="E17" s="42"/>
      <c r="G17" s="229">
        <v>0.7</v>
      </c>
      <c r="H17" s="230" t="e">
        <f t="shared" si="0"/>
        <v>#REF!</v>
      </c>
      <c r="N17" s="229">
        <v>0.7</v>
      </c>
      <c r="O17" s="230" t="e">
        <f t="shared" si="1"/>
        <v>#REF!</v>
      </c>
    </row>
    <row r="18" spans="1:15" s="231" customFormat="1" hidden="1" x14ac:dyDescent="0.25">
      <c r="E18" s="42"/>
      <c r="G18" s="229">
        <v>0.65</v>
      </c>
      <c r="H18" s="230" t="e">
        <f t="shared" si="0"/>
        <v>#REF!</v>
      </c>
      <c r="N18" s="229">
        <v>0.65</v>
      </c>
      <c r="O18" s="230" t="e">
        <f t="shared" si="1"/>
        <v>#REF!</v>
      </c>
    </row>
    <row r="19" spans="1:15" s="231" customFormat="1" hidden="1" x14ac:dyDescent="0.25">
      <c r="E19" s="42"/>
      <c r="G19" s="229">
        <v>0.6</v>
      </c>
      <c r="H19" s="230" t="e">
        <f t="shared" si="0"/>
        <v>#REF!</v>
      </c>
      <c r="N19" s="229">
        <v>0.6</v>
      </c>
      <c r="O19" s="230" t="e">
        <f t="shared" si="1"/>
        <v>#REF!</v>
      </c>
    </row>
    <row r="20" spans="1:15" s="231" customFormat="1" hidden="1" x14ac:dyDescent="0.25">
      <c r="E20" s="42"/>
      <c r="G20" s="229">
        <v>0.55000000000000004</v>
      </c>
      <c r="H20" s="230" t="e">
        <f t="shared" si="0"/>
        <v>#REF!</v>
      </c>
      <c r="N20" s="229">
        <v>0.55000000000000004</v>
      </c>
      <c r="O20" s="230" t="e">
        <f t="shared" si="1"/>
        <v>#REF!</v>
      </c>
    </row>
    <row r="21" spans="1:15" s="231" customFormat="1" hidden="1" x14ac:dyDescent="0.25">
      <c r="E21" s="42"/>
      <c r="G21" s="229">
        <v>0.5</v>
      </c>
      <c r="H21" s="230" t="e">
        <f t="shared" si="0"/>
        <v>#REF!</v>
      </c>
      <c r="N21" s="229">
        <v>0.5</v>
      </c>
      <c r="O21" s="230" t="e">
        <f t="shared" si="1"/>
        <v>#REF!</v>
      </c>
    </row>
    <row r="22" spans="1:15" x14ac:dyDescent="0.25">
      <c r="B22" s="232"/>
      <c r="F22" s="223"/>
      <c r="G22" s="233"/>
      <c r="H22" s="223"/>
      <c r="K22" s="232"/>
      <c r="M22" s="223"/>
      <c r="N22" s="233"/>
    </row>
    <row r="23" spans="1:15" s="33" customFormat="1" ht="13.5" thickBot="1" x14ac:dyDescent="0.25"/>
    <row r="24" spans="1:15" s="33" customFormat="1" ht="13.5" thickBot="1" x14ac:dyDescent="0.25">
      <c r="A24" s="234" t="s">
        <v>121</v>
      </c>
      <c r="B24" s="235" t="s">
        <v>122</v>
      </c>
      <c r="C24" s="236">
        <f>365*12</f>
        <v>4380</v>
      </c>
      <c r="D24" s="237"/>
      <c r="E24" s="238"/>
      <c r="G24" s="239"/>
      <c r="J24" s="240"/>
      <c r="K24" s="240"/>
      <c r="L24" s="240"/>
      <c r="N24" s="239"/>
    </row>
    <row r="25" spans="1:15" s="33" customFormat="1" ht="12.75" x14ac:dyDescent="0.2">
      <c r="A25" s="241"/>
      <c r="B25" s="242" t="s">
        <v>123</v>
      </c>
      <c r="C25" s="243">
        <v>12</v>
      </c>
      <c r="E25" s="139"/>
      <c r="F25" s="244"/>
      <c r="G25" s="245"/>
      <c r="H25" s="244"/>
    </row>
    <row r="26" spans="1:15" s="33" customFormat="1" ht="13.5" thickBot="1" x14ac:dyDescent="0.25">
      <c r="A26" s="241"/>
      <c r="B26" s="246" t="s">
        <v>124</v>
      </c>
      <c r="C26" s="247">
        <v>1</v>
      </c>
      <c r="E26" s="139"/>
      <c r="F26" s="244"/>
      <c r="G26" s="245"/>
      <c r="H26" s="244"/>
      <c r="J26" s="33" t="s">
        <v>363</v>
      </c>
      <c r="N26" s="208"/>
    </row>
    <row r="27" spans="1:15" s="33" customFormat="1" ht="13.5" thickBot="1" x14ac:dyDescent="0.25">
      <c r="A27" s="241"/>
      <c r="E27" s="139"/>
      <c r="G27" s="248"/>
      <c r="J27" s="249" t="s">
        <v>125</v>
      </c>
      <c r="K27" s="250" t="s">
        <v>126</v>
      </c>
      <c r="L27" s="251" t="s">
        <v>127</v>
      </c>
      <c r="M27" s="33" t="s">
        <v>351</v>
      </c>
      <c r="N27" s="32" t="s">
        <v>358</v>
      </c>
    </row>
    <row r="28" spans="1:15" s="33" customFormat="1" ht="12.75" x14ac:dyDescent="0.2">
      <c r="A28" s="252"/>
      <c r="B28" s="242"/>
      <c r="C28" s="240" t="s">
        <v>66</v>
      </c>
      <c r="D28" s="240" t="s">
        <v>67</v>
      </c>
      <c r="E28" s="253" t="s">
        <v>68</v>
      </c>
      <c r="J28" s="254" t="s">
        <v>76</v>
      </c>
      <c r="K28" s="255" t="s">
        <v>128</v>
      </c>
      <c r="L28" s="256">
        <f>E33</f>
        <v>37.686343226619101</v>
      </c>
      <c r="M28" s="257">
        <v>29.75</v>
      </c>
      <c r="N28" s="156">
        <f>(L28-M28)/M28</f>
        <v>0.26676783955022187</v>
      </c>
    </row>
    <row r="29" spans="1:15" s="33" customFormat="1" ht="12.75" x14ac:dyDescent="0.2">
      <c r="A29" s="258" t="s">
        <v>76</v>
      </c>
      <c r="C29" s="259">
        <f>'M2022 BLS  (53_PCT)'!C28</f>
        <v>101383.77600000001</v>
      </c>
      <c r="D29" s="260">
        <f>C26</f>
        <v>1</v>
      </c>
      <c r="E29" s="261">
        <f>C29*C26</f>
        <v>101383.77600000001</v>
      </c>
      <c r="J29" s="262" t="s">
        <v>129</v>
      </c>
      <c r="K29" s="263" t="s">
        <v>128</v>
      </c>
      <c r="L29" s="264">
        <f>E56</f>
        <v>29.96300182789231</v>
      </c>
      <c r="M29" s="257">
        <v>22.43</v>
      </c>
      <c r="N29" s="156">
        <f t="shared" ref="N29:N30" si="2">(L29-M29)/M29</f>
        <v>0.33584493213964822</v>
      </c>
    </row>
    <row r="30" spans="1:15" s="33" customFormat="1" ht="13.5" thickBot="1" x14ac:dyDescent="0.25">
      <c r="A30" s="258" t="s">
        <v>116</v>
      </c>
      <c r="B30" s="265">
        <f>'M2022 BLS  (53_PCT)'!C38</f>
        <v>0.27379999999999999</v>
      </c>
      <c r="C30" s="32"/>
      <c r="D30" s="32"/>
      <c r="E30" s="261">
        <f>E29*B30</f>
        <v>27758.877868800002</v>
      </c>
      <c r="G30" s="208"/>
      <c r="J30" s="266" t="s">
        <v>73</v>
      </c>
      <c r="K30" s="267" t="s">
        <v>128</v>
      </c>
      <c r="L30" s="268">
        <f>E68</f>
        <v>15.463538053932362</v>
      </c>
      <c r="M30" s="257">
        <v>12.31</v>
      </c>
      <c r="N30" s="156">
        <f t="shared" si="2"/>
        <v>0.25617693370693434</v>
      </c>
    </row>
    <row r="31" spans="1:15" s="33" customFormat="1" ht="12.75" x14ac:dyDescent="0.2">
      <c r="A31" s="258" t="s">
        <v>118</v>
      </c>
      <c r="B31" s="265">
        <f>'M2022 BLS  (53_PCT)'!C41</f>
        <v>0.12</v>
      </c>
      <c r="C31" s="32"/>
      <c r="D31" s="32"/>
      <c r="E31" s="261">
        <f>SUM(E29+E30)*B31</f>
        <v>15497.118464256002</v>
      </c>
      <c r="G31" s="32"/>
      <c r="N31" s="269"/>
    </row>
    <row r="32" spans="1:15" s="33" customFormat="1" ht="12.75" x14ac:dyDescent="0.2">
      <c r="A32" s="270" t="s">
        <v>91</v>
      </c>
      <c r="B32" s="271"/>
      <c r="C32" s="271"/>
      <c r="D32" s="271"/>
      <c r="E32" s="272">
        <f>SUM(E29:E31)</f>
        <v>144639.77233305603</v>
      </c>
      <c r="G32" s="32"/>
      <c r="N32" s="233"/>
    </row>
    <row r="33" spans="1:14" s="33" customFormat="1" ht="13.15" customHeight="1" thickBot="1" x14ac:dyDescent="0.25">
      <c r="A33" s="273" t="s">
        <v>364</v>
      </c>
      <c r="B33" s="274">
        <f>'CAF Spring 2023'!CI26</f>
        <v>2.7100379121522307E-2</v>
      </c>
      <c r="C33" s="275"/>
      <c r="D33" s="276">
        <v>0.9</v>
      </c>
      <c r="E33" s="277">
        <f>E32*(B33+1)/C24/(D33)</f>
        <v>37.686343226619101</v>
      </c>
      <c r="F33" s="242" t="s">
        <v>130</v>
      </c>
      <c r="G33" s="32"/>
      <c r="N33" s="278"/>
    </row>
    <row r="34" spans="1:14" s="33" customFormat="1" ht="12.75" x14ac:dyDescent="0.2">
      <c r="A34" s="246"/>
      <c r="B34" s="279"/>
      <c r="C34" s="204"/>
      <c r="D34" s="204"/>
      <c r="E34" s="280"/>
      <c r="F34" s="156"/>
      <c r="G34" s="32"/>
      <c r="N34" s="278"/>
    </row>
    <row r="35" spans="1:14" s="33" customFormat="1" ht="13.5" thickBot="1" x14ac:dyDescent="0.25">
      <c r="A35" s="269"/>
      <c r="B35" s="281"/>
      <c r="C35" s="282"/>
      <c r="D35" s="283"/>
      <c r="E35" s="284"/>
      <c r="G35" s="269"/>
      <c r="N35" s="278"/>
    </row>
    <row r="36" spans="1:14" s="191" customFormat="1" ht="13.5" hidden="1" thickBot="1" x14ac:dyDescent="0.25">
      <c r="A36" s="209"/>
      <c r="B36" s="192">
        <v>30</v>
      </c>
      <c r="C36" s="285" t="s">
        <v>131</v>
      </c>
      <c r="D36" s="286"/>
      <c r="E36" s="287" t="e">
        <f>E$32/E35</f>
        <v>#DIV/0!</v>
      </c>
      <c r="F36" s="228" t="e">
        <f>ROUND(E36*(1+B$33),2)</f>
        <v>#DIV/0!</v>
      </c>
      <c r="G36" s="288"/>
      <c r="N36" s="229"/>
    </row>
    <row r="37" spans="1:14" s="191" customFormat="1" ht="13.5" hidden="1" thickBot="1" x14ac:dyDescent="0.25">
      <c r="A37" s="209"/>
      <c r="B37" s="192"/>
      <c r="C37" s="285"/>
      <c r="D37" s="286"/>
      <c r="E37" s="287"/>
      <c r="F37" s="228"/>
      <c r="G37" s="229">
        <v>0.9</v>
      </c>
      <c r="H37" s="226" t="e">
        <f>$F$36/G37</f>
        <v>#DIV/0!</v>
      </c>
      <c r="N37" s="229"/>
    </row>
    <row r="38" spans="1:14" s="191" customFormat="1" ht="13.5" hidden="1" thickBot="1" x14ac:dyDescent="0.25">
      <c r="A38" s="209"/>
      <c r="B38" s="192"/>
      <c r="C38" s="285"/>
      <c r="D38" s="286"/>
      <c r="E38" s="287"/>
      <c r="F38" s="228"/>
      <c r="G38" s="229">
        <v>0.85</v>
      </c>
      <c r="H38" s="226" t="e">
        <f t="shared" ref="H38:H45" si="3">$F$36/G38</f>
        <v>#DIV/0!</v>
      </c>
      <c r="N38" s="229"/>
    </row>
    <row r="39" spans="1:14" s="191" customFormat="1" ht="13.5" hidden="1" thickBot="1" x14ac:dyDescent="0.25">
      <c r="A39" s="209"/>
      <c r="B39" s="192"/>
      <c r="C39" s="285"/>
      <c r="D39" s="286"/>
      <c r="E39" s="287"/>
      <c r="F39" s="228"/>
      <c r="G39" s="229">
        <v>0.8</v>
      </c>
      <c r="H39" s="226" t="e">
        <f t="shared" si="3"/>
        <v>#DIV/0!</v>
      </c>
      <c r="N39" s="229"/>
    </row>
    <row r="40" spans="1:14" s="191" customFormat="1" ht="13.5" hidden="1" thickBot="1" x14ac:dyDescent="0.25">
      <c r="A40" s="209"/>
      <c r="B40" s="192"/>
      <c r="C40" s="285"/>
      <c r="D40" s="286"/>
      <c r="E40" s="287"/>
      <c r="F40" s="228"/>
      <c r="G40" s="229">
        <v>0.75</v>
      </c>
      <c r="H40" s="226" t="e">
        <f t="shared" si="3"/>
        <v>#DIV/0!</v>
      </c>
      <c r="N40" s="229"/>
    </row>
    <row r="41" spans="1:14" s="191" customFormat="1" ht="13.5" hidden="1" thickBot="1" x14ac:dyDescent="0.25">
      <c r="A41" s="209"/>
      <c r="B41" s="192"/>
      <c r="C41" s="285"/>
      <c r="D41" s="286"/>
      <c r="E41" s="287"/>
      <c r="F41" s="228"/>
      <c r="G41" s="229">
        <v>0.7</v>
      </c>
      <c r="H41" s="226" t="e">
        <f t="shared" si="3"/>
        <v>#DIV/0!</v>
      </c>
      <c r="N41" s="229"/>
    </row>
    <row r="42" spans="1:14" s="191" customFormat="1" ht="13.5" hidden="1" thickBot="1" x14ac:dyDescent="0.25">
      <c r="A42" s="209"/>
      <c r="B42" s="192"/>
      <c r="C42" s="285"/>
      <c r="D42" s="286"/>
      <c r="E42" s="287"/>
      <c r="F42" s="228"/>
      <c r="G42" s="229">
        <v>0.65</v>
      </c>
      <c r="H42" s="226" t="e">
        <f t="shared" si="3"/>
        <v>#DIV/0!</v>
      </c>
      <c r="N42" s="288"/>
    </row>
    <row r="43" spans="1:14" s="191" customFormat="1" ht="13.5" hidden="1" thickBot="1" x14ac:dyDescent="0.25">
      <c r="A43" s="209"/>
      <c r="B43" s="192"/>
      <c r="C43" s="285"/>
      <c r="D43" s="286"/>
      <c r="E43" s="287"/>
      <c r="F43" s="228"/>
      <c r="G43" s="229">
        <v>0.6</v>
      </c>
      <c r="H43" s="226" t="e">
        <f t="shared" si="3"/>
        <v>#DIV/0!</v>
      </c>
      <c r="J43" s="33"/>
      <c r="K43" s="33"/>
      <c r="L43" s="33"/>
      <c r="M43" s="33"/>
      <c r="N43" s="33"/>
    </row>
    <row r="44" spans="1:14" s="191" customFormat="1" ht="13.5" hidden="1" thickBot="1" x14ac:dyDescent="0.25">
      <c r="A44" s="209"/>
      <c r="B44" s="192"/>
      <c r="C44" s="285"/>
      <c r="D44" s="286"/>
      <c r="E44" s="287"/>
      <c r="F44" s="228"/>
      <c r="G44" s="229">
        <v>0.55000000000000004</v>
      </c>
      <c r="H44" s="226" t="e">
        <f t="shared" si="3"/>
        <v>#DIV/0!</v>
      </c>
      <c r="J44" s="33"/>
      <c r="K44" s="33"/>
      <c r="L44" s="33"/>
      <c r="M44" s="33"/>
      <c r="N44" s="239"/>
    </row>
    <row r="45" spans="1:14" s="191" customFormat="1" ht="13.5" hidden="1" thickBot="1" x14ac:dyDescent="0.25">
      <c r="E45" s="284"/>
      <c r="G45" s="229">
        <v>0.5</v>
      </c>
      <c r="H45" s="226" t="e">
        <f t="shared" si="3"/>
        <v>#DIV/0!</v>
      </c>
      <c r="J45" s="33"/>
      <c r="K45" s="33"/>
      <c r="L45" s="33"/>
      <c r="M45" s="33"/>
      <c r="N45" s="245"/>
    </row>
    <row r="46" spans="1:14" s="191" customFormat="1" ht="13.5" hidden="1" thickBot="1" x14ac:dyDescent="0.25">
      <c r="A46" s="33"/>
      <c r="B46" s="33"/>
      <c r="C46" s="33"/>
      <c r="D46" s="33"/>
      <c r="E46" s="284"/>
      <c r="F46" s="33"/>
      <c r="G46" s="288"/>
      <c r="J46" s="33"/>
      <c r="K46" s="33"/>
      <c r="L46" s="33"/>
      <c r="M46" s="33"/>
      <c r="N46" s="245"/>
    </row>
    <row r="47" spans="1:14" s="33" customFormat="1" ht="13.5" thickBot="1" x14ac:dyDescent="0.25">
      <c r="A47" s="234" t="s">
        <v>132</v>
      </c>
      <c r="B47" s="235" t="s">
        <v>122</v>
      </c>
      <c r="C47" s="236">
        <f>365*12</f>
        <v>4380</v>
      </c>
      <c r="D47" s="237"/>
      <c r="E47" s="289"/>
      <c r="N47" s="248"/>
    </row>
    <row r="48" spans="1:14" s="33" customFormat="1" ht="12.75" x14ac:dyDescent="0.2">
      <c r="A48" s="241"/>
      <c r="B48" s="242" t="s">
        <v>123</v>
      </c>
      <c r="C48" s="243">
        <v>12</v>
      </c>
      <c r="E48" s="290"/>
      <c r="F48" s="244"/>
      <c r="G48" s="239"/>
    </row>
    <row r="49" spans="1:14" s="33" customFormat="1" ht="12.75" x14ac:dyDescent="0.2">
      <c r="A49" s="241"/>
      <c r="B49" s="246" t="s">
        <v>124</v>
      </c>
      <c r="C49" s="247">
        <v>1</v>
      </c>
      <c r="E49" s="290"/>
      <c r="F49" s="244"/>
      <c r="G49" s="245"/>
      <c r="H49" s="244"/>
    </row>
    <row r="50" spans="1:14" s="33" customFormat="1" ht="14.25" x14ac:dyDescent="0.2">
      <c r="A50" s="252"/>
      <c r="B50" s="242"/>
      <c r="C50" s="242"/>
      <c r="D50" s="242"/>
      <c r="E50" s="291"/>
      <c r="G50" s="245"/>
      <c r="H50" s="244"/>
      <c r="K50"/>
      <c r="N50" s="208"/>
    </row>
    <row r="51" spans="1:14" s="33" customFormat="1" ht="12.75" x14ac:dyDescent="0.2">
      <c r="A51" s="252"/>
      <c r="B51" s="242"/>
      <c r="C51" s="240" t="s">
        <v>66</v>
      </c>
      <c r="D51" s="240" t="s">
        <v>67</v>
      </c>
      <c r="E51" s="253" t="s">
        <v>68</v>
      </c>
      <c r="G51" s="248"/>
      <c r="N51" s="32"/>
    </row>
    <row r="52" spans="1:14" s="33" customFormat="1" ht="12.75" x14ac:dyDescent="0.2">
      <c r="A52" s="258" t="s">
        <v>129</v>
      </c>
      <c r="C52" s="259">
        <f>'M2022 BLS  (53_PCT)'!C18</f>
        <v>80606.448000000004</v>
      </c>
      <c r="D52" s="292">
        <f>C49</f>
        <v>1</v>
      </c>
      <c r="E52" s="261">
        <f>C52*C26</f>
        <v>80606.448000000004</v>
      </c>
      <c r="N52" s="32"/>
    </row>
    <row r="53" spans="1:14" s="33" customFormat="1" ht="12.75" x14ac:dyDescent="0.2">
      <c r="A53" s="258" t="s">
        <v>116</v>
      </c>
      <c r="B53" s="265">
        <f>B30</f>
        <v>0.27379999999999999</v>
      </c>
      <c r="C53" s="32"/>
      <c r="D53" s="32"/>
      <c r="E53" s="261">
        <f>E52*B53</f>
        <v>22070.045462400001</v>
      </c>
      <c r="N53" s="32"/>
    </row>
    <row r="54" spans="1:14" s="33" customFormat="1" ht="12.75" x14ac:dyDescent="0.2">
      <c r="A54" s="258" t="s">
        <v>118</v>
      </c>
      <c r="B54" s="265">
        <f>'[21]Salary Bench Chart'!C33</f>
        <v>0.12</v>
      </c>
      <c r="C54" s="32"/>
      <c r="D54" s="32"/>
      <c r="E54" s="261">
        <f>SUM(E52+E53)*B54</f>
        <v>12321.179215488</v>
      </c>
      <c r="G54" s="208"/>
    </row>
    <row r="55" spans="1:14" s="33" customFormat="1" ht="12.75" x14ac:dyDescent="0.2">
      <c r="A55" s="270" t="s">
        <v>91</v>
      </c>
      <c r="B55" s="271"/>
      <c r="C55" s="271"/>
      <c r="D55" s="271"/>
      <c r="E55" s="272">
        <f>SUM(E52:E54)</f>
        <v>114997.672677888</v>
      </c>
      <c r="G55" s="32"/>
      <c r="N55" s="239"/>
    </row>
    <row r="56" spans="1:14" s="33" customFormat="1" ht="13.5" thickBot="1" x14ac:dyDescent="0.25">
      <c r="A56" s="273" t="s">
        <v>364</v>
      </c>
      <c r="B56" s="274">
        <f>B33</f>
        <v>2.7100379121522307E-2</v>
      </c>
      <c r="C56" s="275"/>
      <c r="D56" s="276">
        <f>D33</f>
        <v>0.9</v>
      </c>
      <c r="E56" s="277">
        <f>E55*(B56+1)/C47/(D56)</f>
        <v>29.96300182789231</v>
      </c>
      <c r="F56" s="242" t="s">
        <v>130</v>
      </c>
      <c r="G56" s="32"/>
      <c r="N56" s="245"/>
    </row>
    <row r="57" spans="1:14" s="33" customFormat="1" ht="13.15" customHeight="1" x14ac:dyDescent="0.2">
      <c r="B57" s="279"/>
      <c r="C57" s="204"/>
      <c r="D57" s="204"/>
      <c r="E57" s="280"/>
      <c r="F57" s="156"/>
      <c r="G57" s="32"/>
      <c r="N57" s="245"/>
    </row>
    <row r="58" spans="1:14" s="33" customFormat="1" ht="13.5" thickBot="1" x14ac:dyDescent="0.25">
      <c r="A58" s="281"/>
      <c r="B58" s="281"/>
      <c r="C58" s="293"/>
      <c r="D58" s="294"/>
      <c r="E58" s="287"/>
      <c r="N58" s="245"/>
    </row>
    <row r="59" spans="1:14" s="33" customFormat="1" ht="13.5" thickBot="1" x14ac:dyDescent="0.25">
      <c r="A59" s="234" t="s">
        <v>133</v>
      </c>
      <c r="B59" s="235" t="s">
        <v>122</v>
      </c>
      <c r="C59" s="236">
        <f>365*12</f>
        <v>4380</v>
      </c>
      <c r="D59" s="295"/>
      <c r="E59" s="296"/>
      <c r="F59" s="244"/>
      <c r="G59" s="239"/>
      <c r="N59" s="248"/>
    </row>
    <row r="60" spans="1:14" s="33" customFormat="1" ht="13.15" customHeight="1" x14ac:dyDescent="0.2">
      <c r="A60" s="241"/>
      <c r="B60" s="242" t="s">
        <v>123</v>
      </c>
      <c r="C60" s="243">
        <v>12</v>
      </c>
      <c r="E60" s="290"/>
      <c r="F60" s="244"/>
      <c r="G60" s="245"/>
      <c r="H60" s="244"/>
    </row>
    <row r="61" spans="1:14" s="33" customFormat="1" ht="12.75" x14ac:dyDescent="0.2">
      <c r="A61" s="241"/>
      <c r="B61" s="246" t="s">
        <v>124</v>
      </c>
      <c r="C61" s="247">
        <v>1</v>
      </c>
      <c r="E61" s="290"/>
      <c r="F61" s="244"/>
      <c r="G61" s="245"/>
      <c r="H61" s="244"/>
    </row>
    <row r="62" spans="1:14" s="33" customFormat="1" ht="12.75" x14ac:dyDescent="0.2">
      <c r="A62" s="241"/>
      <c r="E62" s="290"/>
      <c r="G62" s="245"/>
      <c r="H62" s="244"/>
      <c r="N62" s="208"/>
    </row>
    <row r="63" spans="1:14" s="33" customFormat="1" ht="12.75" x14ac:dyDescent="0.2">
      <c r="A63" s="252"/>
      <c r="B63" s="242"/>
      <c r="C63" s="240" t="s">
        <v>66</v>
      </c>
      <c r="D63" s="240" t="s">
        <v>67</v>
      </c>
      <c r="E63" s="253" t="s">
        <v>68</v>
      </c>
      <c r="G63" s="248"/>
      <c r="N63" s="32"/>
    </row>
    <row r="64" spans="1:14" s="33" customFormat="1" ht="12.75" x14ac:dyDescent="0.2">
      <c r="A64" s="258" t="s">
        <v>73</v>
      </c>
      <c r="C64" s="259">
        <f>'M2022 BLS  (53_PCT)'!C6</f>
        <v>41600</v>
      </c>
      <c r="D64" s="292">
        <v>1</v>
      </c>
      <c r="E64" s="261">
        <f>C64*C61</f>
        <v>41600</v>
      </c>
      <c r="N64" s="32"/>
    </row>
    <row r="65" spans="1:14" s="33" customFormat="1" ht="12.75" x14ac:dyDescent="0.2">
      <c r="A65" s="258" t="s">
        <v>116</v>
      </c>
      <c r="B65" s="265">
        <f>B30</f>
        <v>0.27379999999999999</v>
      </c>
      <c r="C65" s="32"/>
      <c r="D65" s="32"/>
      <c r="E65" s="261">
        <f>E64*B65</f>
        <v>11390.08</v>
      </c>
      <c r="N65" s="32"/>
    </row>
    <row r="66" spans="1:14" s="33" customFormat="1" ht="12.75" x14ac:dyDescent="0.2">
      <c r="A66" s="258" t="s">
        <v>118</v>
      </c>
      <c r="B66" s="265">
        <f>'[21]Salary Bench Chart'!C33</f>
        <v>0.12</v>
      </c>
      <c r="C66" s="32"/>
      <c r="D66" s="32"/>
      <c r="E66" s="261">
        <f>SUM(E64+E65)*B66</f>
        <v>6358.8095999999996</v>
      </c>
      <c r="G66" s="208"/>
      <c r="N66" s="32"/>
    </row>
    <row r="67" spans="1:14" s="33" customFormat="1" ht="12.75" x14ac:dyDescent="0.2">
      <c r="A67" s="270" t="s">
        <v>91</v>
      </c>
      <c r="B67" s="271"/>
      <c r="C67" s="271"/>
      <c r="D67" s="271"/>
      <c r="E67" s="272">
        <f>SUM(E64:E66)</f>
        <v>59348.889600000002</v>
      </c>
      <c r="G67" s="32"/>
      <c r="N67" s="248"/>
    </row>
    <row r="68" spans="1:14" s="33" customFormat="1" ht="15.75" thickBot="1" x14ac:dyDescent="0.3">
      <c r="A68" s="273" t="s">
        <v>364</v>
      </c>
      <c r="B68" s="274">
        <f>B56</f>
        <v>2.7100379121522307E-2</v>
      </c>
      <c r="C68" s="275"/>
      <c r="D68" s="276">
        <v>0.9</v>
      </c>
      <c r="E68" s="277">
        <f>E67*(B68+1)/C59/D68</f>
        <v>15.463538053932362</v>
      </c>
      <c r="F68" s="242" t="s">
        <v>130</v>
      </c>
      <c r="G68" s="32"/>
      <c r="J68" s="42"/>
      <c r="K68" s="42"/>
      <c r="L68" s="42"/>
      <c r="M68" s="42"/>
      <c r="N68" s="42"/>
    </row>
    <row r="69" spans="1:14" s="33" customFormat="1" ht="13.15" customHeight="1" x14ac:dyDescent="0.25">
      <c r="B69" s="279"/>
      <c r="C69" s="204"/>
      <c r="D69" s="204"/>
      <c r="E69" s="233"/>
      <c r="F69" s="156"/>
      <c r="G69" s="32"/>
      <c r="J69" s="42"/>
      <c r="K69" s="42"/>
      <c r="L69" s="42"/>
      <c r="M69" s="42"/>
      <c r="N69" s="42"/>
    </row>
    <row r="70" spans="1:14" s="33" customFormat="1" x14ac:dyDescent="0.25">
      <c r="A70" s="246"/>
      <c r="B70" s="279"/>
      <c r="C70" s="204"/>
      <c r="D70" s="204"/>
      <c r="E70" s="223"/>
      <c r="G70" s="32"/>
      <c r="J70" s="42"/>
      <c r="K70" s="42"/>
      <c r="L70" s="42"/>
      <c r="M70" s="42"/>
      <c r="N70" s="42"/>
    </row>
    <row r="71" spans="1:14" s="33" customFormat="1" x14ac:dyDescent="0.25">
      <c r="A71" s="42"/>
      <c r="B71" s="42"/>
      <c r="C71" s="42"/>
      <c r="D71" s="42"/>
      <c r="E71" s="42"/>
      <c r="F71" s="42"/>
      <c r="G71" s="248"/>
      <c r="J71" s="42"/>
      <c r="K71" s="42"/>
      <c r="L71" s="42"/>
      <c r="M71" s="42"/>
      <c r="N71" s="42"/>
    </row>
  </sheetData>
  <mergeCells count="1">
    <mergeCell ref="P7:Q7"/>
  </mergeCells>
  <printOptions horizontalCentered="1"/>
  <pageMargins left="0" right="0" top="0.56999999999999995" bottom="0.37" header="0.32" footer="0.23"/>
  <pageSetup orientation="portrait" r:id="rId1"/>
  <headerFooter alignWithMargins="0">
    <oddHeader>&amp;C&amp;"Arial,Bold Italic"&amp;20YOUTH INTERMEDIATE TERM ADD-ON  RATES</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38F86-FA35-40C8-A432-71FEEAD4E922}">
  <sheetPr>
    <pageSetUpPr fitToPage="1"/>
  </sheetPr>
  <dimension ref="A1:K71"/>
  <sheetViews>
    <sheetView topLeftCell="A22" zoomScaleNormal="100" workbookViewId="0">
      <selection activeCell="E73" sqref="E73"/>
    </sheetView>
  </sheetViews>
  <sheetFormatPr defaultRowHeight="15" x14ac:dyDescent="0.25"/>
  <cols>
    <col min="1" max="1" width="23" style="42" bestFit="1" customWidth="1"/>
    <col min="2" max="2" width="9" style="42" customWidth="1"/>
    <col min="3" max="3" width="8.75" style="42" customWidth="1"/>
    <col min="4" max="4" width="4.25" style="42" bestFit="1" customWidth="1"/>
    <col min="5" max="5" width="8.75" style="42" bestFit="1" customWidth="1"/>
    <col min="6" max="6" width="11.75" style="973" bestFit="1" customWidth="1"/>
    <col min="7" max="7" width="3.75" style="42" customWidth="1"/>
    <col min="8" max="8" width="29.375" style="42" bestFit="1" customWidth="1"/>
    <col min="9" max="9" width="10.25" style="42" bestFit="1" customWidth="1"/>
    <col min="10" max="10" width="13.125" style="42" bestFit="1" customWidth="1"/>
    <col min="11" max="11" width="4" style="42" bestFit="1" customWidth="1"/>
    <col min="12" max="12" width="11.375" style="42" bestFit="1" customWidth="1"/>
    <col min="13" max="13" width="10.5" style="42" bestFit="1" customWidth="1"/>
    <col min="14" max="14" width="5" style="42" bestFit="1" customWidth="1"/>
    <col min="15" max="15" width="9" style="42"/>
    <col min="16" max="16" width="31.25" style="42" customWidth="1"/>
    <col min="17" max="17" width="10.25" style="42" bestFit="1" customWidth="1"/>
    <col min="18" max="16384" width="9" style="42"/>
  </cols>
  <sheetData>
    <row r="1" spans="1:11" s="191" customFormat="1" ht="13.9" hidden="1" customHeight="1" thickBot="1" x14ac:dyDescent="0.25">
      <c r="A1" s="190"/>
      <c r="B1" s="190"/>
      <c r="C1" s="190"/>
      <c r="E1" s="33"/>
      <c r="F1" s="966"/>
    </row>
    <row r="2" spans="1:11" s="191" customFormat="1" ht="12.75" hidden="1" x14ac:dyDescent="0.2">
      <c r="A2" s="192"/>
      <c r="B2" s="192"/>
      <c r="C2" s="193" t="s">
        <v>50</v>
      </c>
      <c r="D2" s="194"/>
      <c r="E2" s="195"/>
      <c r="F2" s="966"/>
    </row>
    <row r="3" spans="1:11" s="202" customFormat="1" ht="12.75" hidden="1" x14ac:dyDescent="0.2">
      <c r="A3" s="197" t="s">
        <v>56</v>
      </c>
      <c r="B3" s="198" t="s">
        <v>60</v>
      </c>
      <c r="C3" s="199" t="s">
        <v>58</v>
      </c>
      <c r="D3" s="200">
        <v>30</v>
      </c>
      <c r="E3" s="201">
        <f>B4*D3</f>
        <v>600</v>
      </c>
      <c r="F3" s="967"/>
      <c r="J3" s="203"/>
      <c r="K3" s="203"/>
    </row>
    <row r="4" spans="1:11" s="202" customFormat="1" ht="12.75" hidden="1" x14ac:dyDescent="0.2">
      <c r="A4" s="203"/>
      <c r="B4" s="198">
        <v>20</v>
      </c>
      <c r="C4" s="197"/>
      <c r="E4" s="204"/>
      <c r="F4" s="968"/>
      <c r="G4" s="203"/>
      <c r="J4" s="203"/>
      <c r="K4" s="203"/>
    </row>
    <row r="5" spans="1:11" s="191" customFormat="1" ht="12.75" hidden="1" x14ac:dyDescent="0.2">
      <c r="A5" s="206"/>
      <c r="B5" s="206"/>
      <c r="C5" s="206"/>
      <c r="E5" s="33"/>
      <c r="F5" s="966"/>
    </row>
    <row r="6" spans="1:11" s="191" customFormat="1" ht="12.75" hidden="1" x14ac:dyDescent="0.2">
      <c r="C6" s="207" t="s">
        <v>111</v>
      </c>
      <c r="D6" s="207" t="s">
        <v>67</v>
      </c>
      <c r="E6" s="208" t="s">
        <v>112</v>
      </c>
      <c r="F6" s="966"/>
    </row>
    <row r="7" spans="1:11" s="191" customFormat="1" ht="13.5" hidden="1" thickBot="1" x14ac:dyDescent="0.25">
      <c r="A7" s="209" t="s">
        <v>113</v>
      </c>
      <c r="C7" s="210">
        <f>I8</f>
        <v>30625</v>
      </c>
      <c r="D7" s="211">
        <f>2*0.16</f>
        <v>0.32</v>
      </c>
      <c r="E7" s="32">
        <f>C7*D7</f>
        <v>9800</v>
      </c>
      <c r="F7" s="966"/>
      <c r="H7" s="1066" t="s">
        <v>48</v>
      </c>
      <c r="I7" s="1067"/>
    </row>
    <row r="8" spans="1:11" s="191" customFormat="1" ht="12.75" hidden="1" x14ac:dyDescent="0.2">
      <c r="A8" s="209" t="s">
        <v>114</v>
      </c>
      <c r="C8" s="210">
        <f>I9</f>
        <v>37812.5</v>
      </c>
      <c r="D8" s="211">
        <v>0.16</v>
      </c>
      <c r="E8" s="32">
        <f>C8*D8</f>
        <v>6050</v>
      </c>
      <c r="F8" s="966"/>
      <c r="H8" s="213" t="s">
        <v>115</v>
      </c>
      <c r="I8" s="214">
        <f>4900/0.16</f>
        <v>30625</v>
      </c>
    </row>
    <row r="9" spans="1:11" s="191" customFormat="1" ht="13.5" hidden="1" thickBot="1" x14ac:dyDescent="0.25">
      <c r="A9" s="209" t="s">
        <v>116</v>
      </c>
      <c r="B9" s="215">
        <f>'[21]Rate Options'!$AJ$30</f>
        <v>0.25578770213785851</v>
      </c>
      <c r="C9" s="212"/>
      <c r="D9" s="212"/>
      <c r="E9" s="32">
        <f>(E7+E8)*B9</f>
        <v>4054.2350788850572</v>
      </c>
      <c r="F9" s="966"/>
      <c r="H9" s="217" t="s">
        <v>117</v>
      </c>
      <c r="I9" s="218">
        <f>6050/0.16</f>
        <v>37812.5</v>
      </c>
    </row>
    <row r="10" spans="1:11" s="191" customFormat="1" ht="12.75" hidden="1" x14ac:dyDescent="0.2">
      <c r="A10" s="209" t="s">
        <v>118</v>
      </c>
      <c r="B10" s="215" t="e">
        <f>'[21]Rate Options'!$AJ$42</f>
        <v>#REF!</v>
      </c>
      <c r="C10" s="212"/>
      <c r="D10" s="212"/>
      <c r="E10" s="32" t="e">
        <f>SUM(E7:E9)*B10</f>
        <v>#REF!</v>
      </c>
      <c r="F10" s="969"/>
    </row>
    <row r="11" spans="1:11" s="191" customFormat="1" ht="12.75" hidden="1" x14ac:dyDescent="0.2">
      <c r="A11" s="219" t="s">
        <v>91</v>
      </c>
      <c r="B11" s="220"/>
      <c r="C11" s="220"/>
      <c r="D11" s="220"/>
      <c r="E11" s="221" t="e">
        <f>SUM(E7:E10)</f>
        <v>#REF!</v>
      </c>
      <c r="F11" s="966"/>
    </row>
    <row r="12" spans="1:11" s="191" customFormat="1" ht="12.75" hidden="1" x14ac:dyDescent="0.2">
      <c r="C12" s="199"/>
      <c r="D12" s="199"/>
      <c r="E12" s="223" t="e">
        <f>E11/E3</f>
        <v>#REF!</v>
      </c>
      <c r="F12" s="970" t="s">
        <v>119</v>
      </c>
    </row>
    <row r="13" spans="1:11" s="191" customFormat="1" ht="12.75" hidden="1" x14ac:dyDescent="0.2">
      <c r="A13" s="197" t="s">
        <v>46</v>
      </c>
      <c r="B13" s="227">
        <f>'[21]Rate Options'!$AK$43</f>
        <v>4.4640068153077195E-2</v>
      </c>
      <c r="C13" s="199"/>
      <c r="D13" s="199"/>
      <c r="E13" s="33"/>
      <c r="F13" s="971" t="e">
        <f>ROUND(E12*(1+B$13),2)</f>
        <v>#REF!</v>
      </c>
    </row>
    <row r="14" spans="1:11" s="191" customFormat="1" ht="12.75" hidden="1" x14ac:dyDescent="0.2">
      <c r="E14" s="33"/>
      <c r="F14" s="966"/>
    </row>
    <row r="15" spans="1:11" s="231" customFormat="1" hidden="1" x14ac:dyDescent="0.25">
      <c r="A15" s="197"/>
      <c r="C15" s="199"/>
      <c r="D15" s="199"/>
      <c r="E15" s="42"/>
      <c r="F15" s="966"/>
    </row>
    <row r="16" spans="1:11" s="231" customFormat="1" hidden="1" x14ac:dyDescent="0.25">
      <c r="E16" s="42"/>
      <c r="F16" s="966"/>
    </row>
    <row r="17" spans="1:6" s="231" customFormat="1" hidden="1" x14ac:dyDescent="0.25">
      <c r="E17" s="42"/>
      <c r="F17" s="966"/>
    </row>
    <row r="18" spans="1:6" s="231" customFormat="1" hidden="1" x14ac:dyDescent="0.25">
      <c r="E18" s="42"/>
      <c r="F18" s="966"/>
    </row>
    <row r="19" spans="1:6" s="231" customFormat="1" hidden="1" x14ac:dyDescent="0.25">
      <c r="E19" s="42"/>
      <c r="F19" s="966"/>
    </row>
    <row r="20" spans="1:6" s="231" customFormat="1" hidden="1" x14ac:dyDescent="0.25">
      <c r="E20" s="42"/>
      <c r="F20" s="966"/>
    </row>
    <row r="21" spans="1:6" s="231" customFormat="1" hidden="1" x14ac:dyDescent="0.25">
      <c r="E21" s="42"/>
      <c r="F21" s="966"/>
    </row>
    <row r="22" spans="1:6" x14ac:dyDescent="0.25">
      <c r="B22" s="232"/>
      <c r="F22" s="972"/>
    </row>
    <row r="23" spans="1:6" s="33" customFormat="1" ht="13.5" thickBot="1" x14ac:dyDescent="0.25">
      <c r="F23" s="973"/>
    </row>
    <row r="24" spans="1:6" s="33" customFormat="1" ht="13.5" thickBot="1" x14ac:dyDescent="0.25">
      <c r="A24" s="234" t="s">
        <v>121</v>
      </c>
      <c r="B24" s="964" t="s">
        <v>122</v>
      </c>
      <c r="C24" s="236">
        <f>365*12</f>
        <v>4380</v>
      </c>
      <c r="D24" s="237"/>
      <c r="E24" s="238"/>
      <c r="F24" s="973"/>
    </row>
    <row r="25" spans="1:6" s="33" customFormat="1" ht="12.75" x14ac:dyDescent="0.2">
      <c r="A25" s="241"/>
      <c r="B25" s="965" t="s">
        <v>123</v>
      </c>
      <c r="C25" s="243">
        <v>12</v>
      </c>
      <c r="E25" s="139"/>
      <c r="F25" s="974"/>
    </row>
    <row r="26" spans="1:6" s="33" customFormat="1" ht="12.75" x14ac:dyDescent="0.2">
      <c r="A26" s="241"/>
      <c r="B26" s="246" t="s">
        <v>124</v>
      </c>
      <c r="C26" s="247">
        <v>1</v>
      </c>
      <c r="E26" s="139"/>
      <c r="F26" s="974"/>
    </row>
    <row r="27" spans="1:6" s="33" customFormat="1" ht="12.75" x14ac:dyDescent="0.2">
      <c r="A27" s="241"/>
      <c r="E27" s="139"/>
      <c r="F27" s="973"/>
    </row>
    <row r="28" spans="1:6" s="33" customFormat="1" ht="12.75" x14ac:dyDescent="0.2">
      <c r="A28" s="252"/>
      <c r="B28" s="242"/>
      <c r="C28" s="240" t="s">
        <v>66</v>
      </c>
      <c r="D28" s="240" t="s">
        <v>67</v>
      </c>
      <c r="E28" s="253" t="s">
        <v>68</v>
      </c>
      <c r="F28" s="973"/>
    </row>
    <row r="29" spans="1:6" s="33" customFormat="1" ht="12.75" x14ac:dyDescent="0.2">
      <c r="A29" s="258" t="s">
        <v>76</v>
      </c>
      <c r="C29" s="259">
        <f>'M2024 BLS  (53_PCT)'!C28</f>
        <v>101806.432</v>
      </c>
      <c r="D29" s="260">
        <f>C26</f>
        <v>1</v>
      </c>
      <c r="E29" s="261">
        <f>C29*C26</f>
        <v>101806.432</v>
      </c>
      <c r="F29" s="973"/>
    </row>
    <row r="30" spans="1:6" s="33" customFormat="1" ht="12.75" x14ac:dyDescent="0.2">
      <c r="A30" s="258" t="s">
        <v>116</v>
      </c>
      <c r="B30" s="265">
        <f>'M2024 BLS  (53_PCT)'!C38</f>
        <v>0.24970000000000001</v>
      </c>
      <c r="C30" s="32"/>
      <c r="D30" s="32"/>
      <c r="E30" s="261">
        <f>E29*B30</f>
        <v>25421.0660704</v>
      </c>
      <c r="F30" s="975"/>
    </row>
    <row r="31" spans="1:6" s="33" customFormat="1" ht="12.75" x14ac:dyDescent="0.2">
      <c r="A31" s="258" t="s">
        <v>118</v>
      </c>
      <c r="B31" s="265">
        <f>'M2022 BLS  (53_PCT)'!C41</f>
        <v>0.12</v>
      </c>
      <c r="C31" s="32"/>
      <c r="D31" s="32"/>
      <c r="E31" s="261">
        <f>SUM(E29+E30)*B31</f>
        <v>15267.299768448</v>
      </c>
      <c r="F31" s="973"/>
    </row>
    <row r="32" spans="1:6" s="33" customFormat="1" ht="12.75" x14ac:dyDescent="0.2">
      <c r="A32" s="270" t="s">
        <v>91</v>
      </c>
      <c r="B32" s="271"/>
      <c r="C32" s="271"/>
      <c r="D32" s="271"/>
      <c r="E32" s="272">
        <f>SUM(E29:E31)</f>
        <v>142494.797838848</v>
      </c>
      <c r="F32" s="973"/>
    </row>
    <row r="33" spans="1:6" s="33" customFormat="1" ht="13.15" customHeight="1" thickBot="1" x14ac:dyDescent="0.25">
      <c r="A33" s="273" t="s">
        <v>688</v>
      </c>
      <c r="B33" s="274">
        <f>'CAF Spring 2025'!CT26</f>
        <v>2.5282070971092779E-2</v>
      </c>
      <c r="C33" s="275"/>
      <c r="D33" s="276">
        <v>0.9</v>
      </c>
      <c r="E33" s="277">
        <f>E32*(B33+1)/C24/(D33)</f>
        <v>37.06173552278571</v>
      </c>
      <c r="F33" s="965" t="s">
        <v>130</v>
      </c>
    </row>
    <row r="34" spans="1:6" s="33" customFormat="1" ht="12.75" x14ac:dyDescent="0.2">
      <c r="A34" s="246"/>
      <c r="B34" s="279"/>
      <c r="C34" s="204"/>
      <c r="D34" s="204"/>
      <c r="E34" s="280"/>
      <c r="F34" s="976"/>
    </row>
    <row r="35" spans="1:6" s="33" customFormat="1" ht="13.5" thickBot="1" x14ac:dyDescent="0.25">
      <c r="A35" s="269"/>
      <c r="B35" s="281"/>
      <c r="C35" s="282"/>
      <c r="D35" s="283"/>
      <c r="E35" s="284"/>
      <c r="F35" s="973"/>
    </row>
    <row r="36" spans="1:6" s="191" customFormat="1" ht="13.5" hidden="1" thickBot="1" x14ac:dyDescent="0.25">
      <c r="A36" s="209"/>
      <c r="B36" s="192">
        <v>30</v>
      </c>
      <c r="C36" s="285" t="s">
        <v>131</v>
      </c>
      <c r="D36" s="286"/>
      <c r="E36" s="287" t="e">
        <f>E$32/E35</f>
        <v>#DIV/0!</v>
      </c>
      <c r="F36" s="971" t="e">
        <f>ROUND(E36*(1+B$33),2)</f>
        <v>#DIV/0!</v>
      </c>
    </row>
    <row r="37" spans="1:6" s="191" customFormat="1" ht="13.5" hidden="1" thickBot="1" x14ac:dyDescent="0.25">
      <c r="A37" s="209"/>
      <c r="B37" s="192"/>
      <c r="C37" s="285"/>
      <c r="D37" s="286"/>
      <c r="E37" s="287"/>
      <c r="F37" s="971"/>
    </row>
    <row r="38" spans="1:6" s="191" customFormat="1" ht="13.5" hidden="1" thickBot="1" x14ac:dyDescent="0.25">
      <c r="A38" s="209"/>
      <c r="B38" s="192"/>
      <c r="C38" s="285"/>
      <c r="D38" s="286"/>
      <c r="E38" s="287"/>
      <c r="F38" s="971"/>
    </row>
    <row r="39" spans="1:6" s="191" customFormat="1" ht="13.5" hidden="1" thickBot="1" x14ac:dyDescent="0.25">
      <c r="A39" s="209"/>
      <c r="B39" s="192"/>
      <c r="C39" s="285"/>
      <c r="D39" s="286"/>
      <c r="E39" s="287"/>
      <c r="F39" s="971"/>
    </row>
    <row r="40" spans="1:6" s="191" customFormat="1" ht="13.5" hidden="1" thickBot="1" x14ac:dyDescent="0.25">
      <c r="A40" s="209"/>
      <c r="B40" s="192"/>
      <c r="C40" s="285"/>
      <c r="D40" s="286"/>
      <c r="E40" s="287"/>
      <c r="F40" s="971"/>
    </row>
    <row r="41" spans="1:6" s="191" customFormat="1" ht="13.5" hidden="1" thickBot="1" x14ac:dyDescent="0.25">
      <c r="A41" s="209"/>
      <c r="B41" s="192"/>
      <c r="C41" s="285"/>
      <c r="D41" s="286"/>
      <c r="E41" s="287"/>
      <c r="F41" s="971"/>
    </row>
    <row r="42" spans="1:6" s="191" customFormat="1" ht="13.5" hidden="1" thickBot="1" x14ac:dyDescent="0.25">
      <c r="A42" s="209"/>
      <c r="B42" s="192"/>
      <c r="C42" s="285"/>
      <c r="D42" s="286"/>
      <c r="E42" s="287"/>
      <c r="F42" s="971"/>
    </row>
    <row r="43" spans="1:6" s="191" customFormat="1" ht="13.5" hidden="1" thickBot="1" x14ac:dyDescent="0.25">
      <c r="A43" s="209"/>
      <c r="B43" s="192"/>
      <c r="C43" s="285"/>
      <c r="D43" s="286"/>
      <c r="E43" s="287"/>
      <c r="F43" s="971"/>
    </row>
    <row r="44" spans="1:6" s="191" customFormat="1" ht="13.5" hidden="1" thickBot="1" x14ac:dyDescent="0.25">
      <c r="A44" s="209"/>
      <c r="B44" s="192"/>
      <c r="C44" s="285"/>
      <c r="D44" s="286"/>
      <c r="E44" s="287"/>
      <c r="F44" s="971"/>
    </row>
    <row r="45" spans="1:6" s="191" customFormat="1" ht="13.5" hidden="1" thickBot="1" x14ac:dyDescent="0.25">
      <c r="E45" s="284"/>
      <c r="F45" s="966"/>
    </row>
    <row r="46" spans="1:6" s="191" customFormat="1" ht="13.5" hidden="1" thickBot="1" x14ac:dyDescent="0.25">
      <c r="A46" s="33"/>
      <c r="B46" s="33"/>
      <c r="C46" s="33"/>
      <c r="D46" s="33"/>
      <c r="E46" s="284"/>
      <c r="F46" s="973"/>
    </row>
    <row r="47" spans="1:6" s="33" customFormat="1" ht="13.5" thickBot="1" x14ac:dyDescent="0.25">
      <c r="A47" s="234" t="s">
        <v>132</v>
      </c>
      <c r="B47" s="964" t="s">
        <v>122</v>
      </c>
      <c r="C47" s="236">
        <f>365*12</f>
        <v>4380</v>
      </c>
      <c r="D47" s="237"/>
      <c r="E47" s="289"/>
      <c r="F47" s="973"/>
    </row>
    <row r="48" spans="1:6" s="33" customFormat="1" ht="12.75" x14ac:dyDescent="0.2">
      <c r="A48" s="241"/>
      <c r="B48" s="965" t="s">
        <v>123</v>
      </c>
      <c r="C48" s="243">
        <v>12</v>
      </c>
      <c r="E48" s="290"/>
      <c r="F48" s="974"/>
    </row>
    <row r="49" spans="1:6" s="33" customFormat="1" ht="12.75" x14ac:dyDescent="0.2">
      <c r="A49" s="241"/>
      <c r="B49" s="246" t="s">
        <v>124</v>
      </c>
      <c r="C49" s="247">
        <v>1</v>
      </c>
      <c r="E49" s="290"/>
      <c r="F49" s="974"/>
    </row>
    <row r="50" spans="1:6" s="33" customFormat="1" ht="12.75" x14ac:dyDescent="0.2">
      <c r="A50" s="252"/>
      <c r="B50" s="242"/>
      <c r="C50" s="242"/>
      <c r="D50" s="242"/>
      <c r="E50" s="291"/>
      <c r="F50" s="973"/>
    </row>
    <row r="51" spans="1:6" s="33" customFormat="1" ht="12.75" x14ac:dyDescent="0.2">
      <c r="A51" s="252"/>
      <c r="B51" s="242"/>
      <c r="C51" s="240" t="s">
        <v>66</v>
      </c>
      <c r="D51" s="240" t="s">
        <v>67</v>
      </c>
      <c r="E51" s="253" t="s">
        <v>68</v>
      </c>
      <c r="F51" s="973"/>
    </row>
    <row r="52" spans="1:6" s="33" customFormat="1" ht="12.75" x14ac:dyDescent="0.2">
      <c r="A52" s="258" t="s">
        <v>129</v>
      </c>
      <c r="C52" s="259">
        <f>'M2024 BLS  (53_PCT)'!C18</f>
        <v>84174.063999999998</v>
      </c>
      <c r="D52" s="292">
        <f>C49</f>
        <v>1</v>
      </c>
      <c r="E52" s="261">
        <f>C52*C26</f>
        <v>84174.063999999998</v>
      </c>
      <c r="F52" s="973"/>
    </row>
    <row r="53" spans="1:6" s="33" customFormat="1" ht="12.75" x14ac:dyDescent="0.2">
      <c r="A53" s="258" t="s">
        <v>116</v>
      </c>
      <c r="B53" s="265">
        <f>B30</f>
        <v>0.24970000000000001</v>
      </c>
      <c r="C53" s="32"/>
      <c r="D53" s="32"/>
      <c r="E53" s="261">
        <f>E52*B53</f>
        <v>21018.2637808</v>
      </c>
      <c r="F53" s="973"/>
    </row>
    <row r="54" spans="1:6" s="33" customFormat="1" ht="12.75" x14ac:dyDescent="0.2">
      <c r="A54" s="258" t="s">
        <v>118</v>
      </c>
      <c r="B54" s="265">
        <f>'[21]Salary Bench Chart'!C33</f>
        <v>0.12</v>
      </c>
      <c r="C54" s="32"/>
      <c r="D54" s="32"/>
      <c r="E54" s="261">
        <f>SUM(E52+E53)*B54</f>
        <v>12623.079333696</v>
      </c>
      <c r="F54" s="973"/>
    </row>
    <row r="55" spans="1:6" s="33" customFormat="1" ht="12.75" x14ac:dyDescent="0.2">
      <c r="A55" s="270" t="s">
        <v>91</v>
      </c>
      <c r="B55" s="271"/>
      <c r="C55" s="271"/>
      <c r="D55" s="271"/>
      <c r="E55" s="272">
        <f>SUM(E52:E54)</f>
        <v>117815.407114496</v>
      </c>
      <c r="F55" s="973"/>
    </row>
    <row r="56" spans="1:6" s="33" customFormat="1" ht="13.5" thickBot="1" x14ac:dyDescent="0.25">
      <c r="A56" s="273" t="str">
        <f>A33</f>
        <v>CAF baseline</v>
      </c>
      <c r="B56" s="274">
        <f>B33</f>
        <v>2.5282070971092779E-2</v>
      </c>
      <c r="C56" s="275"/>
      <c r="D56" s="276">
        <f>D33</f>
        <v>0.9</v>
      </c>
      <c r="E56" s="277">
        <f>E55*(B56+1)/C47/(D56)</f>
        <v>30.642827143240204</v>
      </c>
      <c r="F56" s="965" t="s">
        <v>130</v>
      </c>
    </row>
    <row r="57" spans="1:6" s="33" customFormat="1" ht="13.15" customHeight="1" x14ac:dyDescent="0.2">
      <c r="B57" s="279"/>
      <c r="C57" s="204"/>
      <c r="D57" s="204"/>
      <c r="E57" s="280"/>
      <c r="F57" s="976"/>
    </row>
    <row r="58" spans="1:6" s="33" customFormat="1" ht="13.5" thickBot="1" x14ac:dyDescent="0.25">
      <c r="A58" s="281"/>
      <c r="B58" s="281"/>
      <c r="C58" s="293"/>
      <c r="D58" s="294"/>
      <c r="E58" s="287"/>
      <c r="F58" s="973"/>
    </row>
    <row r="59" spans="1:6" s="33" customFormat="1" ht="13.5" thickBot="1" x14ac:dyDescent="0.25">
      <c r="A59" s="234" t="s">
        <v>133</v>
      </c>
      <c r="B59" s="964" t="s">
        <v>122</v>
      </c>
      <c r="C59" s="236">
        <f>365*12</f>
        <v>4380</v>
      </c>
      <c r="D59" s="295"/>
      <c r="E59" s="296"/>
      <c r="F59" s="974"/>
    </row>
    <row r="60" spans="1:6" s="33" customFormat="1" ht="13.15" customHeight="1" x14ac:dyDescent="0.2">
      <c r="A60" s="241"/>
      <c r="B60" s="965" t="s">
        <v>123</v>
      </c>
      <c r="C60" s="243">
        <v>12</v>
      </c>
      <c r="E60" s="290"/>
      <c r="F60" s="974"/>
    </row>
    <row r="61" spans="1:6" s="33" customFormat="1" ht="12.75" x14ac:dyDescent="0.2">
      <c r="A61" s="241"/>
      <c r="B61" s="246" t="s">
        <v>124</v>
      </c>
      <c r="C61" s="247">
        <v>1</v>
      </c>
      <c r="E61" s="290"/>
      <c r="F61" s="974"/>
    </row>
    <row r="62" spans="1:6" s="33" customFormat="1" ht="12.75" x14ac:dyDescent="0.2">
      <c r="A62" s="241"/>
      <c r="E62" s="290"/>
      <c r="F62" s="973"/>
    </row>
    <row r="63" spans="1:6" s="33" customFormat="1" ht="12.75" x14ac:dyDescent="0.2">
      <c r="A63" s="252"/>
      <c r="B63" s="242"/>
      <c r="C63" s="240" t="s">
        <v>66</v>
      </c>
      <c r="D63" s="240" t="s">
        <v>67</v>
      </c>
      <c r="E63" s="253" t="s">
        <v>68</v>
      </c>
      <c r="F63" s="973"/>
    </row>
    <row r="64" spans="1:6" s="33" customFormat="1" ht="12.75" x14ac:dyDescent="0.2">
      <c r="A64" s="258" t="s">
        <v>73</v>
      </c>
      <c r="C64" s="259">
        <f>'M2024 BLS  (53_PCT)'!C6</f>
        <v>46842.432000000008</v>
      </c>
      <c r="D64" s="292">
        <v>1</v>
      </c>
      <c r="E64" s="261">
        <f>C64*C61</f>
        <v>46842.432000000008</v>
      </c>
      <c r="F64" s="973"/>
    </row>
    <row r="65" spans="1:6" s="33" customFormat="1" ht="12.75" x14ac:dyDescent="0.2">
      <c r="A65" s="258" t="s">
        <v>116</v>
      </c>
      <c r="B65" s="265">
        <f>B30</f>
        <v>0.24970000000000001</v>
      </c>
      <c r="C65" s="32"/>
      <c r="D65" s="32"/>
      <c r="E65" s="261">
        <f>E64*B65</f>
        <v>11696.555270400002</v>
      </c>
      <c r="F65" s="973"/>
    </row>
    <row r="66" spans="1:6" s="33" customFormat="1" ht="12.75" x14ac:dyDescent="0.2">
      <c r="A66" s="258" t="s">
        <v>118</v>
      </c>
      <c r="B66" s="265">
        <f>'[21]Salary Bench Chart'!C33</f>
        <v>0.12</v>
      </c>
      <c r="C66" s="32"/>
      <c r="D66" s="32"/>
      <c r="E66" s="261">
        <f>SUM(E64+E65)*B66</f>
        <v>7024.6784724480003</v>
      </c>
      <c r="F66" s="973"/>
    </row>
    <row r="67" spans="1:6" s="33" customFormat="1" ht="12.75" x14ac:dyDescent="0.2">
      <c r="A67" s="270" t="s">
        <v>91</v>
      </c>
      <c r="B67" s="271"/>
      <c r="C67" s="271"/>
      <c r="D67" s="271"/>
      <c r="E67" s="272">
        <f>SUM(E64:E66)</f>
        <v>65563.66574284801</v>
      </c>
      <c r="F67" s="973"/>
    </row>
    <row r="68" spans="1:6" s="33" customFormat="1" ht="13.5" thickBot="1" x14ac:dyDescent="0.25">
      <c r="A68" s="273" t="str">
        <f>A56</f>
        <v>CAF baseline</v>
      </c>
      <c r="B68" s="274">
        <f>B56</f>
        <v>2.5282070971092779E-2</v>
      </c>
      <c r="C68" s="275"/>
      <c r="D68" s="276">
        <v>0.9</v>
      </c>
      <c r="E68" s="277">
        <f>E67*(B68+1)/C59/D68</f>
        <v>17.052575087083635</v>
      </c>
      <c r="F68" s="965" t="s">
        <v>130</v>
      </c>
    </row>
    <row r="69" spans="1:6" s="33" customFormat="1" ht="13.15" customHeight="1" x14ac:dyDescent="0.2">
      <c r="B69" s="279"/>
      <c r="C69" s="204"/>
      <c r="D69" s="204"/>
      <c r="E69" s="233"/>
      <c r="F69" s="976"/>
    </row>
    <row r="70" spans="1:6" s="33" customFormat="1" ht="12.75" x14ac:dyDescent="0.2">
      <c r="A70" s="246"/>
      <c r="B70" s="279"/>
      <c r="C70" s="204"/>
      <c r="D70" s="204"/>
      <c r="E70" s="223"/>
      <c r="F70" s="973"/>
    </row>
    <row r="71" spans="1:6" s="33" customFormat="1" x14ac:dyDescent="0.25">
      <c r="A71" s="42"/>
      <c r="B71" s="42"/>
      <c r="C71" s="42"/>
      <c r="D71" s="42"/>
      <c r="E71" s="42"/>
      <c r="F71" s="973"/>
    </row>
  </sheetData>
  <mergeCells count="1">
    <mergeCell ref="H7:I7"/>
  </mergeCells>
  <printOptions horizontalCentered="1"/>
  <pageMargins left="0" right="0" top="0.56999999999999995" bottom="0.37" header="0.32" footer="0.23"/>
  <pageSetup orientation="portrait" r:id="rId1"/>
  <headerFooter alignWithMargins="0">
    <oddHeader>&amp;C&amp;"Arial,Bold Italic"&amp;20YOUTH INTERMEDIATE TERM ADD-ON  RATES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1525-7BEB-4943-B9E8-911ADD29325B}">
  <dimension ref="A1:M57"/>
  <sheetViews>
    <sheetView topLeftCell="A13" workbookViewId="0">
      <selection activeCell="G39" sqref="G39"/>
    </sheetView>
  </sheetViews>
  <sheetFormatPr defaultRowHeight="12" x14ac:dyDescent="0.2"/>
  <cols>
    <col min="1" max="1" width="30.75" style="823" bestFit="1" customWidth="1"/>
    <col min="2" max="3" width="9" style="823"/>
    <col min="4" max="4" width="12.25" style="823" bestFit="1" customWidth="1"/>
    <col min="5" max="5" width="11.75" style="823" bestFit="1" customWidth="1"/>
    <col min="6" max="6" width="18.125" style="823" bestFit="1" customWidth="1"/>
    <col min="7" max="7" width="14.75" style="823" bestFit="1" customWidth="1"/>
    <col min="8" max="8" width="9" style="823"/>
    <col min="9" max="9" width="9.875" style="823" bestFit="1" customWidth="1"/>
    <col min="10" max="10" width="10.125" style="823" bestFit="1" customWidth="1"/>
    <col min="11" max="11" width="3.25" style="823" customWidth="1"/>
    <col min="12" max="16384" width="9" style="823"/>
  </cols>
  <sheetData>
    <row r="1" spans="1:6" x14ac:dyDescent="0.2">
      <c r="A1" s="822">
        <v>11</v>
      </c>
      <c r="C1" s="824" t="s">
        <v>365</v>
      </c>
      <c r="E1" s="825">
        <f ca="1">IF(COUNT(E12:E300)=0,"-",AVERAGE(E12:OFFSET(E12,$A$1-1,0)))</f>
        <v>23570.735094972744</v>
      </c>
    </row>
    <row r="2" spans="1:6" x14ac:dyDescent="0.2">
      <c r="C2" s="824" t="s">
        <v>134</v>
      </c>
      <c r="E2" s="825">
        <f ca="1">IF(COUNT(E12:E300)=0,"-",E1-(2*_xlfn.STDEV.P(E12:OFFSET(E12,$A$1-1,0))))</f>
        <v>-12929.341741197455</v>
      </c>
    </row>
    <row r="3" spans="1:6" x14ac:dyDescent="0.2">
      <c r="A3" s="1068" t="s">
        <v>668</v>
      </c>
      <c r="C3" s="824" t="s">
        <v>135</v>
      </c>
      <c r="E3" s="825">
        <f ca="1">IF(COUNT(E12:E300)=0,"-",E1+(2*_xlfn.STDEV.P(E12:OFFSET(E12,$A$1-1,0))))</f>
        <v>60070.811931142947</v>
      </c>
    </row>
    <row r="4" spans="1:6" x14ac:dyDescent="0.2">
      <c r="A4" s="1068"/>
      <c r="C4" s="824" t="s">
        <v>136</v>
      </c>
      <c r="E4" s="826">
        <f ca="1">IF(COUNT(E12:E300)=0,"-",AVERAGEIFS(E12:E300, E12:E300, "&gt;="&amp;E2,E12:E300,"&lt;="&amp;E3))</f>
        <v>23570.735094972744</v>
      </c>
    </row>
    <row r="5" spans="1:6" x14ac:dyDescent="0.2">
      <c r="A5" s="1068"/>
      <c r="C5" s="824" t="s">
        <v>137</v>
      </c>
      <c r="E5" s="827">
        <f ca="1">IF(COUNT(E12:E300)=0,"-",SUMIFS(D12:D300,E12:E300,"&gt;="&amp;E2,E12:E300,"&lt;="&amp;E3)/SUMIFS($B12:$B300,E12:E300,"&gt;="&amp;E2,E12:E300,"&lt;="&amp;E3))</f>
        <v>27926.715346095465</v>
      </c>
    </row>
    <row r="6" spans="1:6" x14ac:dyDescent="0.2">
      <c r="A6" s="1068"/>
      <c r="C6" s="824" t="s">
        <v>367</v>
      </c>
      <c r="E6" s="828">
        <f ca="1">IF(COUNT(E12:E300)=0,"-",SUMIFS(E12:E300, E12:E300, "&gt;="&amp;E2,E12:E300,"&lt;="&amp;E3)/($A$1-COUNTIF(E12:E300,"&lt;"&amp;E$2)-COUNTIF(E12:E300,"&gt;"&amp;E$3)))</f>
        <v>14999.558696800837</v>
      </c>
    </row>
    <row r="9" spans="1:6" x14ac:dyDescent="0.2">
      <c r="D9" s="829" t="s">
        <v>138</v>
      </c>
      <c r="E9" s="830"/>
    </row>
    <row r="10" spans="1:6" ht="24" x14ac:dyDescent="0.2">
      <c r="A10" s="831"/>
      <c r="B10" s="832"/>
      <c r="D10" s="833" t="s">
        <v>145</v>
      </c>
      <c r="E10" s="834" t="str">
        <f>D10&amp;"
per FTE"</f>
        <v>Total Occupancy
per FTE</v>
      </c>
    </row>
    <row r="11" spans="1:6" x14ac:dyDescent="0.2">
      <c r="A11" s="829" t="s">
        <v>143</v>
      </c>
      <c r="B11" s="848" t="s">
        <v>144</v>
      </c>
      <c r="C11" s="849"/>
      <c r="D11" s="850" t="s">
        <v>151</v>
      </c>
      <c r="E11" s="851"/>
    </row>
    <row r="12" spans="1:6" x14ac:dyDescent="0.2">
      <c r="A12" s="829" t="s">
        <v>666</v>
      </c>
      <c r="B12" s="823">
        <v>5.4610000000000003</v>
      </c>
      <c r="D12" s="839"/>
      <c r="E12" s="837" t="str">
        <f>IF(OR($B12=0,D12=0),"",D12/$B12)</f>
        <v/>
      </c>
      <c r="F12" s="823" t="s">
        <v>669</v>
      </c>
    </row>
    <row r="13" spans="1:6" x14ac:dyDescent="0.2">
      <c r="A13" s="829" t="s">
        <v>377</v>
      </c>
      <c r="B13" s="835">
        <v>11.22</v>
      </c>
      <c r="D13" s="836">
        <v>209182</v>
      </c>
      <c r="E13" s="837">
        <f t="shared" ref="E13:E22" si="0">IF(OR($B13=0,D13=0),"",D13/$B13)</f>
        <v>18643.67201426025</v>
      </c>
    </row>
    <row r="14" spans="1:6" x14ac:dyDescent="0.2">
      <c r="A14" s="838"/>
      <c r="B14" s="823">
        <v>2.08</v>
      </c>
      <c r="D14" s="839">
        <v>3326</v>
      </c>
      <c r="E14" s="837">
        <f t="shared" si="0"/>
        <v>1599.0384615384614</v>
      </c>
    </row>
    <row r="15" spans="1:6" x14ac:dyDescent="0.2">
      <c r="A15" s="829" t="s">
        <v>667</v>
      </c>
      <c r="B15" s="835">
        <v>0.41660000000000003</v>
      </c>
      <c r="D15" s="836"/>
      <c r="E15" s="837" t="str">
        <f t="shared" si="0"/>
        <v/>
      </c>
    </row>
    <row r="16" spans="1:6" x14ac:dyDescent="0.2">
      <c r="A16" s="829" t="s">
        <v>150</v>
      </c>
      <c r="B16" s="835">
        <v>10.69</v>
      </c>
      <c r="D16" s="836">
        <v>246514</v>
      </c>
      <c r="E16" s="837">
        <f t="shared" si="0"/>
        <v>23060.243217960713</v>
      </c>
    </row>
    <row r="17" spans="1:10" x14ac:dyDescent="0.2">
      <c r="A17" s="838"/>
      <c r="B17" s="823">
        <v>1.05</v>
      </c>
      <c r="D17" s="839"/>
      <c r="E17" s="837" t="str">
        <f t="shared" si="0"/>
        <v/>
      </c>
    </row>
    <row r="18" spans="1:10" x14ac:dyDescent="0.2">
      <c r="A18" s="829" t="s">
        <v>152</v>
      </c>
      <c r="B18" s="835">
        <v>11.9385720327325</v>
      </c>
      <c r="D18" s="836">
        <v>282208</v>
      </c>
      <c r="E18" s="837">
        <f t="shared" si="0"/>
        <v>23638.337920670754</v>
      </c>
    </row>
    <row r="19" spans="1:10" x14ac:dyDescent="0.2">
      <c r="A19" s="838"/>
      <c r="B19" s="823">
        <v>0.12590144230769201</v>
      </c>
      <c r="D19" s="839"/>
      <c r="E19" s="837" t="str">
        <f t="shared" si="0"/>
        <v/>
      </c>
    </row>
    <row r="20" spans="1:10" x14ac:dyDescent="0.2">
      <c r="A20" s="838"/>
      <c r="B20" s="823">
        <v>1.92546069945481</v>
      </c>
      <c r="D20" s="839">
        <v>554</v>
      </c>
      <c r="E20" s="837">
        <f t="shared" si="0"/>
        <v>287.7233485767141</v>
      </c>
    </row>
    <row r="21" spans="1:10" x14ac:dyDescent="0.2">
      <c r="A21" s="829" t="s">
        <v>153</v>
      </c>
      <c r="B21" s="852">
        <v>9.1</v>
      </c>
      <c r="C21" s="853"/>
      <c r="D21" s="854">
        <v>439753</v>
      </c>
      <c r="E21" s="855">
        <f t="shared" si="0"/>
        <v>48324.505494505494</v>
      </c>
    </row>
    <row r="22" spans="1:10" x14ac:dyDescent="0.2">
      <c r="A22" s="829" t="s">
        <v>154</v>
      </c>
      <c r="B22" s="856">
        <v>6.03</v>
      </c>
      <c r="C22" s="857"/>
      <c r="D22" s="858">
        <v>298133</v>
      </c>
      <c r="E22" s="859">
        <f t="shared" si="0"/>
        <v>49441.625207296849</v>
      </c>
    </row>
    <row r="28" spans="1:10" x14ac:dyDescent="0.2">
      <c r="I28" s="823" t="s">
        <v>368</v>
      </c>
      <c r="J28" s="840">
        <v>41888</v>
      </c>
    </row>
    <row r="29" spans="1:10" x14ac:dyDescent="0.2">
      <c r="I29" s="823" t="s">
        <v>277</v>
      </c>
      <c r="J29" s="841">
        <f>'CSN Models 2024'!H21</f>
        <v>0</v>
      </c>
    </row>
    <row r="30" spans="1:10" x14ac:dyDescent="0.2">
      <c r="I30" s="823" t="s">
        <v>376</v>
      </c>
      <c r="J30" s="842">
        <f>'CAF Spring 2025'!CT26</f>
        <v>2.5282070971092779E-2</v>
      </c>
    </row>
    <row r="31" spans="1:10" x14ac:dyDescent="0.2">
      <c r="I31" s="823" t="s">
        <v>54</v>
      </c>
      <c r="J31" s="823">
        <f>'CSN Models 2026'!C5</f>
        <v>272</v>
      </c>
    </row>
    <row r="33" spans="6:13" x14ac:dyDescent="0.2">
      <c r="G33" s="823" t="s">
        <v>369</v>
      </c>
      <c r="H33" s="823" t="s">
        <v>674</v>
      </c>
      <c r="J33" s="843"/>
    </row>
    <row r="34" spans="6:13" x14ac:dyDescent="0.2">
      <c r="J34" s="843"/>
      <c r="L34" s="823" t="s">
        <v>378</v>
      </c>
    </row>
    <row r="35" spans="6:13" x14ac:dyDescent="0.2">
      <c r="G35" s="823" t="s">
        <v>370</v>
      </c>
      <c r="H35" s="823" t="s">
        <v>371</v>
      </c>
      <c r="I35" s="844" t="s">
        <v>372</v>
      </c>
      <c r="J35" s="843"/>
      <c r="L35" s="823" t="s">
        <v>373</v>
      </c>
    </row>
    <row r="36" spans="6:13" x14ac:dyDescent="0.2">
      <c r="F36" s="823" t="s">
        <v>264</v>
      </c>
      <c r="G36" s="860">
        <f>SUM(D13:D15)</f>
        <v>212508</v>
      </c>
      <c r="H36" s="845">
        <f>G36/J28</f>
        <v>5.0732429335370508</v>
      </c>
      <c r="I36" s="906">
        <f>'CSN Models 2026'!C4</f>
        <v>154</v>
      </c>
      <c r="J36" s="847">
        <f>J31*I36</f>
        <v>41888</v>
      </c>
      <c r="K36" s="845"/>
      <c r="L36" s="845">
        <v>11.42</v>
      </c>
      <c r="M36" s="845"/>
    </row>
    <row r="37" spans="6:13" x14ac:dyDescent="0.2">
      <c r="F37" s="823" t="s">
        <v>265</v>
      </c>
      <c r="G37" s="860">
        <f>D16</f>
        <v>246514</v>
      </c>
      <c r="H37" s="845">
        <f>G37/J28</f>
        <v>5.8850744843391904</v>
      </c>
      <c r="I37" s="846">
        <f>'CSN Models 2026'!I4</f>
        <v>158</v>
      </c>
      <c r="J37" s="847">
        <f>J31*I37</f>
        <v>42976</v>
      </c>
      <c r="K37" s="845"/>
      <c r="L37" s="845">
        <v>4.2640135599694426</v>
      </c>
      <c r="M37" s="845"/>
    </row>
    <row r="38" spans="6:13" x14ac:dyDescent="0.2">
      <c r="F38" s="823" t="s">
        <v>303</v>
      </c>
      <c r="G38" s="860">
        <f>D18+D20</f>
        <v>282762</v>
      </c>
      <c r="H38" s="861">
        <f>G38/J28</f>
        <v>6.7504297173414818</v>
      </c>
      <c r="I38" s="846">
        <f>'CSN Models 2026'!O4</f>
        <v>137</v>
      </c>
      <c r="J38" s="847">
        <f>J31*I38</f>
        <v>37264</v>
      </c>
      <c r="K38" s="845"/>
      <c r="L38" s="845">
        <v>6.22</v>
      </c>
      <c r="M38" s="845"/>
    </row>
    <row r="39" spans="6:13" x14ac:dyDescent="0.2">
      <c r="F39" s="823" t="s">
        <v>374</v>
      </c>
      <c r="G39" s="860">
        <f>D22</f>
        <v>298133</v>
      </c>
      <c r="H39" s="845">
        <f>G39/J28</f>
        <v>7.1173844537815123</v>
      </c>
      <c r="I39" s="846">
        <f>'CSN Models 2026'!AA4</f>
        <v>114</v>
      </c>
      <c r="J39" s="847">
        <f>J31*I39</f>
        <v>31008</v>
      </c>
      <c r="K39" s="845"/>
      <c r="L39" s="845">
        <v>5.3796791443850269</v>
      </c>
      <c r="M39" s="845"/>
    </row>
    <row r="40" spans="6:13" x14ac:dyDescent="0.2">
      <c r="F40" s="823" t="s">
        <v>375</v>
      </c>
      <c r="G40" s="860">
        <f>D21</f>
        <v>439753</v>
      </c>
      <c r="H40" s="845">
        <f>G40/J28</f>
        <v>10.498305003819709</v>
      </c>
      <c r="I40" s="846">
        <f>'CSN Models 2026'!U4</f>
        <v>111</v>
      </c>
      <c r="J40" s="847">
        <f>J31*I40</f>
        <v>30192</v>
      </c>
      <c r="K40" s="845"/>
      <c r="L40" s="845">
        <v>20.798510313216195</v>
      </c>
      <c r="M40" s="845"/>
    </row>
    <row r="44" spans="6:13" x14ac:dyDescent="0.2">
      <c r="F44" s="862" t="str">
        <f>F36</f>
        <v>Western Region</v>
      </c>
    </row>
    <row r="45" spans="6:13" x14ac:dyDescent="0.2">
      <c r="F45" s="863" t="str">
        <f>A13</f>
        <v>Center for Human Development</v>
      </c>
    </row>
    <row r="47" spans="6:13" x14ac:dyDescent="0.2">
      <c r="F47" s="862" t="str">
        <f>F37</f>
        <v>Northeast Region</v>
      </c>
    </row>
    <row r="48" spans="6:13" x14ac:dyDescent="0.2">
      <c r="F48" s="863" t="str">
        <f>A16</f>
        <v>NFI Massachusetts, Inc</v>
      </c>
    </row>
    <row r="50" spans="6:6" x14ac:dyDescent="0.2">
      <c r="F50" s="862" t="str">
        <f>F38</f>
        <v>Southeast Region</v>
      </c>
    </row>
    <row r="51" spans="6:6" x14ac:dyDescent="0.2">
      <c r="F51" s="863" t="str">
        <f>A18</f>
        <v>Old Colony Y</v>
      </c>
    </row>
    <row r="53" spans="6:6" x14ac:dyDescent="0.2">
      <c r="F53" s="862" t="str">
        <f>F39</f>
        <v>Central Region</v>
      </c>
    </row>
    <row r="54" spans="6:6" x14ac:dyDescent="0.2">
      <c r="F54" s="863" t="str">
        <f>A22</f>
        <v>Seven Hills Foundation and Affiliates</v>
      </c>
    </row>
    <row r="56" spans="6:6" x14ac:dyDescent="0.2">
      <c r="F56" s="862" t="str">
        <f>F40</f>
        <v>Metro Boston Region</v>
      </c>
    </row>
    <row r="57" spans="6:6" x14ac:dyDescent="0.2">
      <c r="F57" s="863" t="str">
        <f>A21</f>
        <v>Roxbury Youthworks Inc.</v>
      </c>
    </row>
  </sheetData>
  <mergeCells count="1">
    <mergeCell ref="A3:A6"/>
  </mergeCells>
  <conditionalFormatting sqref="E12:E22">
    <cfRule type="expression" dxfId="11" priority="1">
      <formula>AND(LEN(E12)&gt;0,OR(E12&lt;E$2,E12&gt;E$3))</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M2022 BLS  (53_PCT)</vt:lpstr>
      <vt:lpstr>Fiscal Impact</vt:lpstr>
      <vt:lpstr>M2024 BLS  (53_PCT)</vt:lpstr>
      <vt:lpstr>Rate Chart</vt:lpstr>
      <vt:lpstr>Youth Res Models 2026</vt:lpstr>
      <vt:lpstr>TILP Models (A&amp;B) 2026</vt:lpstr>
      <vt:lpstr> Add-Ons (DC &amp; Clinical 2024)</vt:lpstr>
      <vt:lpstr> Add-Ons (DC &amp; Clinical 2026</vt:lpstr>
      <vt:lpstr>FY24 UFR CSN</vt:lpstr>
      <vt:lpstr>CSN Models 2026</vt:lpstr>
      <vt:lpstr>CSN Add On Rates 2026</vt:lpstr>
      <vt:lpstr>READY 2514 (FY26)</vt:lpstr>
      <vt:lpstr>CAF Spring 2025</vt:lpstr>
      <vt:lpstr>CAF Spring 2023</vt:lpstr>
      <vt:lpstr>Fiscal Impact2</vt:lpstr>
      <vt:lpstr>Youth Res Models 2024</vt:lpstr>
      <vt:lpstr>TILP Models (A&amp;B) 2024</vt:lpstr>
      <vt:lpstr>CSN Models 2024</vt:lpstr>
      <vt:lpstr>CSN Add On Rates 2024</vt:lpstr>
      <vt:lpstr>FY21 UFR CSN</vt:lpstr>
      <vt:lpstr>READY 2514 (FY24)</vt:lpstr>
      <vt:lpstr>FY24 UFR TILP-Youth</vt:lpstr>
      <vt:lpstr>FY21 UFR TILP-YOUTH</vt:lpstr>
      <vt:lpstr>' Add-Ons (DC &amp; Clinical 2024)'!Print_Area</vt:lpstr>
      <vt:lpstr>' Add-Ons (DC &amp; Clinical 2026'!Print_Area</vt:lpstr>
      <vt:lpstr>'CSN Models 2024'!Print_Area</vt:lpstr>
      <vt:lpstr>'CSN Models 2026'!Print_Area</vt:lpstr>
      <vt:lpstr>'Fiscal Impact'!Print_Area</vt:lpstr>
      <vt:lpstr>'Fiscal Impact2'!Print_Area</vt:lpstr>
      <vt:lpstr>'M2022 BLS  (53_PCT)'!Print_Area</vt:lpstr>
      <vt:lpstr>'M2024 BLS  (53_PCT)'!Print_Area</vt:lpstr>
      <vt:lpstr>'READY 2514 (FY24)'!Print_Area</vt:lpstr>
      <vt:lpstr>'READY 2514 (FY26)'!Print_Area</vt:lpstr>
      <vt:lpstr>'TILP Models (A&amp;B) 2024'!Print_Area</vt:lpstr>
      <vt:lpstr>'TILP Models (A&amp;B) 2026'!Print_Area</vt:lpstr>
      <vt:lpstr>'Youth Res Models 2024'!Print_Area</vt:lpstr>
      <vt:lpstr>'Youth Res Models 2026'!Print_Area</vt:lpstr>
      <vt:lpstr>'CAF Spring 2023'!Print_Titles</vt:lpstr>
      <vt:lpstr>'CAF Spring 2025'!Print_Titles</vt:lpstr>
      <vt:lpstr>'Fiscal Impact'!Print_Titles</vt:lpstr>
      <vt:lpstr>'Fiscal Impact2'!Print_Titles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2021-10-15T15:15:37Z</dcterms:created>
  <dcterms:modified xsi:type="dcterms:W3CDTF">2026-01-15T15:43:47Z</dcterms:modified>
</cp:coreProperties>
</file>