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EHS/"/>
    </mc:Choice>
  </mc:AlternateContent>
  <xr:revisionPtr revIDLastSave="0" documentId="8_{05F9C471-79A1-4228-97EE-B3703673F772}" xr6:coauthVersionLast="46" xr6:coauthVersionMax="46" xr10:uidLastSave="{00000000-0000-0000-0000-000000000000}"/>
  <bookViews>
    <workbookView xWindow="3510" yWindow="600" windowWidth="20790" windowHeight="15600" xr2:uid="{00000000-000D-0000-FFFF-FFFF00000000}"/>
  </bookViews>
  <sheets>
    <sheet name="2020 BLS Chart" sheetId="1" r:id="rId1"/>
    <sheet name="Youth Res Rate Models(2022)" sheetId="2" r:id="rId2"/>
    <sheet name="TILP Rates (A&amp;B) 2022" sheetId="3" r:id="rId3"/>
    <sheet name=" Add-Ons (DC &amp; Clinical (2022)" sheetId="4" r:id="rId4"/>
    <sheet name="FY20 UFR Data" sheetId="5" r:id="rId5"/>
    <sheet name="CAF Spring 2021" sheetId="6" r:id="rId6"/>
    <sheet name="2022 CSN Model Budgets " sheetId="7" r:id="rId7"/>
    <sheet name="CSN Add On Rates " sheetId="8" r:id="rId8"/>
    <sheet name="READY review-2514 (FY22)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lldata" localSheetId="0">#REF!</definedName>
    <definedName name="alldata" localSheetId="6">#REF!</definedName>
    <definedName name="alldata">#REF!</definedName>
    <definedName name="alled" localSheetId="0">#REF!</definedName>
    <definedName name="alled">#REF!</definedName>
    <definedName name="allstem" localSheetId="0">#REF!</definedName>
    <definedName name="allstem">#REF!</definedName>
    <definedName name="asdfasd" localSheetId="6">'[1]Complete UFR List'!#REF!</definedName>
    <definedName name="asdfasd">'[1]Complete UFR List'!#REF!</definedName>
    <definedName name="asdfasdf" localSheetId="3">#REF!</definedName>
    <definedName name="asdfasdf">#REF!</definedName>
    <definedName name="Average" localSheetId="3">#REF!</definedName>
    <definedName name="Average">#REF!</definedName>
    <definedName name="CAF_NEW">[2]RawDataCalcs!$L$70:$DB$70</definedName>
    <definedName name="Cap">[3]RawDataCalcs!$L$70:$DB$70</definedName>
    <definedName name="Data" localSheetId="3">#REF!</definedName>
    <definedName name="Data">#REF!</definedName>
    <definedName name="Floor">[3]RawDataCalcs!$L$69:$DB$69</definedName>
    <definedName name="Funds">'[4]RawDataCalcs3386&amp;3401'!$L$68:$DB$68</definedName>
    <definedName name="gk" localSheetId="3">#REF!</definedName>
    <definedName name="gk" localSheetId="6">#REF!</definedName>
    <definedName name="gk" localSheetId="8">#REF!</definedName>
    <definedName name="gk" localSheetId="2">#REF!</definedName>
    <definedName name="gk" localSheetId="1">#REF!</definedName>
    <definedName name="gk">#REF!</definedName>
    <definedName name="hhh" localSheetId="3">#REF!</definedName>
    <definedName name="hhh">#REF!</definedName>
    <definedName name="JailDAverage" localSheetId="3">#REF!</definedName>
    <definedName name="JailDAverage">#REF!</definedName>
    <definedName name="JailDCap">[5]ALLRawDataCalcs!$L$80:$DB$80</definedName>
    <definedName name="JailDFloor">[5]ALLRawDataCalcs!$L$79:$DB$79</definedName>
    <definedName name="JailDgk" localSheetId="3">#REF!</definedName>
    <definedName name="JailDgk">#REF!</definedName>
    <definedName name="JailDMax" localSheetId="3">#REF!</definedName>
    <definedName name="JailDMax">#REF!</definedName>
    <definedName name="JailDMedian" localSheetId="3">#REF!</definedName>
    <definedName name="JailDMedian">#REF!</definedName>
    <definedName name="jm" localSheetId="6">'[1]Complete UFR List'!#REF!</definedName>
    <definedName name="jm">'[1]Complete UFR List'!#REF!</definedName>
    <definedName name="kls" localSheetId="3">#REF!</definedName>
    <definedName name="kls" localSheetId="6">#REF!</definedName>
    <definedName name="kls">#REF!</definedName>
    <definedName name="ListProviders">'[6]List of Programs'!$A$24:$A$29</definedName>
    <definedName name="Max" localSheetId="3">#REF!</definedName>
    <definedName name="Max">#REF!</definedName>
    <definedName name="Median" localSheetId="3">#REF!</definedName>
    <definedName name="Median">#REF!</definedName>
    <definedName name="Min" localSheetId="3">#REF!</definedName>
    <definedName name="Min">#REF!</definedName>
    <definedName name="MT" localSheetId="3">#REF!</definedName>
    <definedName name="MT">#REF!</definedName>
    <definedName name="new" localSheetId="3">#REF!</definedName>
    <definedName name="new">#REF!</definedName>
    <definedName name="ok" localSheetId="3">#REF!</definedName>
    <definedName name="ok">#REF!</definedName>
    <definedName name="_xlnm.Print_Area" localSheetId="3">' Add-Ons (DC &amp; Clinical (2022)'!$A$22:$H$75</definedName>
    <definedName name="_xlnm.Print_Area" localSheetId="0">'2020 BLS Chart'!$B$1:$G$36</definedName>
    <definedName name="_xlnm.Print_Area" localSheetId="6">'2022 CSN Model Budgets '!$F$35:$P$97</definedName>
    <definedName name="_xlnm.Print_Area" localSheetId="8">'READY review-2514 (FY22)'!$C$2:$T$27</definedName>
    <definedName name="_xlnm.Print_Area" localSheetId="2">'TILP Rates (A&amp;B) 2022'!$A$1:$AD$87</definedName>
    <definedName name="_xlnm.Print_Area" localSheetId="1">'Youth Res Rate Models(2022)'!$A$1:$W$146</definedName>
    <definedName name="_xlnm.Print_Titles" localSheetId="5">'CAF Spring 2021'!$A:$A</definedName>
    <definedName name="Program_File" localSheetId="3">#REF!</definedName>
    <definedName name="Program_File" localSheetId="6">#REF!</definedName>
    <definedName name="Program_File">#REF!</definedName>
    <definedName name="Programs">'[6]List of Programs'!$B$3:$B$19</definedName>
    <definedName name="ProvFTE">'[7]FTE Data'!$A$3:$AW$56</definedName>
    <definedName name="PurchasedBy">'[7]FTE Data'!$C$263:$AZ$657</definedName>
    <definedName name="resmay2007" localSheetId="3">#REF!</definedName>
    <definedName name="resmay2007" localSheetId="6">#REF!</definedName>
    <definedName name="resmay2007">#REF!</definedName>
    <definedName name="sheet1" localSheetId="6">#REF!</definedName>
    <definedName name="sheet1">#REF!</definedName>
    <definedName name="Site_list">[7]Lists!$A$2:$A$53</definedName>
    <definedName name="Source" localSheetId="3">#REF!</definedName>
    <definedName name="Source" localSheetId="6">#REF!</definedName>
    <definedName name="Source">#REF!</definedName>
    <definedName name="Source_2" localSheetId="3">#REF!</definedName>
    <definedName name="Source_2" localSheetId="6">#REF!</definedName>
    <definedName name="Source_2">#REF!</definedName>
    <definedName name="SourcePathAndFileName" localSheetId="3">#REF!</definedName>
    <definedName name="SourcePathAndFileName" localSheetId="6">#REF!</definedName>
    <definedName name="SourcePathAndFileName">#REF!</definedName>
    <definedName name="Total_UFR" localSheetId="3">#REF!</definedName>
    <definedName name="Total_UFR" localSheetId="6">#REF!</definedName>
    <definedName name="Total_UFR" localSheetId="8">#REF!</definedName>
    <definedName name="Total_UFR">#REF!</definedName>
    <definedName name="Total_UFRs" localSheetId="3">#REF!</definedName>
    <definedName name="Total_UFRs">#REF!</definedName>
    <definedName name="Total_UFRs_" localSheetId="3">#REF!</definedName>
    <definedName name="Total_UFRs_">#REF!</definedName>
    <definedName name="UFR" localSheetId="3">'[1]Complete UFR List'!#REF!</definedName>
    <definedName name="UFR" localSheetId="6">'[1]Complete UFR List'!#REF!</definedName>
    <definedName name="UFR">'[1]Complete UFR List'!#REF!</definedName>
    <definedName name="UFRS" localSheetId="3">'[1]Complete UFR List'!#REF!</definedName>
    <definedName name="UFRS" localSheetId="6">'[1]Complete UFR List'!#REF!</definedName>
    <definedName name="UFRS">'[1]Complete UFR List'!#REF!</definedName>
    <definedName name="UPDATE" localSheetId="6">'[1]Complete UFR List'!#REF!</definedName>
    <definedName name="UPDATE">'[1]Complete UFR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9" l="1"/>
  <c r="K18" i="9"/>
  <c r="E18" i="9"/>
  <c r="Q17" i="9"/>
  <c r="E22" i="9" s="1"/>
  <c r="E15" i="9"/>
  <c r="K12" i="9"/>
  <c r="E12" i="9"/>
  <c r="E11" i="9"/>
  <c r="C11" i="9"/>
  <c r="P9" i="9"/>
  <c r="L8" i="9"/>
  <c r="L10" i="9" s="1"/>
  <c r="M15" i="9" s="1"/>
  <c r="K8" i="9"/>
  <c r="M8" i="9" s="1"/>
  <c r="M10" i="9" s="1"/>
  <c r="M12" i="9" s="1"/>
  <c r="M13" i="9" s="1"/>
  <c r="F8" i="9"/>
  <c r="F10" i="9" s="1"/>
  <c r="C7" i="9"/>
  <c r="M4" i="9"/>
  <c r="G4" i="9"/>
  <c r="C6" i="8"/>
  <c r="B6" i="8"/>
  <c r="H92" i="7"/>
  <c r="J68" i="7"/>
  <c r="J82" i="7" s="1"/>
  <c r="N60" i="7"/>
  <c r="H60" i="7"/>
  <c r="P36" i="7"/>
  <c r="P50" i="7" s="1"/>
  <c r="J36" i="7"/>
  <c r="C32" i="7"/>
  <c r="H31" i="7" s="1"/>
  <c r="N31" i="7" s="1"/>
  <c r="H28" i="7"/>
  <c r="N28" i="7" s="1"/>
  <c r="F28" i="7"/>
  <c r="H27" i="7"/>
  <c r="N27" i="7" s="1"/>
  <c r="J24" i="7"/>
  <c r="P24" i="7" s="1"/>
  <c r="J23" i="7"/>
  <c r="J55" i="7" s="1"/>
  <c r="J22" i="7"/>
  <c r="P22" i="7" s="1"/>
  <c r="J21" i="7"/>
  <c r="J53" i="7" s="1"/>
  <c r="J20" i="7"/>
  <c r="P20" i="7" s="1"/>
  <c r="J50" i="7"/>
  <c r="N16" i="7"/>
  <c r="C13" i="7"/>
  <c r="I9" i="7" s="1"/>
  <c r="O9" i="7" s="1"/>
  <c r="I11" i="7"/>
  <c r="O11" i="7" s="1"/>
  <c r="F11" i="7"/>
  <c r="I10" i="7"/>
  <c r="O10" i="7" s="1"/>
  <c r="F10" i="7"/>
  <c r="F9" i="7"/>
  <c r="H13" i="7"/>
  <c r="H45" i="7" s="1"/>
  <c r="N45" i="7" s="1"/>
  <c r="P45" i="7" s="1"/>
  <c r="I8" i="7"/>
  <c r="F8" i="7"/>
  <c r="H10" i="7"/>
  <c r="P4" i="7"/>
  <c r="P18" i="7" s="1"/>
  <c r="J4" i="7"/>
  <c r="J18" i="7" s="1"/>
  <c r="BZ37" i="6"/>
  <c r="BY37" i="6"/>
  <c r="BX37" i="6"/>
  <c r="BW37" i="6"/>
  <c r="BV37" i="6"/>
  <c r="BU37" i="6"/>
  <c r="BT37" i="6"/>
  <c r="BS37" i="6"/>
  <c r="BZ36" i="6"/>
  <c r="BY36" i="6"/>
  <c r="BX36" i="6"/>
  <c r="BW36" i="6"/>
  <c r="BV36" i="6"/>
  <c r="BU36" i="6"/>
  <c r="BT36" i="6"/>
  <c r="BS36" i="6"/>
  <c r="BS33" i="6"/>
  <c r="CB33" i="6" s="1"/>
  <c r="BS32" i="6"/>
  <c r="BZ22" i="6"/>
  <c r="BY22" i="6"/>
  <c r="BX22" i="6"/>
  <c r="BW22" i="6"/>
  <c r="BV22" i="6"/>
  <c r="BU22" i="6"/>
  <c r="BT22" i="6"/>
  <c r="BS22" i="6"/>
  <c r="BZ21" i="6"/>
  <c r="BY21" i="6"/>
  <c r="BX21" i="6"/>
  <c r="BW21" i="6"/>
  <c r="BV21" i="6"/>
  <c r="BU21" i="6"/>
  <c r="BT21" i="6"/>
  <c r="BS21" i="6"/>
  <c r="BS18" i="6"/>
  <c r="CB18" i="6" s="1"/>
  <c r="BS17" i="6"/>
  <c r="N25" i="5"/>
  <c r="L25" i="5"/>
  <c r="F25" i="5"/>
  <c r="F24" i="5"/>
  <c r="B19" i="5"/>
  <c r="K7" i="5"/>
  <c r="H7" i="5"/>
  <c r="E7" i="5"/>
  <c r="K6" i="5"/>
  <c r="H6" i="5"/>
  <c r="E6" i="5"/>
  <c r="K5" i="5"/>
  <c r="H5" i="5"/>
  <c r="E5" i="5"/>
  <c r="K4" i="5"/>
  <c r="H4" i="5"/>
  <c r="E4" i="5"/>
  <c r="K3" i="5"/>
  <c r="H3" i="5"/>
  <c r="E3" i="5"/>
  <c r="B71" i="4"/>
  <c r="B70" i="4"/>
  <c r="B69" i="4"/>
  <c r="C63" i="4"/>
  <c r="D58" i="4"/>
  <c r="B56" i="4"/>
  <c r="B55" i="4"/>
  <c r="B54" i="4"/>
  <c r="D53" i="4"/>
  <c r="C48" i="4"/>
  <c r="E36" i="4"/>
  <c r="B32" i="4"/>
  <c r="B31" i="4"/>
  <c r="B30" i="4"/>
  <c r="D29" i="4"/>
  <c r="C24" i="4"/>
  <c r="K13" i="4"/>
  <c r="B13" i="4"/>
  <c r="K10" i="4"/>
  <c r="B10" i="4"/>
  <c r="Q9" i="4"/>
  <c r="C8" i="4" s="1"/>
  <c r="E8" i="4" s="1"/>
  <c r="K9" i="4"/>
  <c r="B9" i="4"/>
  <c r="Q8" i="4"/>
  <c r="L8" i="4"/>
  <c r="L7" i="4"/>
  <c r="D7" i="4"/>
  <c r="C7" i="4"/>
  <c r="L3" i="4"/>
  <c r="E3" i="4"/>
  <c r="AH81" i="3"/>
  <c r="I75" i="3"/>
  <c r="C75" i="3"/>
  <c r="AM73" i="3"/>
  <c r="AL73" i="3"/>
  <c r="AK73" i="3"/>
  <c r="AJ73" i="3"/>
  <c r="AI73" i="3"/>
  <c r="AH73" i="3"/>
  <c r="AM72" i="3"/>
  <c r="AL72" i="3"/>
  <c r="AK72" i="3"/>
  <c r="AI72" i="3"/>
  <c r="AH72" i="3"/>
  <c r="I71" i="3"/>
  <c r="C71" i="3"/>
  <c r="G66" i="3"/>
  <c r="I63" i="3"/>
  <c r="C63" i="3"/>
  <c r="C62" i="3"/>
  <c r="I62" i="3" s="1"/>
  <c r="A62" i="3"/>
  <c r="G62" i="3" s="1"/>
  <c r="AB60" i="3"/>
  <c r="AB59" i="3"/>
  <c r="J59" i="3"/>
  <c r="D59" i="3"/>
  <c r="AB58" i="3"/>
  <c r="I57" i="3"/>
  <c r="K57" i="3" s="1"/>
  <c r="E57" i="3"/>
  <c r="AH56" i="3"/>
  <c r="J56" i="3"/>
  <c r="D56" i="3"/>
  <c r="AH55" i="3"/>
  <c r="AH54" i="3"/>
  <c r="AH53" i="3"/>
  <c r="AC53" i="3"/>
  <c r="K52" i="3"/>
  <c r="K66" i="3" s="1"/>
  <c r="E52" i="3"/>
  <c r="AH45" i="3"/>
  <c r="AA72" i="3" s="1"/>
  <c r="AH44" i="3"/>
  <c r="AH42" i="3"/>
  <c r="AH87" i="3" s="1"/>
  <c r="AH36" i="3"/>
  <c r="AA64" i="3" s="1"/>
  <c r="U32" i="3"/>
  <c r="O32" i="3"/>
  <c r="I32" i="3"/>
  <c r="C32" i="3"/>
  <c r="AA29" i="3"/>
  <c r="Y29" i="3"/>
  <c r="AM28" i="3"/>
  <c r="AL28" i="3"/>
  <c r="AK28" i="3"/>
  <c r="AJ28" i="3"/>
  <c r="P16" i="3" s="1"/>
  <c r="AI28" i="3"/>
  <c r="AH28" i="3"/>
  <c r="AA28" i="3"/>
  <c r="U28" i="3"/>
  <c r="O28" i="3"/>
  <c r="I28" i="3"/>
  <c r="C28" i="3"/>
  <c r="AM27" i="3"/>
  <c r="AL27" i="3"/>
  <c r="AK27" i="3"/>
  <c r="AJ27" i="3"/>
  <c r="AI27" i="3"/>
  <c r="AH27" i="3"/>
  <c r="V25" i="3"/>
  <c r="P25" i="3"/>
  <c r="J25" i="3"/>
  <c r="D25" i="3"/>
  <c r="U20" i="3"/>
  <c r="O20" i="3"/>
  <c r="I20" i="3"/>
  <c r="C20" i="3"/>
  <c r="AA19" i="3"/>
  <c r="U19" i="3"/>
  <c r="S19" i="3"/>
  <c r="O19" i="3"/>
  <c r="M19" i="3"/>
  <c r="I19" i="3"/>
  <c r="G19" i="3"/>
  <c r="C19" i="3"/>
  <c r="A19" i="3"/>
  <c r="V16" i="3"/>
  <c r="J16" i="3"/>
  <c r="D16" i="3"/>
  <c r="AB15" i="3"/>
  <c r="V14" i="3"/>
  <c r="P14" i="3"/>
  <c r="J14" i="3"/>
  <c r="D14" i="3"/>
  <c r="AH13" i="3"/>
  <c r="I11" i="3" s="1"/>
  <c r="K11" i="3" s="1"/>
  <c r="Z13" i="3"/>
  <c r="AB13" i="3" s="1"/>
  <c r="V13" i="3"/>
  <c r="T13" i="3"/>
  <c r="P13" i="3"/>
  <c r="N13" i="3"/>
  <c r="J13" i="3"/>
  <c r="H13" i="3"/>
  <c r="D13" i="3"/>
  <c r="B13" i="3"/>
  <c r="Z12" i="3"/>
  <c r="AB12" i="3" s="1"/>
  <c r="T12" i="3"/>
  <c r="V12" i="3" s="1"/>
  <c r="N12" i="3"/>
  <c r="P12" i="3" s="1"/>
  <c r="H12" i="3"/>
  <c r="J12" i="3" s="1"/>
  <c r="B12" i="3"/>
  <c r="D12" i="3" s="1"/>
  <c r="AB11" i="3"/>
  <c r="V11" i="3"/>
  <c r="P11" i="3"/>
  <c r="J11" i="3"/>
  <c r="D11" i="3"/>
  <c r="AH8" i="3"/>
  <c r="AH7" i="3"/>
  <c r="AC7" i="3"/>
  <c r="W7" i="3"/>
  <c r="Q7" i="3"/>
  <c r="K7" i="3"/>
  <c r="K68" i="3" s="1"/>
  <c r="E7" i="3"/>
  <c r="AH6" i="3"/>
  <c r="AH5" i="3"/>
  <c r="U137" i="2"/>
  <c r="O137" i="2"/>
  <c r="I137" i="2"/>
  <c r="C137" i="2"/>
  <c r="U134" i="2"/>
  <c r="O134" i="2"/>
  <c r="I134" i="2"/>
  <c r="C134" i="2"/>
  <c r="U128" i="2"/>
  <c r="O128" i="2"/>
  <c r="I128" i="2"/>
  <c r="C128" i="2"/>
  <c r="V124" i="2"/>
  <c r="J124" i="2"/>
  <c r="D124" i="2"/>
  <c r="S122" i="2"/>
  <c r="M122" i="2"/>
  <c r="G122" i="2"/>
  <c r="A122" i="2"/>
  <c r="S121" i="2"/>
  <c r="M121" i="2"/>
  <c r="G121" i="2"/>
  <c r="A121" i="2"/>
  <c r="V120" i="2"/>
  <c r="P120" i="2"/>
  <c r="J120" i="2"/>
  <c r="J125" i="2" s="1"/>
  <c r="D120" i="2"/>
  <c r="D125" i="2" s="1"/>
  <c r="W117" i="2"/>
  <c r="Q117" i="2"/>
  <c r="K117" i="2"/>
  <c r="E117" i="2"/>
  <c r="U102" i="2"/>
  <c r="O102" i="2"/>
  <c r="I102" i="2"/>
  <c r="C102" i="2"/>
  <c r="U99" i="2"/>
  <c r="O99" i="2"/>
  <c r="I99" i="2"/>
  <c r="C99" i="2"/>
  <c r="U93" i="2"/>
  <c r="O93" i="2"/>
  <c r="I93" i="2"/>
  <c r="C93" i="2"/>
  <c r="V89" i="2"/>
  <c r="P89" i="2"/>
  <c r="J89" i="2"/>
  <c r="D89" i="2"/>
  <c r="S87" i="2"/>
  <c r="M87" i="2"/>
  <c r="G87" i="2"/>
  <c r="A87" i="2"/>
  <c r="S86" i="2"/>
  <c r="M86" i="2"/>
  <c r="G86" i="2"/>
  <c r="A86" i="2"/>
  <c r="V85" i="2"/>
  <c r="P85" i="2"/>
  <c r="P90" i="2" s="1"/>
  <c r="J85" i="2"/>
  <c r="J90" i="2" s="1"/>
  <c r="D85" i="2"/>
  <c r="D90" i="2" s="1"/>
  <c r="W81" i="2"/>
  <c r="Q81" i="2"/>
  <c r="K81" i="2"/>
  <c r="E81" i="2"/>
  <c r="U66" i="2"/>
  <c r="O66" i="2"/>
  <c r="I66" i="2"/>
  <c r="C66" i="2"/>
  <c r="U61" i="2"/>
  <c r="O61" i="2"/>
  <c r="I61" i="2"/>
  <c r="C61" i="2"/>
  <c r="U55" i="2"/>
  <c r="O55" i="2"/>
  <c r="I55" i="2"/>
  <c r="C55" i="2"/>
  <c r="V50" i="2"/>
  <c r="P50" i="2"/>
  <c r="J50" i="2"/>
  <c r="D50" i="2"/>
  <c r="S48" i="2"/>
  <c r="M48" i="2"/>
  <c r="G48" i="2"/>
  <c r="A48" i="2"/>
  <c r="S47" i="2"/>
  <c r="M47" i="2"/>
  <c r="G47" i="2"/>
  <c r="A47" i="2"/>
  <c r="V46" i="2"/>
  <c r="P46" i="2"/>
  <c r="J46" i="2"/>
  <c r="J51" i="2" s="1"/>
  <c r="D46" i="2"/>
  <c r="D51" i="2" s="1"/>
  <c r="AB44" i="2"/>
  <c r="W42" i="2"/>
  <c r="Q42" i="2"/>
  <c r="K42" i="2"/>
  <c r="E42" i="2"/>
  <c r="AB43" i="2"/>
  <c r="AB42" i="2"/>
  <c r="U54" i="2" s="1"/>
  <c r="AB32" i="2"/>
  <c r="U27" i="2"/>
  <c r="O27" i="2"/>
  <c r="I27" i="2"/>
  <c r="C27" i="2"/>
  <c r="AD23" i="2"/>
  <c r="P124" i="2" s="1"/>
  <c r="U23" i="2"/>
  <c r="O23" i="2"/>
  <c r="I23" i="2"/>
  <c r="C23" i="2"/>
  <c r="U16" i="2"/>
  <c r="O16" i="2"/>
  <c r="I16" i="2"/>
  <c r="C16" i="2"/>
  <c r="J15" i="2"/>
  <c r="A15" i="2"/>
  <c r="G15" i="2" s="1"/>
  <c r="M15" i="2" s="1"/>
  <c r="S15" i="2" s="1"/>
  <c r="AC13" i="2"/>
  <c r="U8" i="2" s="1"/>
  <c r="W8" i="2" s="1"/>
  <c r="AC12" i="2"/>
  <c r="I46" i="2" s="1"/>
  <c r="V11" i="2"/>
  <c r="P11" i="2"/>
  <c r="J11" i="2"/>
  <c r="D11" i="2"/>
  <c r="S9" i="2"/>
  <c r="M9" i="2"/>
  <c r="G9" i="2"/>
  <c r="A9" i="2"/>
  <c r="S8" i="2"/>
  <c r="M8" i="2"/>
  <c r="G8" i="2"/>
  <c r="A8" i="2"/>
  <c r="V7" i="2"/>
  <c r="V12" i="2" s="1"/>
  <c r="U7" i="2"/>
  <c r="W7" i="2" s="1"/>
  <c r="P7" i="2"/>
  <c r="O7" i="2"/>
  <c r="J7" i="2"/>
  <c r="J12" i="2" s="1"/>
  <c r="I7" i="2"/>
  <c r="K7" i="2" s="1"/>
  <c r="D7" i="2"/>
  <c r="C7" i="2"/>
  <c r="AB6" i="2"/>
  <c r="AB5" i="2"/>
  <c r="AB4" i="2"/>
  <c r="AB3" i="2"/>
  <c r="W3" i="2"/>
  <c r="Q3" i="2"/>
  <c r="K3" i="2"/>
  <c r="E3" i="2"/>
  <c r="C30" i="1"/>
  <c r="D26" i="1"/>
  <c r="H25" i="1"/>
  <c r="C25" i="1"/>
  <c r="C26" i="1" s="1"/>
  <c r="D24" i="1"/>
  <c r="H23" i="1"/>
  <c r="C23" i="1"/>
  <c r="C24" i="1" s="1"/>
  <c r="D22" i="1"/>
  <c r="H21" i="1"/>
  <c r="C21" i="1"/>
  <c r="C22" i="1" s="1"/>
  <c r="D20" i="1"/>
  <c r="H19" i="1"/>
  <c r="C19" i="1"/>
  <c r="C20" i="1" s="1"/>
  <c r="N42" i="7" s="1"/>
  <c r="P42" i="7" s="1"/>
  <c r="D18" i="1"/>
  <c r="H17" i="1"/>
  <c r="C17" i="1"/>
  <c r="C18" i="1" s="1"/>
  <c r="H11" i="7" s="1"/>
  <c r="D14" i="1"/>
  <c r="H13" i="1"/>
  <c r="C13" i="1"/>
  <c r="C14" i="1" s="1"/>
  <c r="D12" i="1"/>
  <c r="C11" i="1"/>
  <c r="C12" i="1" s="1"/>
  <c r="Q6" i="9" s="1"/>
  <c r="E8" i="9" s="1"/>
  <c r="G8" i="9" s="1"/>
  <c r="G10" i="9" s="1"/>
  <c r="D10" i="1"/>
  <c r="H9" i="1"/>
  <c r="C9" i="1"/>
  <c r="C10" i="1" s="1"/>
  <c r="D8" i="1"/>
  <c r="H7" i="1"/>
  <c r="C7" i="1"/>
  <c r="C8" i="1" s="1"/>
  <c r="D6" i="1"/>
  <c r="H5" i="1"/>
  <c r="C5" i="1"/>
  <c r="C6" i="1" s="1"/>
  <c r="L9" i="4" l="1"/>
  <c r="AB7" i="2"/>
  <c r="AB8" i="2" s="1"/>
  <c r="K46" i="2"/>
  <c r="J60" i="3"/>
  <c r="H25" i="5"/>
  <c r="G15" i="9"/>
  <c r="E7" i="4"/>
  <c r="P23" i="7"/>
  <c r="M16" i="9"/>
  <c r="M18" i="9" s="1"/>
  <c r="M20" i="9" s="1"/>
  <c r="L10" i="4"/>
  <c r="V51" i="2"/>
  <c r="V90" i="2"/>
  <c r="AB25" i="3"/>
  <c r="CB22" i="6"/>
  <c r="V15" i="2"/>
  <c r="D60" i="3"/>
  <c r="CB37" i="6"/>
  <c r="CB39" i="6" s="1"/>
  <c r="M25" i="5"/>
  <c r="M27" i="5" s="1"/>
  <c r="M28" i="5" s="1"/>
  <c r="O25" i="5"/>
  <c r="O27" i="5" s="1"/>
  <c r="O28" i="5" s="1"/>
  <c r="AB37" i="2" s="1"/>
  <c r="V20" i="2" s="1"/>
  <c r="W20" i="2" s="1"/>
  <c r="P21" i="7"/>
  <c r="U11" i="3"/>
  <c r="W11" i="3" s="1"/>
  <c r="AB61" i="3"/>
  <c r="AH9" i="3"/>
  <c r="AH10" i="3" s="1"/>
  <c r="AB14" i="3" s="1"/>
  <c r="AB16" i="3" s="1"/>
  <c r="K25" i="3"/>
  <c r="W25" i="3"/>
  <c r="AH58" i="3"/>
  <c r="E7" i="2"/>
  <c r="U46" i="2"/>
  <c r="W46" i="2" s="1"/>
  <c r="D12" i="2"/>
  <c r="P12" i="2"/>
  <c r="P51" i="2"/>
  <c r="V125" i="2"/>
  <c r="H42" i="7"/>
  <c r="N10" i="7"/>
  <c r="P10" i="7" s="1"/>
  <c r="J10" i="7"/>
  <c r="J85" i="7"/>
  <c r="P53" i="7"/>
  <c r="G12" i="9"/>
  <c r="G11" i="9"/>
  <c r="H8" i="7"/>
  <c r="H9" i="7"/>
  <c r="J11" i="7"/>
  <c r="H43" i="7"/>
  <c r="N43" i="7" s="1"/>
  <c r="P43" i="7" s="1"/>
  <c r="N11" i="7"/>
  <c r="P11" i="7" s="1"/>
  <c r="O8" i="7"/>
  <c r="O14" i="7" s="1"/>
  <c r="I14" i="7"/>
  <c r="J19" i="7" s="1"/>
  <c r="H77" i="7"/>
  <c r="J77" i="7" s="1"/>
  <c r="J45" i="7"/>
  <c r="J87" i="7"/>
  <c r="P55" i="7"/>
  <c r="N13" i="7"/>
  <c r="P13" i="7" s="1"/>
  <c r="J52" i="7"/>
  <c r="J54" i="7"/>
  <c r="J56" i="7"/>
  <c r="C4" i="8"/>
  <c r="C5" i="8" s="1"/>
  <c r="C7" i="8" s="1"/>
  <c r="J13" i="7"/>
  <c r="B4" i="8"/>
  <c r="B5" i="8" s="1"/>
  <c r="B7" i="8" s="1"/>
  <c r="C68" i="4"/>
  <c r="E68" i="4" s="1"/>
  <c r="AH18" i="3"/>
  <c r="AH16" i="3"/>
  <c r="AH17" i="3"/>
  <c r="AC16" i="2"/>
  <c r="E6" i="1"/>
  <c r="AC15" i="2"/>
  <c r="C28" i="1"/>
  <c r="J5" i="1"/>
  <c r="AH15" i="3"/>
  <c r="E8" i="1"/>
  <c r="J7" i="1"/>
  <c r="E10" i="1"/>
  <c r="J9" i="1"/>
  <c r="E12" i="1"/>
  <c r="E14" i="1"/>
  <c r="J13" i="1"/>
  <c r="C53" i="4"/>
  <c r="E53" i="4" s="1"/>
  <c r="AH14" i="3"/>
  <c r="AC14" i="2"/>
  <c r="E18" i="1"/>
  <c r="J17" i="1"/>
  <c r="C29" i="4"/>
  <c r="E29" i="4" s="1"/>
  <c r="E20" i="1"/>
  <c r="J19" i="1"/>
  <c r="E22" i="1"/>
  <c r="J21" i="1"/>
  <c r="E24" i="1"/>
  <c r="J23" i="1"/>
  <c r="E26" i="1"/>
  <c r="J25" i="1"/>
  <c r="Q7" i="2"/>
  <c r="I8" i="2"/>
  <c r="K8" i="2" s="1"/>
  <c r="O121" i="2"/>
  <c r="Q121" i="2" s="1"/>
  <c r="C121" i="2"/>
  <c r="E121" i="2" s="1"/>
  <c r="O86" i="2"/>
  <c r="Q86" i="2" s="1"/>
  <c r="U121" i="2"/>
  <c r="W121" i="2" s="1"/>
  <c r="I121" i="2"/>
  <c r="K121" i="2" s="1"/>
  <c r="U86" i="2"/>
  <c r="W86" i="2" s="1"/>
  <c r="I86" i="2"/>
  <c r="K86" i="2" s="1"/>
  <c r="C86" i="2"/>
  <c r="E86" i="2" s="1"/>
  <c r="O47" i="2"/>
  <c r="Q47" i="2" s="1"/>
  <c r="C47" i="2"/>
  <c r="E47" i="2" s="1"/>
  <c r="U47" i="2"/>
  <c r="W47" i="2" s="1"/>
  <c r="I47" i="2"/>
  <c r="K47" i="2" s="1"/>
  <c r="O8" i="2"/>
  <c r="Q8" i="2" s="1"/>
  <c r="C8" i="2"/>
  <c r="E8" i="2" s="1"/>
  <c r="U120" i="2"/>
  <c r="W120" i="2" s="1"/>
  <c r="I120" i="2"/>
  <c r="K120" i="2" s="1"/>
  <c r="O120" i="2"/>
  <c r="Q120" i="2" s="1"/>
  <c r="C120" i="2"/>
  <c r="E120" i="2" s="1"/>
  <c r="C15" i="2"/>
  <c r="P15" i="2"/>
  <c r="C46" i="2"/>
  <c r="E46" i="2" s="1"/>
  <c r="O46" i="2"/>
  <c r="Q46" i="2" s="1"/>
  <c r="C54" i="2"/>
  <c r="I54" i="2"/>
  <c r="O54" i="2"/>
  <c r="C85" i="2"/>
  <c r="E85" i="2" s="1"/>
  <c r="O85" i="2"/>
  <c r="Q85" i="2" s="1"/>
  <c r="U127" i="2"/>
  <c r="O127" i="2"/>
  <c r="I127" i="2"/>
  <c r="C127" i="2"/>
  <c r="U92" i="2"/>
  <c r="O92" i="2"/>
  <c r="I92" i="2"/>
  <c r="C92" i="2"/>
  <c r="I85" i="2"/>
  <c r="K85" i="2" s="1"/>
  <c r="U85" i="2"/>
  <c r="W85" i="2" s="1"/>
  <c r="P125" i="2"/>
  <c r="E68" i="3"/>
  <c r="E66" i="3"/>
  <c r="V15" i="3"/>
  <c r="V17" i="3" s="1"/>
  <c r="I56" i="3"/>
  <c r="K56" i="3" s="1"/>
  <c r="AH61" i="3"/>
  <c r="AA58" i="3"/>
  <c r="AC58" i="3" s="1"/>
  <c r="C56" i="3"/>
  <c r="E56" i="3" s="1"/>
  <c r="AA11" i="3"/>
  <c r="AC11" i="3" s="1"/>
  <c r="O11" i="3"/>
  <c r="Q11" i="3" s="1"/>
  <c r="C11" i="3"/>
  <c r="E11" i="3" s="1"/>
  <c r="E25" i="3"/>
  <c r="Q25" i="3"/>
  <c r="AC25" i="3"/>
  <c r="AB69" i="3"/>
  <c r="AC69" i="3" s="1"/>
  <c r="M31" i="5"/>
  <c r="M29" i="5"/>
  <c r="M30" i="5"/>
  <c r="CB24" i="6"/>
  <c r="E9" i="4"/>
  <c r="E10" i="4" s="1"/>
  <c r="L11" i="4"/>
  <c r="L12" i="4" s="1"/>
  <c r="M13" i="4" s="1"/>
  <c r="E11" i="4" l="1"/>
  <c r="E12" i="4" s="1"/>
  <c r="F13" i="4" s="1"/>
  <c r="C38" i="1"/>
  <c r="AI92" i="3"/>
  <c r="AA77" i="3" s="1"/>
  <c r="V59" i="2"/>
  <c r="W59" i="2" s="1"/>
  <c r="J59" i="2"/>
  <c r="K59" i="2" s="1"/>
  <c r="J97" i="2"/>
  <c r="K97" i="2" s="1"/>
  <c r="V97" i="2"/>
  <c r="W97" i="2" s="1"/>
  <c r="J132" i="2"/>
  <c r="K132" i="2" s="1"/>
  <c r="V132" i="2"/>
  <c r="W132" i="2" s="1"/>
  <c r="J20" i="2"/>
  <c r="K20" i="2" s="1"/>
  <c r="P20" i="2"/>
  <c r="Q20" i="2" s="1"/>
  <c r="P59" i="2"/>
  <c r="Q59" i="2" s="1"/>
  <c r="D59" i="2"/>
  <c r="E59" i="2" s="1"/>
  <c r="D97" i="2"/>
  <c r="E97" i="2" s="1"/>
  <c r="P97" i="2"/>
  <c r="Q97" i="2" s="1"/>
  <c r="D132" i="2"/>
  <c r="E132" i="2" s="1"/>
  <c r="P132" i="2"/>
  <c r="Q132" i="2" s="1"/>
  <c r="D20" i="2"/>
  <c r="E20" i="2" s="1"/>
  <c r="G13" i="9"/>
  <c r="G16" i="9" s="1"/>
  <c r="G18" i="9" s="1"/>
  <c r="G20" i="9" s="1"/>
  <c r="J15" i="3"/>
  <c r="J17" i="3" s="1"/>
  <c r="P15" i="3"/>
  <c r="P17" i="3" s="1"/>
  <c r="D15" i="3"/>
  <c r="D17" i="3" s="1"/>
  <c r="L24" i="9"/>
  <c r="M22" i="9"/>
  <c r="M24" i="9" s="1"/>
  <c r="P56" i="7"/>
  <c r="J88" i="7"/>
  <c r="P52" i="7"/>
  <c r="J84" i="7"/>
  <c r="C8" i="8"/>
  <c r="C9" i="8" s="1"/>
  <c r="C10" i="8" s="1"/>
  <c r="J51" i="7"/>
  <c r="P19" i="7"/>
  <c r="H40" i="7"/>
  <c r="N40" i="7" s="1"/>
  <c r="P40" i="7" s="1"/>
  <c r="P46" i="7" s="1"/>
  <c r="P60" i="7" s="1"/>
  <c r="J8" i="7"/>
  <c r="N8" i="7"/>
  <c r="P8" i="7" s="1"/>
  <c r="B8" i="8"/>
  <c r="B9" i="8" s="1"/>
  <c r="B10" i="8" s="1"/>
  <c r="H74" i="7"/>
  <c r="J74" i="7" s="1"/>
  <c r="J42" i="7"/>
  <c r="P54" i="7"/>
  <c r="J86" i="7"/>
  <c r="H75" i="7"/>
  <c r="J75" i="7" s="1"/>
  <c r="J43" i="7"/>
  <c r="J9" i="7"/>
  <c r="H41" i="7"/>
  <c r="N41" i="7" s="1"/>
  <c r="P41" i="7" s="1"/>
  <c r="N9" i="7"/>
  <c r="P9" i="7" s="1"/>
  <c r="H21" i="4"/>
  <c r="H20" i="4"/>
  <c r="H19" i="4"/>
  <c r="H18" i="4"/>
  <c r="H17" i="4"/>
  <c r="H16" i="4"/>
  <c r="H15" i="4"/>
  <c r="H14" i="4"/>
  <c r="H13" i="4"/>
  <c r="AH39" i="3"/>
  <c r="AH84" i="3" s="1"/>
  <c r="AB35" i="2"/>
  <c r="AH40" i="3"/>
  <c r="AH85" i="3" s="1"/>
  <c r="AB36" i="2"/>
  <c r="O122" i="2"/>
  <c r="Q122" i="2" s="1"/>
  <c r="C122" i="2"/>
  <c r="E122" i="2" s="1"/>
  <c r="O87" i="2"/>
  <c r="Q87" i="2" s="1"/>
  <c r="C87" i="2"/>
  <c r="E87" i="2" s="1"/>
  <c r="U122" i="2"/>
  <c r="W122" i="2" s="1"/>
  <c r="I122" i="2"/>
  <c r="K122" i="2" s="1"/>
  <c r="U87" i="2"/>
  <c r="W87" i="2" s="1"/>
  <c r="I87" i="2"/>
  <c r="K87" i="2" s="1"/>
  <c r="O48" i="2"/>
  <c r="Q48" i="2" s="1"/>
  <c r="C48" i="2"/>
  <c r="E48" i="2" s="1"/>
  <c r="U48" i="2"/>
  <c r="W48" i="2" s="1"/>
  <c r="I48" i="2"/>
  <c r="K48" i="2" s="1"/>
  <c r="U9" i="2"/>
  <c r="W9" i="2" s="1"/>
  <c r="I9" i="2"/>
  <c r="K9" i="2" s="1"/>
  <c r="C9" i="2"/>
  <c r="E9" i="2" s="1"/>
  <c r="O9" i="2"/>
  <c r="Q9" i="2" s="1"/>
  <c r="E56" i="4"/>
  <c r="E54" i="4"/>
  <c r="E55" i="4" s="1"/>
  <c r="U13" i="3"/>
  <c r="W13" i="3" s="1"/>
  <c r="O13" i="3"/>
  <c r="Q13" i="3" s="1"/>
  <c r="I13" i="3"/>
  <c r="K13" i="3" s="1"/>
  <c r="C13" i="3"/>
  <c r="E13" i="3" s="1"/>
  <c r="O15" i="3"/>
  <c r="Q15" i="3" s="1"/>
  <c r="C15" i="3"/>
  <c r="I15" i="3"/>
  <c r="K15" i="3" s="1"/>
  <c r="U15" i="3"/>
  <c r="W15" i="3" s="1"/>
  <c r="AH64" i="3"/>
  <c r="AA60" i="3"/>
  <c r="AC60" i="3" s="1"/>
  <c r="I59" i="3"/>
  <c r="K59" i="3" s="1"/>
  <c r="C59" i="3"/>
  <c r="E59" i="3" s="1"/>
  <c r="O16" i="3"/>
  <c r="Q16" i="3" s="1"/>
  <c r="C16" i="3"/>
  <c r="E16" i="3" s="1"/>
  <c r="AA15" i="3"/>
  <c r="AC15" i="3" s="1"/>
  <c r="U16" i="3"/>
  <c r="W16" i="3" s="1"/>
  <c r="I16" i="3"/>
  <c r="K16" i="3" s="1"/>
  <c r="O21" i="4"/>
  <c r="O20" i="4"/>
  <c r="O19" i="4"/>
  <c r="O18" i="4"/>
  <c r="O17" i="4"/>
  <c r="O16" i="4"/>
  <c r="O15" i="4"/>
  <c r="O14" i="4"/>
  <c r="O13" i="4"/>
  <c r="B34" i="4"/>
  <c r="B58" i="4" s="1"/>
  <c r="B73" i="4" s="1"/>
  <c r="AH47" i="3"/>
  <c r="AA33" i="3" s="1"/>
  <c r="AH38" i="3"/>
  <c r="AB34" i="2"/>
  <c r="E32" i="4"/>
  <c r="E30" i="4"/>
  <c r="E31" i="4" s="1"/>
  <c r="E33" i="4" s="1"/>
  <c r="AH62" i="3"/>
  <c r="AA12" i="3"/>
  <c r="AC12" i="3" s="1"/>
  <c r="U12" i="3"/>
  <c r="W12" i="3" s="1"/>
  <c r="O12" i="3"/>
  <c r="Q12" i="3" s="1"/>
  <c r="I12" i="3"/>
  <c r="K12" i="3" s="1"/>
  <c r="C12" i="3"/>
  <c r="E12" i="3" s="1"/>
  <c r="U123" i="2"/>
  <c r="W123" i="2" s="1"/>
  <c r="O123" i="2"/>
  <c r="Q123" i="2" s="1"/>
  <c r="I123" i="2"/>
  <c r="K123" i="2" s="1"/>
  <c r="C123" i="2"/>
  <c r="E123" i="2" s="1"/>
  <c r="U88" i="2"/>
  <c r="W88" i="2" s="1"/>
  <c r="O88" i="2"/>
  <c r="Q88" i="2" s="1"/>
  <c r="I88" i="2"/>
  <c r="K88" i="2" s="1"/>
  <c r="C88" i="2"/>
  <c r="E88" i="2" s="1"/>
  <c r="U49" i="2"/>
  <c r="W49" i="2" s="1"/>
  <c r="O49" i="2"/>
  <c r="Q49" i="2" s="1"/>
  <c r="I49" i="2"/>
  <c r="K49" i="2" s="1"/>
  <c r="C49" i="2"/>
  <c r="E49" i="2" s="1"/>
  <c r="U10" i="2"/>
  <c r="W10" i="2" s="1"/>
  <c r="O10" i="2"/>
  <c r="Q10" i="2" s="1"/>
  <c r="I10" i="2"/>
  <c r="K10" i="2" s="1"/>
  <c r="C10" i="2"/>
  <c r="E10" i="2" s="1"/>
  <c r="U124" i="2"/>
  <c r="W124" i="2" s="1"/>
  <c r="I124" i="2"/>
  <c r="K124" i="2" s="1"/>
  <c r="U89" i="2"/>
  <c r="W89" i="2" s="1"/>
  <c r="I89" i="2"/>
  <c r="K89" i="2" s="1"/>
  <c r="O124" i="2"/>
  <c r="Q124" i="2" s="1"/>
  <c r="C124" i="2"/>
  <c r="E124" i="2" s="1"/>
  <c r="O89" i="2"/>
  <c r="Q89" i="2" s="1"/>
  <c r="C89" i="2"/>
  <c r="E89" i="2" s="1"/>
  <c r="U50" i="2"/>
  <c r="W50" i="2" s="1"/>
  <c r="I50" i="2"/>
  <c r="K50" i="2" s="1"/>
  <c r="O50" i="2"/>
  <c r="Q50" i="2" s="1"/>
  <c r="C50" i="2"/>
  <c r="E50" i="2" s="1"/>
  <c r="O11" i="2"/>
  <c r="Q11" i="2" s="1"/>
  <c r="C11" i="2"/>
  <c r="E11" i="2" s="1"/>
  <c r="I11" i="2"/>
  <c r="K11" i="2" s="1"/>
  <c r="U11" i="2"/>
  <c r="W11" i="2" s="1"/>
  <c r="AH63" i="3"/>
  <c r="AA59" i="3"/>
  <c r="AC59" i="3" s="1"/>
  <c r="AC61" i="3" s="1"/>
  <c r="I58" i="3"/>
  <c r="K58" i="3" s="1"/>
  <c r="C58" i="3"/>
  <c r="E58" i="3" s="1"/>
  <c r="E60" i="3" s="1"/>
  <c r="AA14" i="3"/>
  <c r="AC14" i="3" s="1"/>
  <c r="O14" i="3"/>
  <c r="Q14" i="3" s="1"/>
  <c r="C14" i="3"/>
  <c r="E14" i="3" s="1"/>
  <c r="AA13" i="3"/>
  <c r="AC13" i="3" s="1"/>
  <c r="U14" i="3"/>
  <c r="W14" i="3" s="1"/>
  <c r="I14" i="3"/>
  <c r="K14" i="3" s="1"/>
  <c r="E71" i="4"/>
  <c r="E70" i="4" s="1"/>
  <c r="E72" i="4" s="1"/>
  <c r="E73" i="4" s="1"/>
  <c r="E69" i="4"/>
  <c r="P48" i="7" l="1"/>
  <c r="P49" i="7" s="1"/>
  <c r="J14" i="7"/>
  <c r="J16" i="7" s="1"/>
  <c r="J17" i="7" s="1"/>
  <c r="J25" i="7" s="1"/>
  <c r="K60" i="3"/>
  <c r="K63" i="3" s="1"/>
  <c r="E15" i="3"/>
  <c r="K17" i="3"/>
  <c r="K20" i="3" s="1"/>
  <c r="K21" i="3" s="1"/>
  <c r="J21" i="3" s="1"/>
  <c r="E17" i="3"/>
  <c r="Q17" i="3"/>
  <c r="Q20" i="3" s="1"/>
  <c r="Q21" i="3" s="1"/>
  <c r="AC16" i="3"/>
  <c r="AC29" i="3" s="1"/>
  <c r="Q90" i="2"/>
  <c r="Q93" i="2" s="1"/>
  <c r="Q125" i="2"/>
  <c r="K51" i="2"/>
  <c r="K55" i="2" s="1"/>
  <c r="K90" i="2"/>
  <c r="K125" i="2"/>
  <c r="K127" i="2" s="1"/>
  <c r="W51" i="2"/>
  <c r="W54" i="2" s="1"/>
  <c r="Q51" i="2"/>
  <c r="Q55" i="2" s="1"/>
  <c r="W90" i="2"/>
  <c r="W92" i="2" s="1"/>
  <c r="W125" i="2"/>
  <c r="W127" i="2" s="1"/>
  <c r="E51" i="2"/>
  <c r="Q12" i="2"/>
  <c r="Q15" i="2" s="1"/>
  <c r="K12" i="2"/>
  <c r="E90" i="2"/>
  <c r="E92" i="2" s="1"/>
  <c r="E125" i="2"/>
  <c r="F24" i="9"/>
  <c r="G22" i="9"/>
  <c r="G24" i="9" s="1"/>
  <c r="P14" i="7"/>
  <c r="H72" i="7"/>
  <c r="J72" i="7" s="1"/>
  <c r="J40" i="7"/>
  <c r="J83" i="7"/>
  <c r="P51" i="7"/>
  <c r="P57" i="7" s="1"/>
  <c r="P59" i="7" s="1"/>
  <c r="P61" i="7" s="1"/>
  <c r="P63" i="7" s="1"/>
  <c r="P65" i="7" s="1"/>
  <c r="H73" i="7"/>
  <c r="J73" i="7" s="1"/>
  <c r="J41" i="7"/>
  <c r="J28" i="7"/>
  <c r="E63" i="3"/>
  <c r="E62" i="3"/>
  <c r="K62" i="3"/>
  <c r="Q127" i="2"/>
  <c r="Q128" i="2"/>
  <c r="K93" i="2"/>
  <c r="K92" i="2"/>
  <c r="K128" i="2"/>
  <c r="E37" i="4"/>
  <c r="F37" i="4" s="1"/>
  <c r="E34" i="4"/>
  <c r="W55" i="2"/>
  <c r="W93" i="2"/>
  <c r="E55" i="2"/>
  <c r="E54" i="2"/>
  <c r="E20" i="3"/>
  <c r="E21" i="3" s="1"/>
  <c r="E19" i="3"/>
  <c r="P21" i="3"/>
  <c r="AC19" i="3"/>
  <c r="AC21" i="3" s="1"/>
  <c r="K15" i="2"/>
  <c r="K16" i="2"/>
  <c r="E128" i="2"/>
  <c r="E127" i="2"/>
  <c r="W17" i="3"/>
  <c r="W20" i="3" s="1"/>
  <c r="W21" i="3" s="1"/>
  <c r="AC73" i="3"/>
  <c r="AC64" i="3"/>
  <c r="AC65" i="3" s="1"/>
  <c r="AH83" i="3"/>
  <c r="AB23" i="3"/>
  <c r="V23" i="3"/>
  <c r="W23" i="3" s="1"/>
  <c r="P23" i="3"/>
  <c r="Q23" i="3" s="1"/>
  <c r="Q27" i="3" s="1"/>
  <c r="J23" i="3"/>
  <c r="K23" i="3" s="1"/>
  <c r="D23" i="3"/>
  <c r="E23" i="3" s="1"/>
  <c r="V19" i="2"/>
  <c r="W19" i="2" s="1"/>
  <c r="P19" i="2"/>
  <c r="Q19" i="2" s="1"/>
  <c r="D19" i="2"/>
  <c r="E19" i="2" s="1"/>
  <c r="J19" i="2"/>
  <c r="K19" i="2" s="1"/>
  <c r="E57" i="4"/>
  <c r="E58" i="4" s="1"/>
  <c r="V131" i="2"/>
  <c r="W131" i="2" s="1"/>
  <c r="P131" i="2"/>
  <c r="Q131" i="2" s="1"/>
  <c r="J131" i="2"/>
  <c r="K131" i="2" s="1"/>
  <c r="D131" i="2"/>
  <c r="E131" i="2" s="1"/>
  <c r="V96" i="2"/>
  <c r="W96" i="2" s="1"/>
  <c r="P96" i="2"/>
  <c r="Q96" i="2" s="1"/>
  <c r="J96" i="2"/>
  <c r="K96" i="2" s="1"/>
  <c r="D96" i="2"/>
  <c r="E96" i="2" s="1"/>
  <c r="V58" i="2"/>
  <c r="W58" i="2" s="1"/>
  <c r="P58" i="2"/>
  <c r="Q58" i="2" s="1"/>
  <c r="J58" i="2"/>
  <c r="K58" i="2" s="1"/>
  <c r="D58" i="2"/>
  <c r="E58" i="2" s="1"/>
  <c r="E12" i="2"/>
  <c r="W12" i="2"/>
  <c r="E129" i="2" l="1"/>
  <c r="E133" i="2" s="1"/>
  <c r="K27" i="3"/>
  <c r="K64" i="3"/>
  <c r="E64" i="3"/>
  <c r="E70" i="3" s="1"/>
  <c r="Q16" i="2"/>
  <c r="Q17" i="2" s="1"/>
  <c r="W128" i="2"/>
  <c r="Q92" i="2"/>
  <c r="E93" i="2"/>
  <c r="E94" i="2" s="1"/>
  <c r="E98" i="2" s="1"/>
  <c r="Q54" i="2"/>
  <c r="Q56" i="2" s="1"/>
  <c r="K54" i="2"/>
  <c r="K56" i="2" s="1"/>
  <c r="E56" i="2"/>
  <c r="E60" i="2" s="1"/>
  <c r="W94" i="2"/>
  <c r="W98" i="2" s="1"/>
  <c r="W56" i="2"/>
  <c r="V56" i="2" s="1"/>
  <c r="K94" i="2"/>
  <c r="J94" i="2" s="1"/>
  <c r="Q94" i="2"/>
  <c r="P94" i="2" s="1"/>
  <c r="J27" i="7"/>
  <c r="J29" i="7" s="1"/>
  <c r="J31" i="7" s="1"/>
  <c r="J33" i="7" s="1"/>
  <c r="J46" i="7"/>
  <c r="P16" i="7"/>
  <c r="P17" i="7" s="1"/>
  <c r="P25" i="7" s="1"/>
  <c r="P28" i="7"/>
  <c r="J78" i="7"/>
  <c r="Q28" i="3"/>
  <c r="Q29" i="3" s="1"/>
  <c r="AC71" i="3"/>
  <c r="AB65" i="3"/>
  <c r="K28" i="3"/>
  <c r="W15" i="2"/>
  <c r="W16" i="2"/>
  <c r="AB67" i="3"/>
  <c r="K17" i="2"/>
  <c r="K22" i="2" s="1"/>
  <c r="AB21" i="3"/>
  <c r="W129" i="2"/>
  <c r="K129" i="2"/>
  <c r="Q129" i="2"/>
  <c r="E15" i="2"/>
  <c r="E16" i="2"/>
  <c r="AB26" i="3"/>
  <c r="AC23" i="3"/>
  <c r="AC27" i="3" s="1"/>
  <c r="W27" i="3"/>
  <c r="V21" i="3"/>
  <c r="E27" i="3"/>
  <c r="V94" i="2"/>
  <c r="H45" i="4"/>
  <c r="H43" i="4"/>
  <c r="H41" i="4"/>
  <c r="H39" i="4"/>
  <c r="H37" i="4"/>
  <c r="H44" i="4"/>
  <c r="H42" i="4"/>
  <c r="H40" i="4"/>
  <c r="H38" i="4"/>
  <c r="K98" i="2"/>
  <c r="Q98" i="2"/>
  <c r="K70" i="3"/>
  <c r="J64" i="3"/>
  <c r="D64" i="3"/>
  <c r="D129" i="2" l="1"/>
  <c r="D56" i="2"/>
  <c r="K29" i="3"/>
  <c r="K36" i="3" s="1"/>
  <c r="P56" i="2"/>
  <c r="Q60" i="2"/>
  <c r="Q22" i="2"/>
  <c r="P17" i="2"/>
  <c r="W60" i="2"/>
  <c r="W61" i="2" s="1"/>
  <c r="W63" i="2" s="1"/>
  <c r="D94" i="2"/>
  <c r="J56" i="2"/>
  <c r="K60" i="2"/>
  <c r="K61" i="2" s="1"/>
  <c r="K63" i="2" s="1"/>
  <c r="P27" i="7"/>
  <c r="P29" i="7" s="1"/>
  <c r="P31" i="7" s="1"/>
  <c r="P33" i="7" s="1"/>
  <c r="J92" i="7"/>
  <c r="J80" i="7"/>
  <c r="J81" i="7" s="1"/>
  <c r="J89" i="7" s="1"/>
  <c r="J60" i="7"/>
  <c r="J48" i="7"/>
  <c r="J49" i="7" s="1"/>
  <c r="J57" i="7" s="1"/>
  <c r="AC28" i="3"/>
  <c r="AC30" i="3" s="1"/>
  <c r="E71" i="3"/>
  <c r="E72" i="3" s="1"/>
  <c r="K71" i="3"/>
  <c r="K72" i="3" s="1"/>
  <c r="Q99" i="2"/>
  <c r="Q100" i="2" s="1"/>
  <c r="K99" i="2"/>
  <c r="K100" i="2" s="1"/>
  <c r="E28" i="3"/>
  <c r="E29" i="3" s="1"/>
  <c r="E99" i="2"/>
  <c r="E100" i="2" s="1"/>
  <c r="E134" i="2"/>
  <c r="E135" i="2" s="1"/>
  <c r="W28" i="3"/>
  <c r="W29" i="3" s="1"/>
  <c r="K133" i="2"/>
  <c r="J129" i="2"/>
  <c r="K23" i="2"/>
  <c r="K24" i="2" s="1"/>
  <c r="W17" i="2"/>
  <c r="Q61" i="2"/>
  <c r="Q63" i="2" s="1"/>
  <c r="W99" i="2"/>
  <c r="W100" i="2" s="1"/>
  <c r="E61" i="2"/>
  <c r="E63" i="2" s="1"/>
  <c r="Q23" i="2"/>
  <c r="Q24" i="2" s="1"/>
  <c r="E17" i="2"/>
  <c r="E22" i="2" s="1"/>
  <c r="Q133" i="2"/>
  <c r="P129" i="2"/>
  <c r="W133" i="2"/>
  <c r="V129" i="2"/>
  <c r="AB70" i="3"/>
  <c r="AC67" i="3"/>
  <c r="K41" i="3"/>
  <c r="K35" i="3"/>
  <c r="K33" i="3"/>
  <c r="K37" i="3"/>
  <c r="K34" i="3"/>
  <c r="AC74" i="3"/>
  <c r="AC86" i="3" s="1"/>
  <c r="AC72" i="3"/>
  <c r="Q37" i="3"/>
  <c r="Q36" i="3"/>
  <c r="Q34" i="3"/>
  <c r="Q31" i="3"/>
  <c r="Q41" i="3"/>
  <c r="Q40" i="3"/>
  <c r="Q39" i="3"/>
  <c r="Q38" i="3"/>
  <c r="Q35" i="3"/>
  <c r="Q33" i="3"/>
  <c r="K38" i="3" l="1"/>
  <c r="K39" i="3"/>
  <c r="K31" i="3"/>
  <c r="K40" i="3"/>
  <c r="J59" i="7"/>
  <c r="J61" i="7" s="1"/>
  <c r="J63" i="7" s="1"/>
  <c r="J65" i="7" s="1"/>
  <c r="J91" i="7"/>
  <c r="J93" i="7" s="1"/>
  <c r="J95" i="7" s="1"/>
  <c r="J97" i="7" s="1"/>
  <c r="W75" i="2"/>
  <c r="W74" i="2"/>
  <c r="W73" i="2"/>
  <c r="W72" i="2"/>
  <c r="W71" i="2"/>
  <c r="W70" i="2"/>
  <c r="W69" i="2"/>
  <c r="W68" i="2"/>
  <c r="W67" i="2"/>
  <c r="W65" i="2"/>
  <c r="Q36" i="2"/>
  <c r="Q35" i="2"/>
  <c r="Q32" i="2"/>
  <c r="Q31" i="2"/>
  <c r="Q30" i="2"/>
  <c r="Q29" i="2"/>
  <c r="Q28" i="2"/>
  <c r="Q26" i="2"/>
  <c r="Q33" i="2"/>
  <c r="Q34" i="2"/>
  <c r="W111" i="2"/>
  <c r="W110" i="2"/>
  <c r="W109" i="2"/>
  <c r="W108" i="2"/>
  <c r="W107" i="2"/>
  <c r="W106" i="2"/>
  <c r="W105" i="2"/>
  <c r="W104" i="2"/>
  <c r="W103" i="2"/>
  <c r="W101" i="2"/>
  <c r="E23" i="2"/>
  <c r="E24" i="2" s="1"/>
  <c r="AC85" i="3"/>
  <c r="AC84" i="3"/>
  <c r="AC83" i="3"/>
  <c r="AC80" i="3"/>
  <c r="AC78" i="3"/>
  <c r="AC76" i="3"/>
  <c r="AC82" i="3"/>
  <c r="AC81" i="3"/>
  <c r="AC79" i="3"/>
  <c r="W134" i="2"/>
  <c r="W135" i="2" s="1"/>
  <c r="Q134" i="2"/>
  <c r="Q135" i="2" s="1"/>
  <c r="E75" i="2"/>
  <c r="E74" i="2"/>
  <c r="E73" i="2"/>
  <c r="E72" i="2"/>
  <c r="E71" i="2"/>
  <c r="E70" i="2"/>
  <c r="E69" i="2"/>
  <c r="E68" i="2"/>
  <c r="E67" i="2"/>
  <c r="E65" i="2"/>
  <c r="Q75" i="2"/>
  <c r="Q74" i="2"/>
  <c r="Q73" i="2"/>
  <c r="Q72" i="2"/>
  <c r="Q71" i="2"/>
  <c r="Q70" i="2"/>
  <c r="Q69" i="2"/>
  <c r="Q68" i="2"/>
  <c r="Q67" i="2"/>
  <c r="Q65" i="2"/>
  <c r="W22" i="2"/>
  <c r="V17" i="2"/>
  <c r="K35" i="2"/>
  <c r="K36" i="2"/>
  <c r="K34" i="2"/>
  <c r="K33" i="2"/>
  <c r="K28" i="2"/>
  <c r="K32" i="2"/>
  <c r="K31" i="2"/>
  <c r="K30" i="2"/>
  <c r="K29" i="2"/>
  <c r="K26" i="2"/>
  <c r="K134" i="2"/>
  <c r="K135" i="2" s="1"/>
  <c r="W41" i="3"/>
  <c r="W40" i="3"/>
  <c r="W39" i="3"/>
  <c r="W38" i="3"/>
  <c r="W35" i="3"/>
  <c r="W33" i="3"/>
  <c r="W37" i="3"/>
  <c r="W36" i="3"/>
  <c r="W34" i="3"/>
  <c r="W31" i="3"/>
  <c r="E146" i="2"/>
  <c r="E145" i="2"/>
  <c r="E144" i="2"/>
  <c r="E143" i="2"/>
  <c r="E142" i="2"/>
  <c r="E141" i="2"/>
  <c r="E140" i="2"/>
  <c r="E139" i="2"/>
  <c r="E138" i="2"/>
  <c r="E136" i="2"/>
  <c r="E111" i="2"/>
  <c r="E110" i="2"/>
  <c r="E109" i="2"/>
  <c r="E108" i="2"/>
  <c r="E107" i="2"/>
  <c r="E106" i="2"/>
  <c r="E105" i="2"/>
  <c r="E104" i="2"/>
  <c r="E103" i="2"/>
  <c r="E101" i="2"/>
  <c r="E37" i="3"/>
  <c r="E36" i="3"/>
  <c r="E34" i="3"/>
  <c r="E31" i="3"/>
  <c r="E41" i="3"/>
  <c r="E40" i="3"/>
  <c r="E39" i="3"/>
  <c r="E38" i="3"/>
  <c r="E35" i="3"/>
  <c r="E33" i="3"/>
  <c r="K111" i="2"/>
  <c r="K110" i="2"/>
  <c r="K109" i="2"/>
  <c r="K108" i="2"/>
  <c r="K107" i="2"/>
  <c r="K106" i="2"/>
  <c r="K105" i="2"/>
  <c r="K104" i="2"/>
  <c r="K103" i="2"/>
  <c r="K101" i="2"/>
  <c r="K75" i="2"/>
  <c r="K74" i="2"/>
  <c r="K73" i="2"/>
  <c r="K72" i="2"/>
  <c r="K71" i="2"/>
  <c r="K70" i="2"/>
  <c r="K69" i="2"/>
  <c r="K68" i="2"/>
  <c r="K67" i="2"/>
  <c r="K65" i="2"/>
  <c r="Q111" i="2"/>
  <c r="Q110" i="2"/>
  <c r="Q109" i="2"/>
  <c r="Q108" i="2"/>
  <c r="Q107" i="2"/>
  <c r="Q106" i="2"/>
  <c r="Q105" i="2"/>
  <c r="Q104" i="2"/>
  <c r="Q103" i="2"/>
  <c r="Q101" i="2"/>
  <c r="K82" i="3"/>
  <c r="K81" i="3"/>
  <c r="K79" i="3"/>
  <c r="K77" i="3"/>
  <c r="K74" i="3"/>
  <c r="K84" i="3"/>
  <c r="K83" i="3"/>
  <c r="K80" i="3"/>
  <c r="K78" i="3"/>
  <c r="K76" i="3"/>
  <c r="E84" i="3"/>
  <c r="E83" i="3"/>
  <c r="E80" i="3"/>
  <c r="E78" i="3"/>
  <c r="E76" i="3"/>
  <c r="E82" i="3"/>
  <c r="E81" i="3"/>
  <c r="E79" i="3"/>
  <c r="E77" i="3"/>
  <c r="E74" i="3"/>
  <c r="AC42" i="3"/>
  <c r="AC37" i="3"/>
  <c r="AC36" i="3"/>
  <c r="AC34" i="3"/>
  <c r="AC32" i="3"/>
  <c r="AC41" i="3"/>
  <c r="AC40" i="3"/>
  <c r="AC39" i="3"/>
  <c r="AC38" i="3"/>
  <c r="AC35" i="3"/>
  <c r="K146" i="2" l="1"/>
  <c r="K145" i="2"/>
  <c r="K144" i="2"/>
  <c r="K143" i="2"/>
  <c r="K142" i="2"/>
  <c r="K141" i="2"/>
  <c r="K140" i="2"/>
  <c r="K139" i="2"/>
  <c r="K138" i="2"/>
  <c r="K136" i="2"/>
  <c r="W23" i="2"/>
  <c r="W24" i="2" s="1"/>
  <c r="Q146" i="2"/>
  <c r="Q145" i="2"/>
  <c r="Q144" i="2"/>
  <c r="Q143" i="2"/>
  <c r="Q142" i="2"/>
  <c r="Q141" i="2"/>
  <c r="Q140" i="2"/>
  <c r="Q139" i="2"/>
  <c r="Q138" i="2"/>
  <c r="Q136" i="2"/>
  <c r="W146" i="2"/>
  <c r="W145" i="2"/>
  <c r="W144" i="2"/>
  <c r="W143" i="2"/>
  <c r="W142" i="2"/>
  <c r="W141" i="2"/>
  <c r="W140" i="2"/>
  <c r="W139" i="2"/>
  <c r="W138" i="2"/>
  <c r="W136" i="2"/>
  <c r="E36" i="2"/>
  <c r="E35" i="2"/>
  <c r="E32" i="2"/>
  <c r="E31" i="2"/>
  <c r="E30" i="2"/>
  <c r="E29" i="2"/>
  <c r="E28" i="2"/>
  <c r="E26" i="2"/>
  <c r="E34" i="2"/>
  <c r="E33" i="2"/>
  <c r="W35" i="2" l="1"/>
  <c r="W36" i="2"/>
  <c r="W34" i="2"/>
  <c r="W33" i="2"/>
  <c r="W32" i="2"/>
  <c r="W31" i="2"/>
  <c r="W30" i="2"/>
  <c r="W29" i="2"/>
  <c r="W28" i="2"/>
  <c r="W26" i="2"/>
</calcChain>
</file>

<file path=xl/sharedStrings.xml><?xml version="1.0" encoding="utf-8"?>
<sst xmlns="http://schemas.openxmlformats.org/spreadsheetml/2006/main" count="2244" uniqueCount="395">
  <si>
    <t>Source:</t>
  </si>
  <si>
    <t>2017/2018</t>
  </si>
  <si>
    <t>BLS / OES</t>
  </si>
  <si>
    <t>Position</t>
  </si>
  <si>
    <r>
      <t>Median</t>
    </r>
    <r>
      <rPr>
        <b/>
        <sz val="16"/>
        <color rgb="FFFF0000"/>
        <rFont val="Calibri"/>
        <family val="2"/>
        <scheme val="minor"/>
      </rPr>
      <t xml:space="preserve"> </t>
    </r>
  </si>
  <si>
    <t>Median</t>
  </si>
  <si>
    <t>Change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</si>
  <si>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</si>
  <si>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</si>
  <si>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</si>
  <si>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</si>
  <si>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</si>
  <si>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</si>
  <si>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</si>
  <si>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</si>
  <si>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</si>
  <si>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</si>
  <si>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</si>
  <si>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</si>
  <si>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</si>
  <si>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</si>
  <si>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</si>
  <si>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</si>
  <si>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</si>
  <si>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</si>
  <si>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</si>
  <si>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</si>
  <si>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</si>
  <si>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</si>
  <si>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</si>
  <si>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</si>
  <si>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</si>
  <si>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</si>
  <si>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Program Management (hourly)</t>
  </si>
  <si>
    <t xml:space="preserve">Program manager, management, </t>
  </si>
  <si>
    <t>BA Level w/ 3+ years related work experience</t>
  </si>
  <si>
    <t>Program Management (annual)</t>
  </si>
  <si>
    <t xml:space="preserve"> program director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</si>
  <si>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</si>
  <si>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</si>
  <si>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</si>
  <si>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</si>
  <si>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</si>
  <si>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</si>
  <si>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</si>
  <si>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</si>
  <si>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</si>
  <si>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</si>
  <si>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</si>
  <si>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</si>
  <si>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</si>
  <si>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</si>
  <si>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</si>
  <si>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</si>
  <si>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</si>
  <si>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&amp; Direct Care Relief Staff are benched to Direct Care</t>
  </si>
  <si>
    <t>Overnight staff (asleep or awake) benchmarked to $14.63 / hr (avg CY22 &amp; CY23)</t>
  </si>
  <si>
    <t>CY21 min. wage = $13.50 and CY22 min. wage = $14.25 and CY23 = $15.00</t>
  </si>
  <si>
    <t xml:space="preserve">Tax and Fringe  =  </t>
  </si>
  <si>
    <t xml:space="preserve">Benchmarked to FY21 (proposed) Commonwealth (office of the Comptroller) T&amp;F rate, less </t>
  </si>
  <si>
    <t>Terminal leave, retirement and Paid Family Medical Leave tax. FY22 Proposed is 21.87% with same parameters as above</t>
  </si>
  <si>
    <t>PFMLA</t>
  </si>
  <si>
    <t>Admin Allocation</t>
  </si>
  <si>
    <t>C.257 Benchmark</t>
  </si>
  <si>
    <t>CAF</t>
  </si>
  <si>
    <t>Prospective period 1/1/22 - 12/31/23</t>
  </si>
  <si>
    <t>PROVIDER LEASED</t>
  </si>
  <si>
    <t>Master Look-Up Data</t>
  </si>
  <si>
    <t>Capacity Level A</t>
  </si>
  <si>
    <t>Capacity Level B</t>
  </si>
  <si>
    <t>Capacity Level C</t>
  </si>
  <si>
    <t>Capacity Level D</t>
  </si>
  <si>
    <t>Relief Assumptions:</t>
  </si>
  <si>
    <t>Days</t>
  </si>
  <si>
    <t>Hours</t>
  </si>
  <si>
    <t>Consumers:</t>
  </si>
  <si>
    <t>12-14</t>
  </si>
  <si>
    <t>Days:</t>
  </si>
  <si>
    <t>15-17</t>
  </si>
  <si>
    <t>18-22</t>
  </si>
  <si>
    <t>23-26</t>
  </si>
  <si>
    <t>vacation</t>
  </si>
  <si>
    <t>sick/ personal</t>
  </si>
  <si>
    <t>holidays</t>
  </si>
  <si>
    <t>Client to Staff Ratio</t>
  </si>
  <si>
    <t>Salary</t>
  </si>
  <si>
    <t>FTE</t>
  </si>
  <si>
    <t>Expense</t>
  </si>
  <si>
    <t>training</t>
  </si>
  <si>
    <t>Direct Mgmt Staffing</t>
  </si>
  <si>
    <t>Total Hours per FTE:</t>
  </si>
  <si>
    <t>% of FTE</t>
  </si>
  <si>
    <t>Direct Care</t>
  </si>
  <si>
    <t xml:space="preserve">Direct Care </t>
  </si>
  <si>
    <t>Direct Care Support Staffing</t>
  </si>
  <si>
    <t>Total Dir Care Staff</t>
  </si>
  <si>
    <t>BLS 2020 Benchmarks</t>
  </si>
  <si>
    <t>Clinical Director</t>
  </si>
  <si>
    <t>Expenses</t>
  </si>
  <si>
    <t>Unit Cost</t>
  </si>
  <si>
    <t>Clinical (LICSW)</t>
  </si>
  <si>
    <t>Taxes &amp; Fringe</t>
  </si>
  <si>
    <t>Total Compensation</t>
  </si>
  <si>
    <t>Relief</t>
  </si>
  <si>
    <t>Occupancy</t>
  </si>
  <si>
    <t>Capacity:</t>
  </si>
  <si>
    <t>23-30</t>
  </si>
  <si>
    <t xml:space="preserve">Other Exp. </t>
  </si>
  <si>
    <t>Clinical</t>
  </si>
  <si>
    <t>Total Reimb. Exp. excl. M &amp; G</t>
  </si>
  <si>
    <t xml:space="preserve">Admin. Alloc. </t>
  </si>
  <si>
    <t>Co-located State-Owned Facilities</t>
  </si>
  <si>
    <t>TOTAL</t>
  </si>
  <si>
    <t>All other programs:</t>
  </si>
  <si>
    <t>RATE:</t>
  </si>
  <si>
    <t>FTE Ratio</t>
  </si>
  <si>
    <t>Utilization RATE:</t>
  </si>
  <si>
    <t>Direct Care Staffing</t>
  </si>
  <si>
    <t>.</t>
  </si>
  <si>
    <t>FY21  benchmark</t>
  </si>
  <si>
    <t>Provider Leased Facilities</t>
  </si>
  <si>
    <t>FY20 UFR Data</t>
  </si>
  <si>
    <t>Provider Owned Facilities</t>
  </si>
  <si>
    <t>State Owned Facilities</t>
  </si>
  <si>
    <t>PROVIDER OWNED</t>
  </si>
  <si>
    <t>PFMLA Trust Contribution</t>
  </si>
  <si>
    <t>STATE OWNED - SEPARATE</t>
  </si>
  <si>
    <t>STATE OWNED - COLOCATED</t>
  </si>
  <si>
    <t>Intensive Trans. Indep. Living (Program A)</t>
  </si>
  <si>
    <t>Capacity Level E</t>
  </si>
  <si>
    <t>5-11</t>
  </si>
  <si>
    <t>Benchmark Ave Salary</t>
  </si>
  <si>
    <t>Direct Care III</t>
  </si>
  <si>
    <t>(20/80 split)</t>
  </si>
  <si>
    <t>Effective 7/1/19</t>
  </si>
  <si>
    <t>CAF Rate</t>
  </si>
  <si>
    <t>Independent Living (Program B)</t>
  </si>
  <si>
    <t>Occupancy &amp; other Expences</t>
  </si>
  <si>
    <t xml:space="preserve"> </t>
  </si>
  <si>
    <t>SAL</t>
  </si>
  <si>
    <t>EXP</t>
  </si>
  <si>
    <t>Teacher</t>
  </si>
  <si>
    <t>Teacher / Ed. Coordinator</t>
  </si>
  <si>
    <t>Summer Teacher Salary / FTE</t>
  </si>
  <si>
    <t>Taxes and Fringe</t>
  </si>
  <si>
    <t>Summer Teacher Coord. Salary / FTE</t>
  </si>
  <si>
    <t>Administrative Overhead</t>
  </si>
  <si>
    <t>WITH CAF:</t>
  </si>
  <si>
    <t>Utilization</t>
  </si>
  <si>
    <t xml:space="preserve">Clinical Director ADD-ON RATE </t>
  </si>
  <si>
    <t>Consumer Days</t>
  </si>
  <si>
    <t>Avg Consumer</t>
  </si>
  <si>
    <t xml:space="preserve">FTE: </t>
  </si>
  <si>
    <t>Position - Add-on</t>
  </si>
  <si>
    <t>Unit</t>
  </si>
  <si>
    <t>Rate</t>
  </si>
  <si>
    <t>Per Youth, Per Day</t>
  </si>
  <si>
    <t>Clinician (LICSW)</t>
  </si>
  <si>
    <t>Per Youth Per Day</t>
  </si>
  <si>
    <t>27-30</t>
  </si>
  <si>
    <t>ADD-ON RATE:</t>
  </si>
  <si>
    <t xml:space="preserve">Clinician (LICSW)  ADD-ON RATE </t>
  </si>
  <si>
    <t>Direct Care  ADD-ON RATE</t>
  </si>
  <si>
    <t>floor</t>
  </si>
  <si>
    <t>ceiling</t>
  </si>
  <si>
    <t>average</t>
  </si>
  <si>
    <t>weighted average</t>
  </si>
  <si>
    <t>median</t>
  </si>
  <si>
    <t>max</t>
  </si>
  <si>
    <t>min</t>
  </si>
  <si>
    <t>1S</t>
  </si>
  <si>
    <t>2S</t>
  </si>
  <si>
    <t>3S</t>
  </si>
  <si>
    <t>17E</t>
  </si>
  <si>
    <t>22E</t>
  </si>
  <si>
    <t>28E</t>
  </si>
  <si>
    <t>29E</t>
  </si>
  <si>
    <t>33E</t>
  </si>
  <si>
    <t>OrganizationName</t>
  </si>
  <si>
    <t>Sum of FTE</t>
  </si>
  <si>
    <t>Program Director (UFR Title 102)</t>
  </si>
  <si>
    <t>Program Function Manager (UFR Title 101)</t>
  </si>
  <si>
    <t>Asst. Program Director (UFR Title 103)</t>
  </si>
  <si>
    <t>Total Occupancy</t>
  </si>
  <si>
    <t>Staff Training 204</t>
  </si>
  <si>
    <t>Incidental Medical /Medicine/Pharmacy 209</t>
  </si>
  <si>
    <t>Client Personal Allowances 211</t>
  </si>
  <si>
    <t>Program Supplies &amp; Materials 215</t>
  </si>
  <si>
    <t>NFI Massachusetts, Inc</t>
  </si>
  <si>
    <t>Sum of Actual</t>
  </si>
  <si>
    <t/>
  </si>
  <si>
    <t>Old Colony Y</t>
  </si>
  <si>
    <t>Roxbury Youthworks Inc.</t>
  </si>
  <si>
    <t>Seven Hills Foundation and Affiliates</t>
  </si>
  <si>
    <t>Avg Staff * Occ per Staff</t>
  </si>
  <si>
    <t>Prov Leased</t>
  </si>
  <si>
    <t>Provider Owned</t>
  </si>
  <si>
    <t>State Owned</t>
  </si>
  <si>
    <t>Massachusetts Economic Indicators</t>
  </si>
  <si>
    <t>IHS Markit, Spring 2021 Forecast</t>
  </si>
  <si>
    <t>Prepared by Michael Lynch, 781-301-9129</t>
  </si>
  <si>
    <t>FY20</t>
  </si>
  <si>
    <t>FY21</t>
  </si>
  <si>
    <t>FY22</t>
  </si>
  <si>
    <t>FY23</t>
  </si>
  <si>
    <t>FY24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</si>
  <si>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</si>
  <si>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</si>
  <si>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</si>
  <si>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</si>
  <si>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</si>
  <si>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</si>
  <si>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</si>
  <si>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</si>
  <si>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</si>
  <si>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</si>
  <si>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</si>
  <si>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</si>
  <si>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</si>
  <si>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</si>
  <si>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</si>
  <si>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</si>
  <si>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</si>
  <si>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</si>
  <si>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</si>
  <si>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</si>
  <si>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</si>
  <si>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</si>
  <si>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</si>
  <si>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</si>
  <si>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</si>
  <si>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</si>
  <si>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</si>
  <si>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</si>
  <si>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</si>
  <si>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</si>
  <si>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</si>
  <si>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</si>
  <si>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</si>
  <si>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</si>
  <si>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</si>
  <si>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</si>
  <si>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</si>
  <si>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</si>
  <si>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</si>
  <si>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</si>
  <si>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</si>
  <si>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</si>
  <si>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</si>
  <si>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</si>
  <si>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</si>
  <si>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</si>
  <si>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</si>
  <si>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</si>
  <si>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</si>
  <si>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</si>
  <si>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</si>
  <si>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</si>
  <si>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</si>
  <si>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</si>
  <si>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</si>
  <si>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</si>
  <si>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</si>
  <si>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</si>
  <si>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</si>
  <si>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</si>
  <si>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</si>
  <si>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</si>
  <si>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</si>
  <si>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</si>
  <si>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</si>
  <si>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</si>
  <si>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</si>
  <si>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</si>
  <si>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</si>
  <si>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</si>
  <si>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</si>
  <si>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</si>
  <si>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</si>
  <si>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</si>
  <si>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</si>
  <si>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</si>
  <si>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</si>
  <si>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</si>
  <si>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</si>
  <si>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</si>
  <si>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</si>
  <si>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</si>
  <si>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</si>
  <si>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</si>
  <si>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</si>
  <si>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</si>
  <si>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</si>
  <si>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</si>
  <si>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</si>
  <si>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</si>
  <si>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</si>
  <si>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</si>
  <si>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</si>
  <si>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</si>
  <si>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</si>
  <si>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</si>
  <si>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 January 1, 2022</t>
  </si>
  <si>
    <t xml:space="preserve">Base period: </t>
  </si>
  <si>
    <t>FY22Q2</t>
  </si>
  <si>
    <t>Average</t>
  </si>
  <si>
    <t xml:space="preserve">Prospective rate period: </t>
  </si>
  <si>
    <t>1/1/22 - 12/31/23</t>
  </si>
  <si>
    <t>CAF:</t>
  </si>
  <si>
    <t>Assumption for Rate Reviews that are to be promulgated  July 1, 2022</t>
  </si>
  <si>
    <t>FY22Q4</t>
  </si>
  <si>
    <t>7/1/22 - 6/30/24</t>
  </si>
  <si>
    <t>(FY23 and FY24)</t>
  </si>
  <si>
    <t>Master Data Look-up Table</t>
  </si>
  <si>
    <t>Western Region</t>
  </si>
  <si>
    <t>Northeast Region</t>
  </si>
  <si>
    <t>Benchmark Salaries</t>
  </si>
  <si>
    <t>Source</t>
  </si>
  <si>
    <t>Average Clients</t>
  </si>
  <si>
    <t>Client Days:</t>
  </si>
  <si>
    <t>Regional Management Oversight</t>
  </si>
  <si>
    <t>M2020 BLS Benchmark</t>
  </si>
  <si>
    <t>Days Open Per Year</t>
  </si>
  <si>
    <t>Regional Manager</t>
  </si>
  <si>
    <t xml:space="preserve">Community Clinical Coordinator (Clinical Director) </t>
  </si>
  <si>
    <t>Regional Staff</t>
  </si>
  <si>
    <t xml:space="preserve">Family Engagement Specialist </t>
  </si>
  <si>
    <t>M2020 BLS Benchmark for Licensed Social Worker</t>
  </si>
  <si>
    <t xml:space="preserve">Youth Service Coordinator    </t>
  </si>
  <si>
    <t>FTEs</t>
  </si>
  <si>
    <t>20:1</t>
  </si>
  <si>
    <t xml:space="preserve">Purchaser  Recommendation </t>
  </si>
  <si>
    <t>District Staff</t>
  </si>
  <si>
    <t>Youth Service Coordinator</t>
  </si>
  <si>
    <t>Total Program Staff</t>
  </si>
  <si>
    <t xml:space="preserve">Youth Service Coordinator </t>
  </si>
  <si>
    <t>Tax and Fringe</t>
  </si>
  <si>
    <t>Benchmark Expenses</t>
  </si>
  <si>
    <t>Occupancy (Western Region)</t>
  </si>
  <si>
    <t>FY18 UFR plus purchaser recommendation adjustments</t>
  </si>
  <si>
    <t>Occupancy (Northeast Region)</t>
  </si>
  <si>
    <t xml:space="preserve">Staff Training </t>
  </si>
  <si>
    <t>Occupancy (Southeast Region)</t>
  </si>
  <si>
    <t xml:space="preserve">Staff Mileage </t>
  </si>
  <si>
    <t>Occupancy (Central Region)</t>
  </si>
  <si>
    <t>Vehicle Expense</t>
  </si>
  <si>
    <t>Occupancy (Metro Boston Region)</t>
  </si>
  <si>
    <t>Program Supplies and Material</t>
  </si>
  <si>
    <t>Program Support</t>
  </si>
  <si>
    <t>101 CMR 411.00: Rates for Certain Placement and Support Services + prior CAF's</t>
  </si>
  <si>
    <t>Flex Funds</t>
  </si>
  <si>
    <t>Staff Mileage - Per region per month</t>
  </si>
  <si>
    <t>.45/mile Avg. total cost for five regions = prior CAFs</t>
  </si>
  <si>
    <t>Total Reimb excl M&amp;G</t>
  </si>
  <si>
    <t>101 CMR 420: Rates for Adult Long Term Residential Services+Prior CAFs</t>
  </si>
  <si>
    <t>Program Supplies and Material Region (per client)</t>
  </si>
  <si>
    <t>Purchaser Recommendation + prior CAFs</t>
  </si>
  <si>
    <t>Admin. Allocation</t>
  </si>
  <si>
    <t>Program Support (per client)</t>
  </si>
  <si>
    <t>Flex Funds (per client)</t>
  </si>
  <si>
    <t>Effective 10/1/19</t>
  </si>
  <si>
    <t>Rate with CAF</t>
  </si>
  <si>
    <t xml:space="preserve"> Rate with CAF</t>
  </si>
  <si>
    <t>Enrollment Day RATE:</t>
  </si>
  <si>
    <t>CAF Rate (Rate Review Jan 2022)</t>
  </si>
  <si>
    <t>Base Period FY22Q2 - Prospective Period 1/1/22 through 12/31/23</t>
  </si>
  <si>
    <t>Southeast Region</t>
  </si>
  <si>
    <t>Boston Metro Region</t>
  </si>
  <si>
    <t>Central Regions</t>
  </si>
  <si>
    <t xml:space="preserve">Administrative Assistant / Transporter
</t>
  </si>
  <si>
    <t>Youth Service Coordinator /Direct Care III</t>
  </si>
  <si>
    <t>Occupancy Add-on</t>
  </si>
  <si>
    <t>Tax &amp; Fringe</t>
  </si>
  <si>
    <t>Total Tax &amp; Fringe</t>
  </si>
  <si>
    <t>Subtotal Compensation</t>
  </si>
  <si>
    <t>TOTAL COMPENSATION</t>
  </si>
  <si>
    <t>Proposed FY22 Monthly Rates (1.0 FTE)</t>
  </si>
  <si>
    <t>Proposed FY22 Monthly Rates (0.50FTE)</t>
  </si>
  <si>
    <t>READY
Formerlly know as Mass START</t>
  </si>
  <si>
    <t>MassSTART
Metro Model Greater than 170 Clients</t>
  </si>
  <si>
    <t>Clients</t>
  </si>
  <si>
    <t>Substance Abuse Case Worker (BA Level Social Work)</t>
  </si>
  <si>
    <t>BLS M2020 Benchmark</t>
  </si>
  <si>
    <t>Capacity</t>
  </si>
  <si>
    <t>Substance Aubse Case Manager</t>
  </si>
  <si>
    <t>Purchaser recommendation</t>
  </si>
  <si>
    <t>Tax and fringe</t>
  </si>
  <si>
    <t>FY21 Benchmark</t>
  </si>
  <si>
    <t>PFLMA Contribution</t>
  </si>
  <si>
    <t>Per FTE. Includes Flex Funds, Training, Travel &amp; Occupancy (Purchaser Reccomendation)</t>
  </si>
  <si>
    <t>Program Supplies &amp; Materials</t>
  </si>
  <si>
    <t xml:space="preserve">Program Supplies, materials and support </t>
  </si>
  <si>
    <t>Admininstrative Allocation</t>
  </si>
  <si>
    <t>Cost Adjustment Factor (CAF) Rate Review</t>
  </si>
  <si>
    <t>CAF: (Rate Review)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</si>
</sst>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\$#,##0"/>
    <numFmt numFmtId="168" formatCode="0.0"/>
    <numFmt numFmtId="169" formatCode="#,##0.0_);\(#,##0.0\)"/>
    <numFmt numFmtId="170" formatCode="0.0%"/>
    <numFmt numFmtId="171" formatCode="\$#,##0.00"/>
    <numFmt numFmtId="172" formatCode="_(* #,##0_);_(* \(#,##0\);_(* &quot;-&quot;??_);_(@_)"/>
    <numFmt numFmtId="173" formatCode="_(&quot;$&quot;* #,##0_);_(&quot;$&quot;* \(#,##0\);_(&quot;$&quot;* &quot;-&quot;??_);_(@_)"/>
    <numFmt numFmtId="174" formatCode="0.000"/>
  </numFmts>
  <fonts count="80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MS Sans Serif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trike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b/>
      <sz val="12"/>
      <color indexed="3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sz val="14"/>
      <name val="Calibri"/>
      <family val="2"/>
      <scheme val="minor"/>
    </font>
    <font>
      <sz val="22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color indexed="8"/>
      <name val="Calibri"/>
      <family val="2"/>
      <scheme val="minor"/>
    </font>
    <font>
      <sz val="16"/>
      <color indexed="17"/>
      <name val="Calibri"/>
      <family val="2"/>
      <scheme val="minor"/>
    </font>
    <font>
      <sz val="16"/>
      <color indexed="30"/>
      <name val="Calibri"/>
      <family val="2"/>
      <scheme val="minor"/>
    </font>
    <font>
      <b/>
      <u/>
      <sz val="16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8"/>
      </bottom>
      <diagonal/>
    </border>
    <border>
      <left/>
      <right/>
      <top style="thin">
        <color indexed="58"/>
      </top>
      <bottom style="double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9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" fillId="0" borderId="0"/>
    <xf numFmtId="9" fontId="16" fillId="0" borderId="0" applyFon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38" fillId="14" borderId="0" applyNumberFormat="0" applyBorder="0" applyAlignment="0" applyProtection="0"/>
    <xf numFmtId="0" fontId="39" fillId="2" borderId="0" applyNumberFormat="0" applyBorder="0" applyAlignment="0" applyProtection="0"/>
    <xf numFmtId="0" fontId="40" fillId="0" borderId="62" applyNumberFormat="0" applyFont="0" applyProtection="0">
      <alignment wrapText="1"/>
    </xf>
    <xf numFmtId="0" fontId="41" fillId="31" borderId="63" applyNumberFormat="0" applyAlignment="0" applyProtection="0"/>
    <xf numFmtId="0" fontId="41" fillId="31" borderId="63" applyNumberFormat="0" applyAlignment="0" applyProtection="0"/>
    <xf numFmtId="0" fontId="41" fillId="31" borderId="63" applyNumberFormat="0" applyAlignment="0" applyProtection="0"/>
    <xf numFmtId="0" fontId="42" fillId="32" borderId="64" applyNumberFormat="0" applyAlignment="0" applyProtection="0"/>
    <xf numFmtId="41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2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65" applyNumberFormat="0" applyProtection="0">
      <alignment wrapText="1"/>
    </xf>
    <xf numFmtId="0" fontId="45" fillId="15" borderId="0" applyNumberFormat="0" applyBorder="0" applyAlignment="0" applyProtection="0"/>
    <xf numFmtId="0" fontId="46" fillId="0" borderId="66" applyNumberFormat="0" applyProtection="0">
      <alignment wrapText="1"/>
    </xf>
    <xf numFmtId="0" fontId="47" fillId="0" borderId="67" applyNumberFormat="0" applyFill="0" applyAlignment="0" applyProtection="0"/>
    <xf numFmtId="0" fontId="4" fillId="0" borderId="1" applyNumberFormat="0" applyFill="0" applyAlignment="0" applyProtection="0"/>
    <xf numFmtId="0" fontId="47" fillId="0" borderId="67" applyNumberFormat="0" applyFill="0" applyAlignment="0" applyProtection="0"/>
    <xf numFmtId="0" fontId="48" fillId="0" borderId="68" applyNumberFormat="0" applyFill="0" applyAlignment="0" applyProtection="0"/>
    <xf numFmtId="0" fontId="5" fillId="0" borderId="2" applyNumberFormat="0" applyFill="0" applyAlignment="0" applyProtection="0"/>
    <xf numFmtId="0" fontId="48" fillId="0" borderId="68" applyNumberFormat="0" applyFill="0" applyAlignment="0" applyProtection="0"/>
    <xf numFmtId="0" fontId="49" fillId="0" borderId="69" applyNumberFormat="0" applyFill="0" applyAlignment="0" applyProtection="0"/>
    <xf numFmtId="0" fontId="6" fillId="0" borderId="3" applyNumberFormat="0" applyFill="0" applyAlignment="0" applyProtection="0"/>
    <xf numFmtId="0" fontId="49" fillId="0" borderId="69" applyNumberFormat="0" applyFill="0" applyAlignment="0" applyProtection="0"/>
    <xf numFmtId="0" fontId="4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18" borderId="63" applyNumberFormat="0" applyAlignment="0" applyProtection="0"/>
    <xf numFmtId="0" fontId="51" fillId="18" borderId="63" applyNumberFormat="0" applyAlignment="0" applyProtection="0"/>
    <xf numFmtId="0" fontId="51" fillId="18" borderId="63" applyNumberFormat="0" applyAlignment="0" applyProtection="0"/>
    <xf numFmtId="0" fontId="52" fillId="0" borderId="70" applyNumberFormat="0" applyFill="0" applyAlignment="0" applyProtection="0"/>
    <xf numFmtId="0" fontId="7" fillId="0" borderId="4" applyNumberFormat="0" applyFill="0" applyAlignment="0" applyProtection="0"/>
    <xf numFmtId="0" fontId="52" fillId="0" borderId="70" applyNumberFormat="0" applyFill="0" applyAlignment="0" applyProtection="0"/>
    <xf numFmtId="0" fontId="53" fillId="33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43" fillId="0" borderId="0"/>
    <xf numFmtId="0" fontId="20" fillId="0" borderId="0"/>
    <xf numFmtId="0" fontId="36" fillId="0" borderId="0"/>
    <xf numFmtId="0" fontId="43" fillId="0" borderId="0"/>
    <xf numFmtId="0" fontId="20" fillId="0" borderId="0"/>
    <xf numFmtId="0" fontId="43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4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5" fillId="0" borderId="0">
      <alignment vertical="top"/>
    </xf>
    <xf numFmtId="0" fontId="55" fillId="0" borderId="0"/>
    <xf numFmtId="0" fontId="1" fillId="0" borderId="0"/>
    <xf numFmtId="0" fontId="20" fillId="0" borderId="0"/>
    <xf numFmtId="0" fontId="1" fillId="0" borderId="0"/>
    <xf numFmtId="0" fontId="43" fillId="0" borderId="0"/>
    <xf numFmtId="0" fontId="20" fillId="0" borderId="0"/>
    <xf numFmtId="0" fontId="43" fillId="0" borderId="0"/>
    <xf numFmtId="0" fontId="1" fillId="0" borderId="0"/>
    <xf numFmtId="0" fontId="20" fillId="0" borderId="0"/>
    <xf numFmtId="0" fontId="43" fillId="0" borderId="0"/>
    <xf numFmtId="0" fontId="1" fillId="0" borderId="0"/>
    <xf numFmtId="0" fontId="1" fillId="0" borderId="0"/>
    <xf numFmtId="0" fontId="43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3" borderId="5" applyNumberFormat="0" applyFont="0" applyAlignment="0" applyProtection="0"/>
    <xf numFmtId="0" fontId="20" fillId="34" borderId="71" applyNumberFormat="0" applyFont="0" applyAlignment="0" applyProtection="0"/>
    <xf numFmtId="0" fontId="20" fillId="34" borderId="71" applyNumberFormat="0" applyFont="0" applyAlignment="0" applyProtection="0"/>
    <xf numFmtId="0" fontId="56" fillId="31" borderId="72" applyNumberFormat="0" applyAlignment="0" applyProtection="0"/>
    <xf numFmtId="0" fontId="56" fillId="31" borderId="72" applyNumberFormat="0" applyAlignment="0" applyProtection="0"/>
    <xf numFmtId="0" fontId="56" fillId="31" borderId="72" applyNumberFormat="0" applyAlignment="0" applyProtection="0"/>
    <xf numFmtId="0" fontId="46" fillId="0" borderId="73" applyNumberFormat="0" applyProtection="0">
      <alignment wrapText="1"/>
    </xf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7" fillId="0" borderId="0" applyNumberFormat="0" applyProtection="0">
      <alignment horizontal="left"/>
    </xf>
    <xf numFmtId="0" fontId="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74" applyNumberFormat="0" applyFill="0" applyAlignment="0" applyProtection="0"/>
    <xf numFmtId="0" fontId="10" fillId="0" borderId="6" applyNumberFormat="0" applyFill="0" applyAlignment="0" applyProtection="0"/>
    <xf numFmtId="0" fontId="59" fillId="0" borderId="74" applyNumberFormat="0" applyFill="0" applyAlignment="0" applyProtection="0"/>
    <xf numFmtId="0" fontId="6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</cellStyleXfs>
  <cellXfs count="755">
    <xf numFmtId="0" fontId="0" fillId="0" borderId="0" xfId="0"/>
    <xf numFmtId="0" fontId="0" fillId="0" borderId="0" xfId="4" applyFont="1"/>
    <xf numFmtId="0" fontId="11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2" fillId="0" borderId="0" xfId="4"/>
    <xf numFmtId="0" fontId="2" fillId="0" borderId="0" xfId="4" applyAlignment="1">
      <alignment wrapText="1"/>
    </xf>
    <xf numFmtId="17" fontId="13" fillId="0" borderId="0" xfId="4" applyNumberFormat="1" applyFont="1" applyAlignment="1">
      <alignment horizontal="center"/>
    </xf>
    <xf numFmtId="0" fontId="14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14" fillId="0" borderId="0" xfId="4" applyNumberFormat="1" applyFont="1" applyAlignment="1">
      <alignment horizontal="left" vertical="top"/>
    </xf>
    <xf numFmtId="0" fontId="15" fillId="0" borderId="0" xfId="4" applyFont="1"/>
    <xf numFmtId="0" fontId="15" fillId="0" borderId="0" xfId="4" applyFont="1" applyAlignment="1">
      <alignment wrapText="1"/>
    </xf>
    <xf numFmtId="0" fontId="14" fillId="0" borderId="0" xfId="4" applyFont="1"/>
    <xf numFmtId="9" fontId="14" fillId="0" borderId="0" xfId="4" applyNumberFormat="1" applyFont="1" applyAlignment="1">
      <alignment horizontal="center" wrapText="1"/>
    </xf>
    <xf numFmtId="9" fontId="14" fillId="0" borderId="0" xfId="4" applyNumberFormat="1" applyFont="1" applyAlignment="1">
      <alignment horizontal="center"/>
    </xf>
    <xf numFmtId="0" fontId="14" fillId="0" borderId="0" xfId="4" applyFont="1" applyAlignment="1">
      <alignment horizontal="left" wrapText="1"/>
    </xf>
    <xf numFmtId="0" fontId="15" fillId="0" borderId="7" xfId="4" applyFont="1" applyBorder="1"/>
    <xf numFmtId="165" fontId="15" fillId="0" borderId="8" xfId="4" applyNumberFormat="1" applyFont="1" applyBorder="1" applyAlignment="1">
      <alignment horizontal="center"/>
    </xf>
    <xf numFmtId="9" fontId="15" fillId="0" borderId="8" xfId="5" applyFont="1" applyBorder="1" applyAlignment="1">
      <alignment horizontal="center"/>
    </xf>
    <xf numFmtId="165" fontId="2" fillId="0" borderId="11" xfId="4" applyNumberFormat="1" applyBorder="1"/>
    <xf numFmtId="165" fontId="2" fillId="0" borderId="0" xfId="4" applyNumberFormat="1"/>
    <xf numFmtId="0" fontId="15" fillId="0" borderId="12" xfId="4" applyFont="1" applyBorder="1"/>
    <xf numFmtId="166" fontId="15" fillId="0" borderId="13" xfId="4" applyNumberFormat="1" applyFont="1" applyFill="1" applyBorder="1" applyAlignment="1">
      <alignment horizontal="center"/>
    </xf>
    <xf numFmtId="166" fontId="15" fillId="0" borderId="13" xfId="4" applyNumberFormat="1" applyFont="1" applyBorder="1" applyAlignment="1">
      <alignment horizontal="center"/>
    </xf>
    <xf numFmtId="9" fontId="15" fillId="0" borderId="14" xfId="5" applyFont="1" applyBorder="1" applyAlignment="1">
      <alignment horizontal="center"/>
    </xf>
    <xf numFmtId="166" fontId="2" fillId="0" borderId="16" xfId="4" applyNumberFormat="1" applyBorder="1"/>
    <xf numFmtId="165" fontId="15" fillId="0" borderId="8" xfId="4" applyNumberFormat="1" applyFont="1" applyFill="1" applyBorder="1" applyAlignment="1">
      <alignment horizontal="center"/>
    </xf>
    <xf numFmtId="0" fontId="15" fillId="0" borderId="9" xfId="4" applyFont="1" applyBorder="1"/>
    <xf numFmtId="0" fontId="15" fillId="0" borderId="17" xfId="4" applyFont="1" applyBorder="1"/>
    <xf numFmtId="166" fontId="15" fillId="0" borderId="0" xfId="4" applyNumberFormat="1" applyFont="1" applyFill="1" applyBorder="1" applyAlignment="1">
      <alignment horizontal="center"/>
    </xf>
    <xf numFmtId="166" fontId="15" fillId="0" borderId="0" xfId="4" applyNumberFormat="1" applyFont="1" applyBorder="1" applyAlignment="1">
      <alignment horizontal="center"/>
    </xf>
    <xf numFmtId="9" fontId="15" fillId="0" borderId="18" xfId="5" applyFont="1" applyBorder="1" applyAlignment="1">
      <alignment horizontal="center"/>
    </xf>
    <xf numFmtId="0" fontId="15" fillId="0" borderId="0" xfId="4" applyFont="1" applyBorder="1"/>
    <xf numFmtId="0" fontId="15" fillId="0" borderId="9" xfId="4" applyFont="1" applyFill="1" applyBorder="1"/>
    <xf numFmtId="165" fontId="8" fillId="0" borderId="0" xfId="4" applyNumberFormat="1" applyFont="1"/>
    <xf numFmtId="0" fontId="15" fillId="0" borderId="13" xfId="4" applyFont="1" applyBorder="1"/>
    <xf numFmtId="0" fontId="15" fillId="0" borderId="7" xfId="4" applyFont="1" applyBorder="1" applyAlignment="1">
      <alignment wrapText="1"/>
    </xf>
    <xf numFmtId="0" fontId="15" fillId="0" borderId="12" xfId="4" applyFont="1" applyBorder="1" applyAlignment="1">
      <alignment wrapText="1"/>
    </xf>
    <xf numFmtId="165" fontId="2" fillId="0" borderId="20" xfId="4" applyNumberFormat="1" applyBorder="1"/>
    <xf numFmtId="0" fontId="18" fillId="0" borderId="0" xfId="4" applyFont="1" applyAlignment="1">
      <alignment horizontal="right" wrapText="1"/>
    </xf>
    <xf numFmtId="166" fontId="18" fillId="0" borderId="0" xfId="4" applyNumberFormat="1" applyFont="1"/>
    <xf numFmtId="0" fontId="18" fillId="0" borderId="0" xfId="4" applyFont="1"/>
    <xf numFmtId="0" fontId="18" fillId="0" borderId="0" xfId="4" applyFont="1" applyAlignment="1">
      <alignment wrapText="1"/>
    </xf>
    <xf numFmtId="165" fontId="18" fillId="0" borderId="0" xfId="4" applyNumberFormat="1" applyFont="1"/>
    <xf numFmtId="0" fontId="18" fillId="0" borderId="0" xfId="4" applyFont="1" applyAlignment="1">
      <alignment horizontal="right"/>
    </xf>
    <xf numFmtId="10" fontId="18" fillId="0" borderId="0" xfId="7" applyNumberFormat="1" applyFont="1"/>
    <xf numFmtId="0" fontId="18" fillId="0" borderId="0" xfId="4" applyFont="1" applyFill="1" applyAlignment="1">
      <alignment horizontal="right"/>
    </xf>
    <xf numFmtId="9" fontId="18" fillId="0" borderId="0" xfId="7" applyNumberFormat="1" applyFont="1"/>
    <xf numFmtId="10" fontId="18" fillId="0" borderId="0" xfId="4" applyNumberFormat="1" applyFont="1"/>
    <xf numFmtId="0" fontId="2" fillId="0" borderId="0" xfId="4" applyFont="1"/>
    <xf numFmtId="10" fontId="2" fillId="0" borderId="0" xfId="4" applyNumberFormat="1"/>
    <xf numFmtId="0" fontId="19" fillId="4" borderId="21" xfId="0" applyFont="1" applyFill="1" applyBorder="1"/>
    <xf numFmtId="0" fontId="20" fillId="0" borderId="0" xfId="0" applyFont="1"/>
    <xf numFmtId="0" fontId="20" fillId="0" borderId="0" xfId="0" applyFont="1" applyBorder="1"/>
    <xf numFmtId="0" fontId="20" fillId="0" borderId="0" xfId="0" applyFont="1" applyFill="1" applyBorder="1"/>
    <xf numFmtId="167" fontId="20" fillId="0" borderId="0" xfId="0" applyNumberFormat="1" applyFont="1"/>
    <xf numFmtId="167" fontId="20" fillId="0" borderId="0" xfId="0" applyNumberFormat="1" applyFont="1" applyFill="1"/>
    <xf numFmtId="1" fontId="20" fillId="0" borderId="0" xfId="0" applyNumberFormat="1" applyFont="1" applyFill="1"/>
    <xf numFmtId="167" fontId="20" fillId="0" borderId="0" xfId="0" applyNumberFormat="1" applyFont="1" applyFill="1" applyBorder="1"/>
    <xf numFmtId="0" fontId="20" fillId="0" borderId="0" xfId="0" applyFont="1" applyFill="1"/>
    <xf numFmtId="167" fontId="19" fillId="0" borderId="0" xfId="0" applyNumberFormat="1" applyFont="1" applyFill="1" applyAlignment="1">
      <alignment horizontal="center"/>
    </xf>
    <xf numFmtId="1" fontId="19" fillId="0" borderId="0" xfId="0" applyNumberFormat="1" applyFont="1" applyFill="1"/>
    <xf numFmtId="167" fontId="19" fillId="0" borderId="0" xfId="0" applyNumberFormat="1" applyFont="1" applyFill="1"/>
    <xf numFmtId="167" fontId="19" fillId="0" borderId="0" xfId="0" applyNumberFormat="1" applyFont="1" applyFill="1" applyBorder="1"/>
    <xf numFmtId="0" fontId="19" fillId="0" borderId="9" xfId="0" applyFont="1" applyFill="1" applyBorder="1" applyAlignment="1">
      <alignment horizontal="center"/>
    </xf>
    <xf numFmtId="1" fontId="19" fillId="0" borderId="9" xfId="0" applyNumberFormat="1" applyFont="1" applyFill="1" applyBorder="1" applyAlignment="1">
      <alignment horizontal="right"/>
    </xf>
    <xf numFmtId="0" fontId="19" fillId="0" borderId="0" xfId="0" applyFont="1" applyFill="1" applyAlignment="1">
      <alignment horizontal="right"/>
    </xf>
    <xf numFmtId="16" fontId="19" fillId="0" borderId="0" xfId="0" quotePrefix="1" applyNumberFormat="1" applyFont="1" applyFill="1" applyBorder="1"/>
    <xf numFmtId="167" fontId="19" fillId="0" borderId="0" xfId="0" applyNumberFormat="1" applyFont="1" applyFill="1" applyAlignment="1">
      <alignment horizontal="right"/>
    </xf>
    <xf numFmtId="1" fontId="19" fillId="0" borderId="0" xfId="0" applyNumberFormat="1" applyFont="1" applyFill="1" applyBorder="1"/>
    <xf numFmtId="3" fontId="19" fillId="0" borderId="0" xfId="0" applyNumberFormat="1" applyFont="1" applyFill="1"/>
    <xf numFmtId="3" fontId="19" fillId="0" borderId="0" xfId="0" applyNumberFormat="1" applyFont="1" applyFill="1" applyBorder="1"/>
    <xf numFmtId="0" fontId="19" fillId="0" borderId="0" xfId="0" quotePrefix="1" applyFont="1" applyFill="1" applyBorder="1"/>
    <xf numFmtId="0" fontId="19" fillId="0" borderId="0" xfId="0" applyFont="1" applyFill="1"/>
    <xf numFmtId="0" fontId="19" fillId="0" borderId="0" xfId="0" applyFont="1" applyFill="1" applyBorder="1"/>
    <xf numFmtId="0" fontId="20" fillId="0" borderId="0" xfId="0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right"/>
    </xf>
    <xf numFmtId="0" fontId="19" fillId="0" borderId="0" xfId="0" applyFont="1"/>
    <xf numFmtId="168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wrapText="1"/>
    </xf>
    <xf numFmtId="1" fontId="19" fillId="0" borderId="0" xfId="0" applyNumberFormat="1" applyFont="1" applyFill="1" applyAlignment="1">
      <alignment horizontal="center"/>
    </xf>
    <xf numFmtId="167" fontId="19" fillId="0" borderId="0" xfId="0" applyNumberFormat="1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67" fontId="20" fillId="0" borderId="0" xfId="0" applyNumberFormat="1" applyFont="1" applyFill="1" applyAlignment="1">
      <alignment horizontal="right"/>
    </xf>
    <xf numFmtId="169" fontId="20" fillId="0" borderId="0" xfId="2" quotePrefix="1" applyNumberFormat="1" applyFont="1" applyFill="1"/>
    <xf numFmtId="2" fontId="20" fillId="0" borderId="0" xfId="0" applyNumberFormat="1" applyFont="1" applyFill="1"/>
    <xf numFmtId="0" fontId="20" fillId="0" borderId="0" xfId="0" applyFont="1" applyFill="1" applyBorder="1" applyAlignment="1">
      <alignment horizontal="right"/>
    </xf>
    <xf numFmtId="168" fontId="19" fillId="0" borderId="0" xfId="0" applyNumberFormat="1" applyFont="1" applyFill="1" applyBorder="1" applyAlignment="1">
      <alignment horizontal="right"/>
    </xf>
    <xf numFmtId="0" fontId="20" fillId="0" borderId="13" xfId="0" applyFont="1" applyFill="1" applyBorder="1" applyAlignment="1">
      <alignment horizontal="right"/>
    </xf>
    <xf numFmtId="170" fontId="20" fillId="0" borderId="13" xfId="3" applyNumberFormat="1" applyFont="1" applyFill="1" applyBorder="1" applyAlignment="1">
      <alignment horizontal="center"/>
    </xf>
    <xf numFmtId="1" fontId="19" fillId="0" borderId="13" xfId="0" applyNumberFormat="1" applyFont="1" applyFill="1" applyBorder="1" applyAlignment="1">
      <alignment horizontal="right"/>
    </xf>
    <xf numFmtId="170" fontId="20" fillId="0" borderId="0" xfId="3" applyNumberFormat="1" applyFont="1" applyFill="1" applyBorder="1" applyAlignment="1">
      <alignment horizontal="center"/>
    </xf>
    <xf numFmtId="168" fontId="20" fillId="0" borderId="0" xfId="0" applyNumberFormat="1" applyFont="1" applyFill="1" applyAlignment="1">
      <alignment horizontal="right"/>
    </xf>
    <xf numFmtId="2" fontId="20" fillId="0" borderId="0" xfId="0" applyNumberFormat="1" applyFont="1" applyFill="1" applyAlignment="1">
      <alignment vertical="center"/>
    </xf>
    <xf numFmtId="168" fontId="20" fillId="0" borderId="0" xfId="0" applyNumberFormat="1" applyFont="1" applyFill="1"/>
    <xf numFmtId="9" fontId="20" fillId="0" borderId="0" xfId="3" applyFont="1" applyFill="1" applyBorder="1"/>
    <xf numFmtId="1" fontId="19" fillId="0" borderId="0" xfId="0" applyNumberFormat="1" applyFont="1" applyFill="1" applyAlignment="1">
      <alignment horizontal="right"/>
    </xf>
    <xf numFmtId="0" fontId="19" fillId="0" borderId="25" xfId="0" applyFont="1" applyFill="1" applyBorder="1"/>
    <xf numFmtId="167" fontId="19" fillId="0" borderId="25" xfId="0" applyNumberFormat="1" applyFont="1" applyFill="1" applyBorder="1"/>
    <xf numFmtId="2" fontId="19" fillId="0" borderId="25" xfId="0" applyNumberFormat="1" applyFont="1" applyFill="1" applyBorder="1"/>
    <xf numFmtId="167" fontId="20" fillId="0" borderId="9" xfId="0" applyNumberFormat="1" applyFont="1" applyFill="1" applyBorder="1"/>
    <xf numFmtId="2" fontId="19" fillId="0" borderId="0" xfId="0" applyNumberFormat="1" applyFont="1" applyFill="1" applyBorder="1"/>
    <xf numFmtId="10" fontId="20" fillId="0" borderId="0" xfId="3" applyNumberFormat="1" applyFont="1" applyFill="1"/>
    <xf numFmtId="10" fontId="20" fillId="0" borderId="0" xfId="0" applyNumberFormat="1" applyFont="1" applyFill="1"/>
    <xf numFmtId="0" fontId="20" fillId="0" borderId="25" xfId="0" applyFont="1" applyFill="1" applyBorder="1"/>
    <xf numFmtId="167" fontId="20" fillId="0" borderId="25" xfId="0" applyNumberFormat="1" applyFont="1" applyFill="1" applyBorder="1"/>
    <xf numFmtId="2" fontId="20" fillId="0" borderId="25" xfId="0" applyNumberFormat="1" applyFont="1" applyFill="1" applyBorder="1"/>
    <xf numFmtId="2" fontId="20" fillId="0" borderId="0" xfId="0" applyNumberFormat="1" applyFont="1" applyFill="1" applyBorder="1"/>
    <xf numFmtId="2" fontId="19" fillId="0" borderId="29" xfId="0" applyNumberFormat="1" applyFont="1" applyFill="1" applyBorder="1"/>
    <xf numFmtId="2" fontId="20" fillId="0" borderId="0" xfId="0" applyNumberFormat="1" applyFont="1" applyFill="1" applyBorder="1" applyAlignment="1">
      <alignment horizontal="center"/>
    </xf>
    <xf numFmtId="0" fontId="19" fillId="0" borderId="30" xfId="0" applyFont="1" applyFill="1" applyBorder="1"/>
    <xf numFmtId="167" fontId="19" fillId="0" borderId="30" xfId="0" applyNumberFormat="1" applyFont="1" applyFill="1" applyBorder="1"/>
    <xf numFmtId="2" fontId="19" fillId="0" borderId="30" xfId="0" applyNumberFormat="1" applyFont="1" applyFill="1" applyBorder="1"/>
    <xf numFmtId="2" fontId="19" fillId="0" borderId="0" xfId="0" applyNumberFormat="1" applyFont="1" applyFill="1"/>
    <xf numFmtId="171" fontId="20" fillId="0" borderId="0" xfId="0" applyNumberFormat="1" applyFont="1" applyFill="1"/>
    <xf numFmtId="171" fontId="20" fillId="0" borderId="0" xfId="0" applyNumberFormat="1" applyFont="1" applyFill="1" applyBorder="1"/>
    <xf numFmtId="171" fontId="21" fillId="0" borderId="0" xfId="0" applyNumberFormat="1" applyFont="1" applyFill="1" applyBorder="1"/>
    <xf numFmtId="171" fontId="19" fillId="0" borderId="0" xfId="0" applyNumberFormat="1" applyFont="1" applyFill="1"/>
    <xf numFmtId="10" fontId="20" fillId="0" borderId="0" xfId="0" applyNumberFormat="1" applyFont="1" applyFill="1" applyBorder="1"/>
    <xf numFmtId="171" fontId="20" fillId="0" borderId="7" xfId="0" applyNumberFormat="1" applyFont="1" applyFill="1" applyBorder="1"/>
    <xf numFmtId="0" fontId="20" fillId="0" borderId="9" xfId="0" applyFont="1" applyFill="1" applyBorder="1"/>
    <xf numFmtId="9" fontId="20" fillId="0" borderId="9" xfId="0" applyNumberFormat="1" applyFont="1" applyFill="1" applyBorder="1"/>
    <xf numFmtId="171" fontId="20" fillId="0" borderId="10" xfId="0" applyNumberFormat="1" applyFont="1" applyFill="1" applyBorder="1"/>
    <xf numFmtId="171" fontId="20" fillId="0" borderId="17" xfId="0" applyNumberFormat="1" applyFont="1" applyFill="1" applyBorder="1"/>
    <xf numFmtId="9" fontId="20" fillId="0" borderId="0" xfId="0" applyNumberFormat="1" applyFont="1" applyFill="1" applyBorder="1"/>
    <xf numFmtId="171" fontId="20" fillId="0" borderId="31" xfId="0" applyNumberFormat="1" applyFont="1" applyFill="1" applyBorder="1"/>
    <xf numFmtId="0" fontId="20" fillId="0" borderId="17" xfId="0" applyFont="1" applyFill="1" applyBorder="1"/>
    <xf numFmtId="44" fontId="20" fillId="0" borderId="0" xfId="2" applyFont="1" applyFill="1" applyBorder="1"/>
    <xf numFmtId="171" fontId="20" fillId="0" borderId="12" xfId="0" applyNumberFormat="1" applyFont="1" applyFill="1" applyBorder="1"/>
    <xf numFmtId="0" fontId="20" fillId="0" borderId="13" xfId="0" applyFont="1" applyFill="1" applyBorder="1"/>
    <xf numFmtId="9" fontId="20" fillId="0" borderId="13" xfId="0" applyNumberFormat="1" applyFont="1" applyFill="1" applyBorder="1"/>
    <xf numFmtId="167" fontId="20" fillId="0" borderId="13" xfId="0" applyNumberFormat="1" applyFont="1" applyFill="1" applyBorder="1"/>
    <xf numFmtId="171" fontId="20" fillId="0" borderId="32" xfId="0" applyNumberFormat="1" applyFont="1" applyFill="1" applyBorder="1"/>
    <xf numFmtId="0" fontId="19" fillId="0" borderId="19" xfId="0" applyFont="1" applyFill="1" applyBorder="1"/>
    <xf numFmtId="2" fontId="20" fillId="0" borderId="18" xfId="0" applyNumberFormat="1" applyFont="1" applyFill="1" applyBorder="1"/>
    <xf numFmtId="10" fontId="19" fillId="0" borderId="0" xfId="3" applyNumberFormat="1" applyFont="1" applyFill="1" applyBorder="1"/>
    <xf numFmtId="167" fontId="19" fillId="0" borderId="0" xfId="0" applyNumberFormat="1" applyFont="1" applyAlignment="1">
      <alignment horizontal="center"/>
    </xf>
    <xf numFmtId="1" fontId="19" fillId="0" borderId="0" xfId="0" applyNumberFormat="1" applyFont="1"/>
    <xf numFmtId="10" fontId="19" fillId="0" borderId="0" xfId="0" applyNumberFormat="1" applyFont="1" applyFill="1" applyBorder="1"/>
    <xf numFmtId="0" fontId="19" fillId="0" borderId="0" xfId="0" applyFont="1" applyAlignment="1">
      <alignment horizontal="right"/>
    </xf>
    <xf numFmtId="167" fontId="19" fillId="0" borderId="0" xfId="0" applyNumberFormat="1" applyFont="1" applyAlignment="1">
      <alignment horizontal="right"/>
    </xf>
    <xf numFmtId="10" fontId="20" fillId="0" borderId="14" xfId="0" applyNumberFormat="1" applyFont="1" applyFill="1" applyBorder="1"/>
    <xf numFmtId="10" fontId="20" fillId="0" borderId="14" xfId="3" applyNumberFormat="1" applyFont="1" applyFill="1" applyBorder="1"/>
    <xf numFmtId="0" fontId="19" fillId="0" borderId="13" xfId="0" applyFont="1" applyFill="1" applyBorder="1"/>
    <xf numFmtId="1" fontId="20" fillId="0" borderId="0" xfId="0" applyNumberFormat="1" applyFont="1" applyFill="1" applyBorder="1" applyAlignment="1">
      <alignment horizontal="right"/>
    </xf>
    <xf numFmtId="3" fontId="20" fillId="0" borderId="0" xfId="8" applyNumberFormat="1" applyFont="1" applyFill="1" applyBorder="1"/>
    <xf numFmtId="0" fontId="20" fillId="0" borderId="19" xfId="0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Fill="1" applyBorder="1"/>
    <xf numFmtId="1" fontId="22" fillId="0" borderId="0" xfId="0" applyNumberFormat="1" applyFont="1" applyFill="1" applyBorder="1"/>
    <xf numFmtId="0" fontId="20" fillId="0" borderId="26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170" fontId="20" fillId="0" borderId="15" xfId="3" applyNumberFormat="1" applyFont="1" applyFill="1" applyBorder="1" applyAlignment="1">
      <alignment horizontal="center"/>
    </xf>
    <xf numFmtId="0" fontId="0" fillId="0" borderId="0" xfId="0" applyFill="1"/>
    <xf numFmtId="9" fontId="20" fillId="0" borderId="0" xfId="3" applyFont="1" applyFill="1" applyBorder="1" applyAlignment="1">
      <alignment horizontal="center"/>
    </xf>
    <xf numFmtId="0" fontId="17" fillId="0" borderId="0" xfId="0" applyFont="1" applyFill="1"/>
    <xf numFmtId="167" fontId="20" fillId="0" borderId="19" xfId="0" applyNumberFormat="1" applyFont="1" applyFill="1" applyBorder="1"/>
    <xf numFmtId="2" fontId="20" fillId="0" borderId="19" xfId="0" applyNumberFormat="1" applyFont="1" applyFill="1" applyBorder="1" applyAlignment="1">
      <alignment horizontal="center"/>
    </xf>
    <xf numFmtId="4" fontId="20" fillId="0" borderId="0" xfId="0" applyNumberFormat="1" applyFont="1" applyFill="1" applyBorder="1" applyAlignment="1">
      <alignment horizontal="center"/>
    </xf>
    <xf numFmtId="4" fontId="20" fillId="0" borderId="19" xfId="0" applyNumberFormat="1" applyFont="1" applyFill="1" applyBorder="1" applyAlignment="1">
      <alignment horizontal="center"/>
    </xf>
    <xf numFmtId="0" fontId="20" fillId="0" borderId="19" xfId="0" applyFont="1" applyFill="1" applyBorder="1"/>
    <xf numFmtId="2" fontId="19" fillId="0" borderId="24" xfId="0" applyNumberFormat="1" applyFont="1" applyFill="1" applyBorder="1" applyAlignment="1">
      <alignment horizontal="center"/>
    </xf>
    <xf numFmtId="2" fontId="19" fillId="0" borderId="26" xfId="0" applyNumberFormat="1" applyFont="1" applyFill="1" applyBorder="1" applyAlignment="1">
      <alignment horizontal="center"/>
    </xf>
    <xf numFmtId="0" fontId="19" fillId="0" borderId="27" xfId="0" quotePrefix="1" applyNumberFormat="1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2" fontId="20" fillId="0" borderId="18" xfId="0" applyNumberFormat="1" applyFont="1" applyFill="1" applyBorder="1" applyAlignment="1">
      <alignment horizontal="center"/>
    </xf>
    <xf numFmtId="10" fontId="20" fillId="0" borderId="14" xfId="3" applyNumberFormat="1" applyFont="1" applyFill="1" applyBorder="1" applyAlignment="1">
      <alignment horizontal="center"/>
    </xf>
    <xf numFmtId="0" fontId="17" fillId="0" borderId="0" xfId="0" applyFont="1"/>
    <xf numFmtId="2" fontId="20" fillId="0" borderId="0" xfId="0" applyNumberFormat="1" applyFont="1" applyFill="1" applyAlignment="1"/>
    <xf numFmtId="2" fontId="20" fillId="0" borderId="36" xfId="0" applyNumberFormat="1" applyFont="1" applyFill="1" applyBorder="1" applyAlignment="1">
      <alignment horizontal="center"/>
    </xf>
    <xf numFmtId="2" fontId="19" fillId="0" borderId="24" xfId="0" applyNumberFormat="1" applyFont="1" applyFill="1" applyBorder="1" applyAlignment="1"/>
    <xf numFmtId="2" fontId="19" fillId="0" borderId="26" xfId="0" applyNumberFormat="1" applyFont="1" applyFill="1" applyBorder="1" applyAlignment="1"/>
    <xf numFmtId="10" fontId="19" fillId="0" borderId="0" xfId="0" applyNumberFormat="1" applyFont="1" applyFill="1" applyBorder="1" applyAlignment="1">
      <alignment horizontal="center"/>
    </xf>
    <xf numFmtId="44" fontId="19" fillId="0" borderId="0" xfId="2" applyFont="1" applyFill="1" applyBorder="1" applyAlignment="1">
      <alignment horizontal="center"/>
    </xf>
    <xf numFmtId="167" fontId="19" fillId="6" borderId="0" xfId="0" applyNumberFormat="1" applyFont="1" applyFill="1" applyBorder="1"/>
    <xf numFmtId="0" fontId="20" fillId="6" borderId="0" xfId="0" applyFont="1" applyFill="1" applyBorder="1"/>
    <xf numFmtId="0" fontId="20" fillId="6" borderId="0" xfId="0" applyFont="1" applyFill="1"/>
    <xf numFmtId="0" fontId="23" fillId="6" borderId="0" xfId="0" applyFont="1" applyFill="1"/>
    <xf numFmtId="0" fontId="23" fillId="6" borderId="0" xfId="0" applyFont="1" applyFill="1" applyBorder="1"/>
    <xf numFmtId="167" fontId="19" fillId="6" borderId="0" xfId="0" applyNumberFormat="1" applyFont="1" applyFill="1" applyAlignment="1">
      <alignment horizontal="center"/>
    </xf>
    <xf numFmtId="1" fontId="19" fillId="6" borderId="0" xfId="0" applyNumberFormat="1" applyFont="1" applyFill="1"/>
    <xf numFmtId="167" fontId="19" fillId="6" borderId="0" xfId="0" applyNumberFormat="1" applyFont="1" applyFill="1"/>
    <xf numFmtId="167" fontId="20" fillId="6" borderId="0" xfId="0" applyNumberFormat="1" applyFont="1" applyFill="1"/>
    <xf numFmtId="167" fontId="19" fillId="6" borderId="0" xfId="0" applyNumberFormat="1" applyFont="1" applyFill="1" applyBorder="1" applyAlignment="1"/>
    <xf numFmtId="0" fontId="19" fillId="6" borderId="0" xfId="0" applyFont="1" applyFill="1" applyAlignment="1">
      <alignment horizontal="right"/>
    </xf>
    <xf numFmtId="0" fontId="22" fillId="6" borderId="0" xfId="0" applyFont="1" applyFill="1" applyBorder="1"/>
    <xf numFmtId="167" fontId="19" fillId="6" borderId="0" xfId="0" applyNumberFormat="1" applyFont="1" applyFill="1" applyAlignment="1">
      <alignment horizontal="right"/>
    </xf>
    <xf numFmtId="1" fontId="22" fillId="6" borderId="0" xfId="0" applyNumberFormat="1" applyFont="1" applyFill="1" applyBorder="1"/>
    <xf numFmtId="3" fontId="19" fillId="6" borderId="0" xfId="0" applyNumberFormat="1" applyFont="1" applyFill="1"/>
    <xf numFmtId="0" fontId="19" fillId="6" borderId="0" xfId="0" applyFont="1" applyFill="1"/>
    <xf numFmtId="3" fontId="19" fillId="6" borderId="0" xfId="0" applyNumberFormat="1" applyFont="1" applyFill="1" applyBorder="1"/>
    <xf numFmtId="3" fontId="20" fillId="6" borderId="0" xfId="0" applyNumberFormat="1" applyFont="1" applyFill="1"/>
    <xf numFmtId="171" fontId="20" fillId="6" borderId="0" xfId="0" applyNumberFormat="1" applyFont="1" applyFill="1" applyBorder="1"/>
    <xf numFmtId="0" fontId="20" fillId="6" borderId="0" xfId="0" applyFont="1" applyFill="1" applyAlignment="1">
      <alignment horizontal="center"/>
    </xf>
    <xf numFmtId="0" fontId="20" fillId="6" borderId="0" xfId="0" applyFont="1" applyFill="1" applyAlignment="1">
      <alignment horizontal="right"/>
    </xf>
    <xf numFmtId="44" fontId="20" fillId="6" borderId="0" xfId="2" applyFont="1" applyFill="1" applyBorder="1" applyAlignment="1">
      <alignment horizontal="center" wrapText="1"/>
    </xf>
    <xf numFmtId="39" fontId="20" fillId="6" borderId="0" xfId="2" applyNumberFormat="1" applyFont="1" applyFill="1" applyBorder="1" applyAlignment="1">
      <alignment horizontal="right" wrapText="1"/>
    </xf>
    <xf numFmtId="44" fontId="20" fillId="6" borderId="0" xfId="0" applyNumberFormat="1" applyFont="1" applyFill="1"/>
    <xf numFmtId="0" fontId="20" fillId="6" borderId="17" xfId="9" applyFont="1" applyFill="1" applyBorder="1" applyAlignment="1">
      <alignment horizontal="left" wrapText="1"/>
    </xf>
    <xf numFmtId="44" fontId="20" fillId="6" borderId="19" xfId="2" applyFont="1" applyFill="1" applyBorder="1" applyAlignment="1">
      <alignment horizontal="center" wrapText="1"/>
    </xf>
    <xf numFmtId="10" fontId="20" fillId="6" borderId="0" xfId="3" applyNumberFormat="1" applyFont="1" applyFill="1"/>
    <xf numFmtId="44" fontId="27" fillId="6" borderId="0" xfId="0" applyNumberFormat="1" applyFont="1" applyFill="1"/>
    <xf numFmtId="0" fontId="20" fillId="6" borderId="12" xfId="9" applyFont="1" applyFill="1" applyBorder="1" applyAlignment="1">
      <alignment horizontal="left" wrapText="1"/>
    </xf>
    <xf numFmtId="44" fontId="20" fillId="6" borderId="15" xfId="2" applyFont="1" applyFill="1" applyBorder="1" applyAlignment="1">
      <alignment horizontal="center" wrapText="1"/>
    </xf>
    <xf numFmtId="0" fontId="20" fillId="6" borderId="27" xfId="0" applyFont="1" applyFill="1" applyBorder="1" applyAlignment="1">
      <alignment horizontal="right"/>
    </xf>
    <xf numFmtId="0" fontId="20" fillId="6" borderId="27" xfId="0" applyFont="1" applyFill="1" applyBorder="1"/>
    <xf numFmtId="44" fontId="20" fillId="6" borderId="27" xfId="0" applyNumberFormat="1" applyFont="1" applyFill="1" applyBorder="1"/>
    <xf numFmtId="44" fontId="20" fillId="6" borderId="0" xfId="0" applyNumberFormat="1" applyFont="1" applyFill="1" applyBorder="1"/>
    <xf numFmtId="44" fontId="19" fillId="6" borderId="0" xfId="2" applyFont="1" applyFill="1" applyBorder="1"/>
    <xf numFmtId="3" fontId="19" fillId="6" borderId="0" xfId="0" applyNumberFormat="1" applyFont="1" applyFill="1" applyAlignment="1">
      <alignment horizontal="center"/>
    </xf>
    <xf numFmtId="0" fontId="19" fillId="6" borderId="0" xfId="0" applyFont="1" applyFill="1" applyAlignment="1">
      <alignment horizontal="center"/>
    </xf>
    <xf numFmtId="10" fontId="19" fillId="6" borderId="0" xfId="0" quotePrefix="1" applyNumberFormat="1" applyFont="1" applyFill="1" applyBorder="1"/>
    <xf numFmtId="44" fontId="19" fillId="6" borderId="0" xfId="2" applyFont="1" applyFill="1"/>
    <xf numFmtId="9" fontId="20" fillId="6" borderId="0" xfId="3" quotePrefix="1" applyFont="1" applyFill="1" applyBorder="1"/>
    <xf numFmtId="44" fontId="28" fillId="6" borderId="0" xfId="2" applyNumberFormat="1" applyFont="1" applyFill="1" applyBorder="1"/>
    <xf numFmtId="0" fontId="0" fillId="6" borderId="0" xfId="0" applyFill="1"/>
    <xf numFmtId="9" fontId="19" fillId="0" borderId="0" xfId="3" quotePrefix="1" applyFont="1" applyFill="1" applyBorder="1"/>
    <xf numFmtId="44" fontId="19" fillId="0" borderId="0" xfId="2" applyNumberFormat="1" applyFont="1" applyFill="1" applyBorder="1"/>
    <xf numFmtId="44" fontId="20" fillId="0" borderId="0" xfId="2" applyNumberFormat="1" applyFont="1" applyFill="1" applyBorder="1"/>
    <xf numFmtId="172" fontId="19" fillId="0" borderId="0" xfId="1" applyNumberFormat="1" applyFont="1" applyAlignment="1">
      <alignment horizontal="right" vertical="center"/>
    </xf>
    <xf numFmtId="3" fontId="20" fillId="0" borderId="0" xfId="0" applyNumberFormat="1" applyFont="1"/>
    <xf numFmtId="168" fontId="19" fillId="0" borderId="0" xfId="0" applyNumberFormat="1" applyFont="1" applyFill="1" applyAlignment="1">
      <alignment horizontal="right" vertical="center"/>
    </xf>
    <xf numFmtId="1" fontId="20" fillId="0" borderId="0" xfId="0" applyNumberFormat="1" applyFont="1" applyFill="1" applyBorder="1"/>
    <xf numFmtId="173" fontId="20" fillId="0" borderId="0" xfId="2" applyNumberFormat="1" applyFont="1" applyFill="1" applyBorder="1" applyAlignment="1">
      <alignment horizontal="center" wrapText="1"/>
    </xf>
    <xf numFmtId="169" fontId="20" fillId="0" borderId="0" xfId="2" applyNumberFormat="1" applyFont="1" applyFill="1" applyBorder="1" applyAlignment="1">
      <alignment horizontal="center" wrapText="1"/>
    </xf>
    <xf numFmtId="0" fontId="19" fillId="0" borderId="35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10" fontId="20" fillId="0" borderId="0" xfId="3" applyNumberFormat="1" applyFont="1"/>
    <xf numFmtId="44" fontId="20" fillId="0" borderId="0" xfId="0" applyNumberFormat="1" applyFont="1"/>
    <xf numFmtId="0" fontId="20" fillId="0" borderId="0" xfId="0" applyFont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8" fontId="20" fillId="0" borderId="38" xfId="0" applyNumberFormat="1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8" fontId="20" fillId="0" borderId="46" xfId="0" applyNumberFormat="1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8" fontId="20" fillId="0" borderId="40" xfId="0" applyNumberFormat="1" applyFont="1" applyBorder="1" applyAlignment="1">
      <alignment horizontal="center"/>
    </xf>
    <xf numFmtId="0" fontId="19" fillId="0" borderId="27" xfId="0" applyFont="1" applyBorder="1" applyAlignment="1">
      <alignment horizontal="right"/>
    </xf>
    <xf numFmtId="0" fontId="20" fillId="0" borderId="27" xfId="0" applyFont="1" applyBorder="1"/>
    <xf numFmtId="10" fontId="20" fillId="0" borderId="0" xfId="0" quotePrefix="1" applyNumberFormat="1" applyFont="1" applyFill="1" applyBorder="1"/>
    <xf numFmtId="9" fontId="29" fillId="0" borderId="0" xfId="3" applyNumberFormat="1" applyFont="1" applyAlignment="1">
      <alignment horizontal="right"/>
    </xf>
    <xf numFmtId="165" fontId="19" fillId="0" borderId="0" xfId="2" applyNumberFormat="1" applyFont="1" applyFill="1" applyBorder="1"/>
    <xf numFmtId="0" fontId="20" fillId="0" borderId="0" xfId="0" applyFont="1" applyAlignment="1">
      <alignment horizontal="right"/>
    </xf>
    <xf numFmtId="167" fontId="20" fillId="6" borderId="0" xfId="0" applyNumberFormat="1" applyFont="1" applyFill="1" applyAlignment="1">
      <alignment horizontal="right"/>
    </xf>
    <xf numFmtId="1" fontId="23" fillId="6" borderId="0" xfId="0" applyNumberFormat="1" applyFont="1" applyFill="1" applyBorder="1"/>
    <xf numFmtId="44" fontId="20" fillId="6" borderId="0" xfId="2" applyFont="1" applyFill="1" applyBorder="1"/>
    <xf numFmtId="0" fontId="19" fillId="6" borderId="0" xfId="0" applyFont="1" applyFill="1" applyAlignment="1">
      <alignment horizontal="left"/>
    </xf>
    <xf numFmtId="44" fontId="19" fillId="6" borderId="0" xfId="2" applyNumberFormat="1" applyFont="1" applyFill="1" applyBorder="1"/>
    <xf numFmtId="169" fontId="20" fillId="0" borderId="0" xfId="2" applyNumberFormat="1" applyFont="1" applyFill="1" applyBorder="1" applyAlignment="1">
      <alignment horizontal="right" wrapText="1"/>
    </xf>
    <xf numFmtId="9" fontId="29" fillId="0" borderId="0" xfId="3" applyFont="1" applyAlignment="1">
      <alignment horizontal="right"/>
    </xf>
    <xf numFmtId="44" fontId="20" fillId="0" borderId="0" xfId="0" applyNumberFormat="1" applyFont="1" applyBorder="1"/>
    <xf numFmtId="44" fontId="19" fillId="0" borderId="0" xfId="2" applyFont="1" applyFill="1" applyBorder="1"/>
    <xf numFmtId="44" fontId="0" fillId="0" borderId="0" xfId="0" applyNumberFormat="1"/>
    <xf numFmtId="0" fontId="30" fillId="0" borderId="0" xfId="0" applyFont="1" applyAlignment="1">
      <alignment horizontal="right"/>
    </xf>
    <xf numFmtId="173" fontId="0" fillId="0" borderId="0" xfId="0" applyNumberFormat="1"/>
    <xf numFmtId="0" fontId="30" fillId="0" borderId="48" xfId="0" applyFont="1" applyBorder="1" applyAlignment="1">
      <alignment horizontal="right"/>
    </xf>
    <xf numFmtId="173" fontId="0" fillId="0" borderId="49" xfId="0" applyNumberFormat="1" applyBorder="1"/>
    <xf numFmtId="0" fontId="30" fillId="0" borderId="50" xfId="0" applyFont="1" applyBorder="1" applyAlignment="1">
      <alignment horizontal="right"/>
    </xf>
    <xf numFmtId="173" fontId="0" fillId="0" borderId="51" xfId="0" applyNumberFormat="1" applyBorder="1"/>
    <xf numFmtId="0" fontId="30" fillId="0" borderId="52" xfId="0" applyFont="1" applyBorder="1" applyAlignment="1">
      <alignment horizontal="right"/>
    </xf>
    <xf numFmtId="173" fontId="0" fillId="0" borderId="53" xfId="0" applyNumberFormat="1" applyBorder="1"/>
    <xf numFmtId="0" fontId="0" fillId="0" borderId="54" xfId="0" applyBorder="1"/>
    <xf numFmtId="0" fontId="0" fillId="0" borderId="55" xfId="0" applyBorder="1"/>
    <xf numFmtId="173" fontId="0" fillId="0" borderId="56" xfId="0" applyNumberFormat="1" applyBorder="1"/>
    <xf numFmtId="0" fontId="0" fillId="0" borderId="56" xfId="0" applyBorder="1"/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173" fontId="0" fillId="0" borderId="56" xfId="0" applyNumberFormat="1" applyBorder="1" applyAlignment="1">
      <alignment wrapText="1"/>
    </xf>
    <xf numFmtId="0" fontId="0" fillId="0" borderId="56" xfId="0" applyNumberFormat="1" applyBorder="1"/>
    <xf numFmtId="0" fontId="0" fillId="0" borderId="57" xfId="0" applyBorder="1"/>
    <xf numFmtId="0" fontId="0" fillId="0" borderId="0" xfId="0" applyNumberFormat="1"/>
    <xf numFmtId="44" fontId="0" fillId="0" borderId="54" xfId="0" applyNumberFormat="1" applyBorder="1"/>
    <xf numFmtId="44" fontId="0" fillId="0" borderId="56" xfId="0" applyNumberFormat="1" applyBorder="1"/>
    <xf numFmtId="44" fontId="0" fillId="0" borderId="58" xfId="0" applyNumberFormat="1" applyBorder="1"/>
    <xf numFmtId="168" fontId="0" fillId="0" borderId="0" xfId="0" applyNumberFormat="1"/>
    <xf numFmtId="173" fontId="0" fillId="5" borderId="51" xfId="0" applyNumberFormat="1" applyFill="1" applyBorder="1"/>
    <xf numFmtId="44" fontId="0" fillId="5" borderId="0" xfId="0" applyNumberFormat="1" applyFill="1"/>
    <xf numFmtId="0" fontId="31" fillId="7" borderId="9" xfId="10" applyFont="1" applyFill="1" applyBorder="1"/>
    <xf numFmtId="0" fontId="32" fillId="7" borderId="10" xfId="10" applyFont="1" applyFill="1" applyBorder="1"/>
    <xf numFmtId="0" fontId="20" fillId="0" borderId="0" xfId="10"/>
    <xf numFmtId="0" fontId="32" fillId="7" borderId="0" xfId="10" applyFont="1" applyFill="1" applyBorder="1"/>
    <xf numFmtId="0" fontId="19" fillId="7" borderId="19" xfId="10" applyFont="1" applyFill="1" applyBorder="1"/>
    <xf numFmtId="0" fontId="33" fillId="7" borderId="13" xfId="10" applyFont="1" applyFill="1" applyBorder="1"/>
    <xf numFmtId="0" fontId="19" fillId="7" borderId="15" xfId="10" applyFont="1" applyFill="1" applyBorder="1"/>
    <xf numFmtId="0" fontId="19" fillId="0" borderId="0" xfId="10" applyFont="1"/>
    <xf numFmtId="0" fontId="34" fillId="8" borderId="0" xfId="11" applyFont="1" applyFill="1"/>
    <xf numFmtId="0" fontId="34" fillId="9" borderId="0" xfId="11" applyFont="1" applyFill="1"/>
    <xf numFmtId="0" fontId="34" fillId="10" borderId="0" xfId="11" applyFont="1" applyFill="1"/>
    <xf numFmtId="0" fontId="34" fillId="11" borderId="0" xfId="11" applyFont="1" applyFill="1"/>
    <xf numFmtId="0" fontId="34" fillId="12" borderId="0" xfId="10" applyFont="1" applyFill="1" applyAlignment="1">
      <alignment horizontal="center"/>
    </xf>
    <xf numFmtId="14" fontId="19" fillId="0" borderId="0" xfId="10" applyNumberFormat="1" applyFont="1"/>
    <xf numFmtId="174" fontId="20" fillId="0" borderId="0" xfId="10" applyNumberFormat="1"/>
    <xf numFmtId="2" fontId="20" fillId="0" borderId="0" xfId="10" applyNumberFormat="1"/>
    <xf numFmtId="0" fontId="19" fillId="0" borderId="0" xfId="12" applyFont="1"/>
    <xf numFmtId="0" fontId="20" fillId="0" borderId="0" xfId="12"/>
    <xf numFmtId="0" fontId="26" fillId="0" borderId="0" xfId="12" applyFont="1"/>
    <xf numFmtId="0" fontId="24" fillId="0" borderId="0" xfId="12" applyFont="1"/>
    <xf numFmtId="0" fontId="20" fillId="0" borderId="48" xfId="12" applyBorder="1"/>
    <xf numFmtId="0" fontId="20" fillId="0" borderId="18" xfId="12" applyBorder="1"/>
    <xf numFmtId="0" fontId="20" fillId="0" borderId="49" xfId="12" applyBorder="1"/>
    <xf numFmtId="0" fontId="20" fillId="0" borderId="50" xfId="12" applyBorder="1"/>
    <xf numFmtId="0" fontId="20" fillId="0" borderId="0" xfId="12" applyBorder="1" applyAlignment="1">
      <alignment horizontal="right"/>
    </xf>
    <xf numFmtId="0" fontId="20" fillId="0" borderId="0" xfId="12" applyBorder="1"/>
    <xf numFmtId="0" fontId="20" fillId="0" borderId="51" xfId="12" applyBorder="1"/>
    <xf numFmtId="168" fontId="20" fillId="0" borderId="0" xfId="10" applyNumberFormat="1"/>
    <xf numFmtId="0" fontId="35" fillId="0" borderId="51" xfId="12" applyFont="1" applyBorder="1" applyAlignment="1">
      <alignment horizontal="center"/>
    </xf>
    <xf numFmtId="174" fontId="20" fillId="0" borderId="59" xfId="10" applyNumberFormat="1" applyBorder="1"/>
    <xf numFmtId="0" fontId="20" fillId="0" borderId="60" xfId="12" applyBorder="1"/>
    <xf numFmtId="174" fontId="20" fillId="0" borderId="51" xfId="12" applyNumberFormat="1" applyBorder="1" applyAlignment="1">
      <alignment horizontal="center"/>
    </xf>
    <xf numFmtId="0" fontId="20" fillId="0" borderId="51" xfId="12" applyBorder="1" applyAlignment="1">
      <alignment horizontal="center"/>
    </xf>
    <xf numFmtId="174" fontId="20" fillId="0" borderId="61" xfId="10" applyNumberFormat="1" applyBorder="1"/>
    <xf numFmtId="0" fontId="19" fillId="5" borderId="0" xfId="12" applyFont="1" applyFill="1" applyBorder="1" applyAlignment="1">
      <alignment horizontal="right"/>
    </xf>
    <xf numFmtId="10" fontId="19" fillId="5" borderId="51" xfId="13" applyNumberFormat="1" applyFont="1" applyFill="1" applyBorder="1" applyAlignment="1">
      <alignment horizontal="center"/>
    </xf>
    <xf numFmtId="0" fontId="20" fillId="0" borderId="52" xfId="12" applyBorder="1"/>
    <xf numFmtId="0" fontId="20" fillId="0" borderId="24" xfId="12" applyBorder="1"/>
    <xf numFmtId="0" fontId="20" fillId="0" borderId="53" xfId="12" applyBorder="1"/>
    <xf numFmtId="0" fontId="61" fillId="0" borderId="0" xfId="197" applyFont="1"/>
    <xf numFmtId="0" fontId="61" fillId="0" borderId="0" xfId="197" applyFont="1" applyAlignment="1">
      <alignment horizontal="right"/>
    </xf>
    <xf numFmtId="0" fontId="62" fillId="0" borderId="0" xfId="197" applyFont="1"/>
    <xf numFmtId="0" fontId="62" fillId="0" borderId="0" xfId="197" applyFont="1" applyAlignment="1">
      <alignment horizontal="center"/>
    </xf>
    <xf numFmtId="0" fontId="62" fillId="0" borderId="0" xfId="197" applyFont="1" applyAlignment="1">
      <alignment horizontal="right"/>
    </xf>
    <xf numFmtId="0" fontId="61" fillId="0" borderId="0" xfId="197" applyFont="1" applyAlignment="1">
      <alignment horizontal="center"/>
    </xf>
    <xf numFmtId="43" fontId="63" fillId="0" borderId="0" xfId="51" applyFont="1"/>
    <xf numFmtId="0" fontId="64" fillId="0" borderId="0" xfId="197" applyFont="1"/>
    <xf numFmtId="0" fontId="64" fillId="0" borderId="0" xfId="197" applyFont="1" applyAlignment="1">
      <alignment horizontal="right"/>
    </xf>
    <xf numFmtId="0" fontId="32" fillId="0" borderId="0" xfId="211" applyFont="1" applyFill="1" applyBorder="1" applyAlignment="1">
      <alignment horizontal="center"/>
    </xf>
    <xf numFmtId="0" fontId="64" fillId="0" borderId="0" xfId="197" applyFont="1" applyAlignment="1">
      <alignment vertical="center"/>
    </xf>
    <xf numFmtId="0" fontId="32" fillId="0" borderId="76" xfId="197" applyFont="1" applyBorder="1" applyAlignment="1">
      <alignment horizontal="center" vertical="center"/>
    </xf>
    <xf numFmtId="0" fontId="65" fillId="0" borderId="0" xfId="197" applyFont="1" applyBorder="1" applyAlignment="1">
      <alignment horizontal="left" vertical="center"/>
    </xf>
    <xf numFmtId="0" fontId="31" fillId="0" borderId="17" xfId="211" applyFont="1" applyFill="1" applyBorder="1" applyAlignment="1">
      <alignment vertical="center"/>
    </xf>
    <xf numFmtId="0" fontId="31" fillId="0" borderId="0" xfId="211" applyFont="1" applyFill="1" applyBorder="1" applyAlignment="1">
      <alignment horizontal="left" vertical="center"/>
    </xf>
    <xf numFmtId="0" fontId="31" fillId="0" borderId="0" xfId="211" applyFont="1" applyBorder="1" applyAlignment="1">
      <alignment vertical="center"/>
    </xf>
    <xf numFmtId="0" fontId="31" fillId="0" borderId="0" xfId="211" applyFont="1" applyBorder="1" applyAlignment="1">
      <alignment horizontal="right" vertical="center"/>
    </xf>
    <xf numFmtId="3" fontId="31" fillId="0" borderId="19" xfId="197" applyNumberFormat="1" applyFont="1" applyBorder="1" applyAlignment="1">
      <alignment vertical="center"/>
    </xf>
    <xf numFmtId="0" fontId="62" fillId="0" borderId="0" xfId="197" applyFont="1" applyAlignment="1">
      <alignment vertical="center"/>
    </xf>
    <xf numFmtId="0" fontId="62" fillId="0" borderId="0" xfId="197" applyFont="1" applyAlignment="1">
      <alignment horizontal="right" vertical="center"/>
    </xf>
    <xf numFmtId="0" fontId="61" fillId="0" borderId="0" xfId="197" applyFont="1" applyAlignment="1">
      <alignment horizontal="center" vertical="center"/>
    </xf>
    <xf numFmtId="43" fontId="63" fillId="0" borderId="0" xfId="51" applyFont="1" applyAlignment="1">
      <alignment vertical="center"/>
    </xf>
    <xf numFmtId="0" fontId="61" fillId="0" borderId="0" xfId="197" applyFont="1" applyAlignment="1">
      <alignment vertical="center"/>
    </xf>
    <xf numFmtId="167" fontId="65" fillId="0" borderId="17" xfId="197" applyNumberFormat="1" applyFont="1" applyBorder="1" applyAlignment="1">
      <alignment horizontal="left"/>
    </xf>
    <xf numFmtId="167" fontId="65" fillId="0" borderId="0" xfId="197" applyNumberFormat="1" applyFont="1" applyFill="1" applyBorder="1" applyAlignment="1">
      <alignment horizontal="right"/>
    </xf>
    <xf numFmtId="0" fontId="65" fillId="0" borderId="20" xfId="197" applyFont="1" applyFill="1" applyBorder="1" applyAlignment="1">
      <alignment horizontal="left" wrapText="1"/>
    </xf>
    <xf numFmtId="0" fontId="65" fillId="0" borderId="0" xfId="197" applyFont="1" applyBorder="1" applyAlignment="1">
      <alignment horizontal="left"/>
    </xf>
    <xf numFmtId="0" fontId="31" fillId="0" borderId="17" xfId="197" applyFont="1" applyBorder="1"/>
    <xf numFmtId="0" fontId="31" fillId="0" borderId="0" xfId="197" quotePrefix="1" applyNumberFormat="1" applyFont="1" applyBorder="1" applyAlignment="1">
      <alignment horizontal="left"/>
    </xf>
    <xf numFmtId="0" fontId="66" fillId="0" borderId="0" xfId="197" applyFont="1" applyBorder="1"/>
    <xf numFmtId="0" fontId="66" fillId="0" borderId="0" xfId="197" applyFont="1" applyBorder="1" applyAlignment="1">
      <alignment horizontal="center"/>
    </xf>
    <xf numFmtId="0" fontId="66" fillId="0" borderId="19" xfId="197" applyFont="1" applyBorder="1"/>
    <xf numFmtId="0" fontId="31" fillId="0" borderId="23" xfId="197" applyFont="1" applyBorder="1"/>
    <xf numFmtId="0" fontId="31" fillId="0" borderId="24" xfId="197" applyFont="1" applyBorder="1" applyAlignment="1">
      <alignment horizontal="left"/>
    </xf>
    <xf numFmtId="0" fontId="31" fillId="0" borderId="24" xfId="197" applyFont="1" applyBorder="1" applyAlignment="1">
      <alignment horizontal="center"/>
    </xf>
    <xf numFmtId="0" fontId="31" fillId="0" borderId="26" xfId="197" applyFont="1" applyBorder="1" applyAlignment="1">
      <alignment horizontal="right"/>
    </xf>
    <xf numFmtId="0" fontId="65" fillId="0" borderId="0" xfId="197" applyFont="1" applyBorder="1" applyAlignment="1">
      <alignment horizontal="left" wrapText="1"/>
    </xf>
    <xf numFmtId="0" fontId="67" fillId="0" borderId="17" xfId="197" applyFont="1" applyBorder="1"/>
    <xf numFmtId="0" fontId="31" fillId="0" borderId="0" xfId="197" applyFont="1" applyBorder="1"/>
    <xf numFmtId="0" fontId="31" fillId="0" borderId="0" xfId="197" applyFont="1" applyBorder="1" applyAlignment="1">
      <alignment horizontal="center"/>
    </xf>
    <xf numFmtId="0" fontId="31" fillId="0" borderId="19" xfId="197" applyFont="1" applyBorder="1" applyAlignment="1">
      <alignment horizontal="center"/>
    </xf>
    <xf numFmtId="0" fontId="65" fillId="0" borderId="20" xfId="197" applyFont="1" applyBorder="1" applyAlignment="1">
      <alignment horizontal="left"/>
    </xf>
    <xf numFmtId="167" fontId="66" fillId="0" borderId="17" xfId="197" applyNumberFormat="1" applyFont="1" applyBorder="1" applyAlignment="1"/>
    <xf numFmtId="166" fontId="66" fillId="0" borderId="0" xfId="197" applyNumberFormat="1" applyFont="1" applyBorder="1"/>
    <xf numFmtId="4" fontId="66" fillId="0" borderId="0" xfId="197" applyNumberFormat="1" applyFont="1" applyBorder="1" applyAlignment="1">
      <alignment horizontal="center"/>
    </xf>
    <xf numFmtId="166" fontId="66" fillId="0" borderId="19" xfId="197" applyNumberFormat="1" applyFont="1" applyBorder="1"/>
    <xf numFmtId="167" fontId="65" fillId="0" borderId="23" xfId="197" applyNumberFormat="1" applyFont="1" applyBorder="1" applyAlignment="1">
      <alignment horizontal="center"/>
    </xf>
    <xf numFmtId="1" fontId="32" fillId="0" borderId="24" xfId="197" applyNumberFormat="1" applyFont="1" applyBorder="1" applyAlignment="1">
      <alignment horizontal="right"/>
    </xf>
    <xf numFmtId="0" fontId="65" fillId="0" borderId="77" xfId="197" applyFont="1" applyBorder="1" applyAlignment="1">
      <alignment horizontal="left"/>
    </xf>
    <xf numFmtId="167" fontId="66" fillId="0" borderId="17" xfId="197" applyNumberFormat="1" applyFont="1" applyBorder="1" applyAlignment="1">
      <alignment wrapText="1"/>
    </xf>
    <xf numFmtId="167" fontId="32" fillId="0" borderId="78" xfId="197" applyNumberFormat="1" applyFont="1" applyBorder="1" applyAlignment="1">
      <alignment horizontal="left"/>
    </xf>
    <xf numFmtId="20" fontId="32" fillId="0" borderId="27" xfId="197" quotePrefix="1" applyNumberFormat="1" applyFont="1" applyBorder="1" applyAlignment="1">
      <alignment horizontal="right"/>
    </xf>
    <xf numFmtId="0" fontId="65" fillId="0" borderId="79" xfId="197" applyFont="1" applyBorder="1" applyAlignment="1">
      <alignment horizontal="left"/>
    </xf>
    <xf numFmtId="0" fontId="65" fillId="0" borderId="0" xfId="197" applyFont="1" applyFill="1" applyBorder="1" applyAlignment="1">
      <alignment horizontal="left"/>
    </xf>
    <xf numFmtId="167" fontId="66" fillId="0" borderId="23" xfId="197" applyNumberFormat="1" applyFont="1" applyBorder="1" applyAlignment="1"/>
    <xf numFmtId="0" fontId="66" fillId="0" borderId="24" xfId="197" applyFont="1" applyBorder="1"/>
    <xf numFmtId="166" fontId="66" fillId="0" borderId="24" xfId="197" applyNumberFormat="1" applyFont="1" applyBorder="1"/>
    <xf numFmtId="4" fontId="66" fillId="0" borderId="24" xfId="197" applyNumberFormat="1" applyFont="1" applyBorder="1" applyAlignment="1">
      <alignment horizontal="center"/>
    </xf>
    <xf numFmtId="166" fontId="66" fillId="0" borderId="26" xfId="197" applyNumberFormat="1" applyFont="1" applyBorder="1"/>
    <xf numFmtId="2" fontId="65" fillId="0" borderId="0" xfId="197" applyNumberFormat="1" applyFont="1" applyBorder="1" applyAlignment="1">
      <alignment horizontal="right"/>
    </xf>
    <xf numFmtId="167" fontId="67" fillId="0" borderId="17" xfId="197" applyNumberFormat="1" applyFont="1" applyBorder="1" applyAlignment="1"/>
    <xf numFmtId="0" fontId="31" fillId="0" borderId="35" xfId="197" applyFont="1" applyBorder="1"/>
    <xf numFmtId="0" fontId="31" fillId="0" borderId="43" xfId="197" applyFont="1" applyBorder="1"/>
    <xf numFmtId="4" fontId="31" fillId="0" borderId="43" xfId="197" applyNumberFormat="1" applyFont="1" applyBorder="1" applyAlignment="1">
      <alignment horizontal="center"/>
    </xf>
    <xf numFmtId="166" fontId="31" fillId="0" borderId="32" xfId="197" applyNumberFormat="1" applyFont="1" applyBorder="1"/>
    <xf numFmtId="167" fontId="65" fillId="0" borderId="23" xfId="197" applyNumberFormat="1" applyFont="1" applyBorder="1" applyAlignment="1">
      <alignment horizontal="left"/>
    </xf>
    <xf numFmtId="2" fontId="65" fillId="0" borderId="24" xfId="197" applyNumberFormat="1" applyFont="1" applyBorder="1" applyAlignment="1">
      <alignment horizontal="right"/>
    </xf>
    <xf numFmtId="0" fontId="65" fillId="0" borderId="77" xfId="197" applyFont="1" applyFill="1" applyBorder="1" applyAlignment="1">
      <alignment horizontal="left"/>
    </xf>
    <xf numFmtId="0" fontId="66" fillId="0" borderId="80" xfId="197" applyFont="1" applyBorder="1"/>
    <xf numFmtId="0" fontId="66" fillId="0" borderId="22" xfId="197" applyFont="1" applyBorder="1"/>
    <xf numFmtId="10" fontId="66" fillId="0" borderId="22" xfId="197" applyNumberFormat="1" applyFont="1" applyBorder="1"/>
    <xf numFmtId="0" fontId="66" fillId="0" borderId="22" xfId="197" applyFont="1" applyBorder="1" applyAlignment="1">
      <alignment horizontal="center"/>
    </xf>
    <xf numFmtId="166" fontId="66" fillId="0" borderId="81" xfId="197" applyNumberFormat="1" applyFont="1" applyBorder="1"/>
    <xf numFmtId="0" fontId="32" fillId="0" borderId="33" xfId="197" applyFont="1" applyBorder="1" applyAlignment="1">
      <alignment horizontal="left"/>
    </xf>
    <xf numFmtId="167" fontId="65" fillId="0" borderId="0" xfId="197" applyNumberFormat="1" applyFont="1" applyBorder="1" applyAlignment="1">
      <alignment horizontal="right"/>
    </xf>
    <xf numFmtId="0" fontId="65" fillId="0" borderId="82" xfId="197" applyFont="1" applyBorder="1" applyAlignment="1">
      <alignment horizontal="left"/>
    </xf>
    <xf numFmtId="0" fontId="31" fillId="0" borderId="80" xfId="197" applyFont="1" applyBorder="1"/>
    <xf numFmtId="0" fontId="31" fillId="0" borderId="22" xfId="197" applyFont="1" applyBorder="1"/>
    <xf numFmtId="44" fontId="31" fillId="0" borderId="22" xfId="197" applyNumberFormat="1" applyFont="1" applyBorder="1" applyAlignment="1">
      <alignment horizontal="center"/>
    </xf>
    <xf numFmtId="166" fontId="31" fillId="0" borderId="81" xfId="197" applyNumberFormat="1" applyFont="1" applyBorder="1"/>
    <xf numFmtId="0" fontId="65" fillId="0" borderId="17" xfId="197" applyFont="1" applyBorder="1" applyAlignment="1">
      <alignment horizontal="left"/>
    </xf>
    <xf numFmtId="171" fontId="65" fillId="0" borderId="0" xfId="197" applyNumberFormat="1" applyFont="1" applyBorder="1" applyAlignment="1">
      <alignment horizontal="right"/>
    </xf>
    <xf numFmtId="0" fontId="66" fillId="0" borderId="17" xfId="197" applyFont="1" applyBorder="1"/>
    <xf numFmtId="44" fontId="31" fillId="0" borderId="0" xfId="197" applyNumberFormat="1" applyFont="1" applyBorder="1" applyAlignment="1">
      <alignment horizontal="center"/>
    </xf>
    <xf numFmtId="166" fontId="31" fillId="0" borderId="19" xfId="197" applyNumberFormat="1" applyFont="1" applyBorder="1"/>
    <xf numFmtId="166" fontId="66" fillId="0" borderId="0" xfId="197" applyNumberFormat="1" applyFont="1" applyFill="1" applyBorder="1" applyAlignment="1">
      <alignment horizontal="center"/>
    </xf>
    <xf numFmtId="166" fontId="66" fillId="0" borderId="19" xfId="197" applyNumberFormat="1" applyFont="1" applyFill="1" applyBorder="1"/>
    <xf numFmtId="166" fontId="66" fillId="0" borderId="0" xfId="197" applyNumberFormat="1" applyFont="1" applyBorder="1" applyAlignment="1">
      <alignment horizontal="center"/>
    </xf>
    <xf numFmtId="0" fontId="65" fillId="0" borderId="17" xfId="197" applyFont="1" applyFill="1" applyBorder="1" applyAlignment="1">
      <alignment horizontal="left"/>
    </xf>
    <xf numFmtId="10" fontId="65" fillId="0" borderId="0" xfId="197" applyNumberFormat="1" applyFont="1" applyFill="1" applyBorder="1" applyAlignment="1">
      <alignment horizontal="right" vertical="center"/>
    </xf>
    <xf numFmtId="166" fontId="65" fillId="0" borderId="0" xfId="97" applyNumberFormat="1" applyFont="1" applyFill="1" applyBorder="1" applyAlignment="1">
      <alignment horizontal="right" vertical="center"/>
    </xf>
    <xf numFmtId="0" fontId="65" fillId="0" borderId="20" xfId="197" applyFont="1" applyFill="1" applyBorder="1" applyAlignment="1">
      <alignment horizontal="left"/>
    </xf>
    <xf numFmtId="166" fontId="66" fillId="0" borderId="22" xfId="197" applyNumberFormat="1" applyFont="1" applyFill="1" applyBorder="1" applyAlignment="1">
      <alignment horizontal="center"/>
    </xf>
    <xf numFmtId="166" fontId="66" fillId="0" borderId="81" xfId="197" applyNumberFormat="1" applyFont="1" applyFill="1" applyBorder="1"/>
    <xf numFmtId="0" fontId="31" fillId="0" borderId="22" xfId="197" applyFont="1" applyBorder="1" applyAlignment="1">
      <alignment horizontal="center"/>
    </xf>
    <xf numFmtId="10" fontId="66" fillId="0" borderId="0" xfId="197" applyNumberFormat="1" applyFont="1" applyBorder="1"/>
    <xf numFmtId="0" fontId="66" fillId="0" borderId="43" xfId="197" applyFont="1" applyBorder="1"/>
    <xf numFmtId="0" fontId="66" fillId="0" borderId="43" xfId="197" applyFont="1" applyBorder="1" applyAlignment="1">
      <alignment horizontal="center"/>
    </xf>
    <xf numFmtId="10" fontId="65" fillId="0" borderId="0" xfId="260" applyNumberFormat="1" applyFont="1" applyFill="1" applyBorder="1" applyAlignment="1">
      <alignment horizontal="right" vertical="center"/>
    </xf>
    <xf numFmtId="0" fontId="62" fillId="0" borderId="7" xfId="197" applyFont="1" applyBorder="1"/>
    <xf numFmtId="0" fontId="66" fillId="0" borderId="9" xfId="197" applyFont="1" applyBorder="1"/>
    <xf numFmtId="0" fontId="66" fillId="0" borderId="9" xfId="197" applyFont="1" applyBorder="1" applyAlignment="1">
      <alignment horizontal="center"/>
    </xf>
    <xf numFmtId="166" fontId="66" fillId="0" borderId="10" xfId="197" applyNumberFormat="1" applyFont="1" applyBorder="1"/>
    <xf numFmtId="173" fontId="66" fillId="0" borderId="19" xfId="115" applyNumberFormat="1" applyFont="1" applyBorder="1"/>
    <xf numFmtId="0" fontId="65" fillId="0" borderId="12" xfId="197" applyFont="1" applyBorder="1" applyAlignment="1">
      <alignment horizontal="left"/>
    </xf>
    <xf numFmtId="0" fontId="65" fillId="0" borderId="16" xfId="197" applyFont="1" applyFill="1" applyBorder="1" applyAlignment="1">
      <alignment horizontal="left"/>
    </xf>
    <xf numFmtId="165" fontId="68" fillId="0" borderId="19" xfId="197" applyNumberFormat="1" applyFont="1" applyBorder="1" applyAlignment="1">
      <alignment horizontal="right"/>
    </xf>
    <xf numFmtId="0" fontId="66" fillId="0" borderId="12" xfId="197" applyFont="1" applyFill="1" applyBorder="1"/>
    <xf numFmtId="0" fontId="66" fillId="0" borderId="13" xfId="197" applyFont="1" applyFill="1" applyBorder="1"/>
    <xf numFmtId="165" fontId="66" fillId="0" borderId="13" xfId="115" applyNumberFormat="1" applyFont="1" applyFill="1" applyBorder="1" applyAlignment="1">
      <alignment horizontal="center"/>
    </xf>
    <xf numFmtId="165" fontId="66" fillId="5" borderId="15" xfId="115" applyNumberFormat="1" applyFont="1" applyFill="1" applyBorder="1"/>
    <xf numFmtId="0" fontId="62" fillId="0" borderId="0" xfId="197" applyFont="1" applyFill="1"/>
    <xf numFmtId="10" fontId="65" fillId="0" borderId="43" xfId="260" applyNumberFormat="1" applyFont="1" applyFill="1" applyBorder="1" applyAlignment="1">
      <alignment horizontal="right"/>
    </xf>
    <xf numFmtId="9" fontId="62" fillId="0" borderId="0" xfId="197" applyNumberFormat="1" applyFont="1"/>
    <xf numFmtId="165" fontId="62" fillId="0" borderId="0" xfId="197" applyNumberFormat="1" applyFont="1" applyAlignment="1">
      <alignment horizontal="center"/>
    </xf>
    <xf numFmtId="165" fontId="62" fillId="0" borderId="0" xfId="197" applyNumberFormat="1" applyFont="1"/>
    <xf numFmtId="10" fontId="62" fillId="0" borderId="0" xfId="260" applyNumberFormat="1" applyFont="1"/>
    <xf numFmtId="44" fontId="62" fillId="0" borderId="0" xfId="197" applyNumberFormat="1" applyFont="1"/>
    <xf numFmtId="10" fontId="69" fillId="0" borderId="0" xfId="260" applyNumberFormat="1" applyFont="1" applyAlignment="1">
      <alignment horizontal="right"/>
    </xf>
    <xf numFmtId="167" fontId="65" fillId="0" borderId="0" xfId="197" applyNumberFormat="1" applyFont="1" applyBorder="1" applyAlignment="1">
      <alignment horizontal="left"/>
    </xf>
    <xf numFmtId="0" fontId="64" fillId="0" borderId="0" xfId="197" applyFont="1" applyBorder="1"/>
    <xf numFmtId="0" fontId="64" fillId="0" borderId="0" xfId="197" applyFont="1" applyBorder="1" applyAlignment="1">
      <alignment wrapText="1"/>
    </xf>
    <xf numFmtId="1" fontId="64" fillId="0" borderId="0" xfId="197" applyNumberFormat="1" applyFont="1" applyBorder="1"/>
    <xf numFmtId="0" fontId="31" fillId="0" borderId="26" xfId="197" applyFont="1" applyBorder="1" applyAlignment="1">
      <alignment horizontal="center"/>
    </xf>
    <xf numFmtId="0" fontId="32" fillId="0" borderId="0" xfId="197" applyFont="1" applyFill="1" applyBorder="1" applyAlignment="1">
      <alignment horizontal="center" vertical="center"/>
    </xf>
    <xf numFmtId="167" fontId="65" fillId="0" borderId="0" xfId="197" applyNumberFormat="1" applyFont="1" applyFill="1" applyBorder="1" applyAlignment="1">
      <alignment horizontal="left"/>
    </xf>
    <xf numFmtId="0" fontId="65" fillId="0" borderId="0" xfId="197" applyFont="1" applyFill="1" applyBorder="1" applyAlignment="1">
      <alignment horizontal="left" wrapText="1"/>
    </xf>
    <xf numFmtId="166" fontId="66" fillId="0" borderId="26" xfId="197" applyNumberFormat="1" applyFont="1" applyFill="1" applyBorder="1"/>
    <xf numFmtId="167" fontId="65" fillId="0" borderId="0" xfId="197" applyNumberFormat="1" applyFont="1" applyFill="1" applyBorder="1" applyAlignment="1">
      <alignment horizontal="center"/>
    </xf>
    <xf numFmtId="1" fontId="32" fillId="0" borderId="0" xfId="197" applyNumberFormat="1" applyFont="1" applyFill="1" applyBorder="1" applyAlignment="1">
      <alignment horizontal="right"/>
    </xf>
    <xf numFmtId="167" fontId="32" fillId="0" borderId="0" xfId="197" applyNumberFormat="1" applyFont="1" applyFill="1" applyBorder="1" applyAlignment="1">
      <alignment horizontal="left"/>
    </xf>
    <xf numFmtId="20" fontId="32" fillId="0" borderId="0" xfId="197" quotePrefix="1" applyNumberFormat="1" applyFont="1" applyFill="1" applyBorder="1" applyAlignment="1">
      <alignment horizontal="right"/>
    </xf>
    <xf numFmtId="42" fontId="66" fillId="0" borderId="81" xfId="197" applyNumberFormat="1" applyFont="1" applyBorder="1"/>
    <xf numFmtId="2" fontId="65" fillId="0" borderId="0" xfId="197" applyNumberFormat="1" applyFont="1" applyFill="1" applyBorder="1" applyAlignment="1">
      <alignment horizontal="right"/>
    </xf>
    <xf numFmtId="42" fontId="31" fillId="0" borderId="81" xfId="197" applyNumberFormat="1" applyFont="1" applyBorder="1"/>
    <xf numFmtId="42" fontId="31" fillId="0" borderId="19" xfId="197" applyNumberFormat="1" applyFont="1" applyBorder="1"/>
    <xf numFmtId="0" fontId="32" fillId="0" borderId="0" xfId="197" applyFont="1" applyFill="1" applyBorder="1" applyAlignment="1">
      <alignment horizontal="left"/>
    </xf>
    <xf numFmtId="42" fontId="66" fillId="0" borderId="19" xfId="197" applyNumberFormat="1" applyFont="1" applyBorder="1"/>
    <xf numFmtId="165" fontId="66" fillId="0" borderId="19" xfId="197" applyNumberFormat="1" applyFont="1" applyBorder="1"/>
    <xf numFmtId="0" fontId="66" fillId="0" borderId="10" xfId="197" applyFont="1" applyBorder="1"/>
    <xf numFmtId="10" fontId="65" fillId="0" borderId="0" xfId="260" applyNumberFormat="1" applyFont="1" applyFill="1" applyBorder="1" applyAlignment="1">
      <alignment horizontal="right"/>
    </xf>
    <xf numFmtId="0" fontId="68" fillId="0" borderId="19" xfId="197" applyFont="1" applyBorder="1" applyAlignment="1">
      <alignment horizontal="right"/>
    </xf>
    <xf numFmtId="44" fontId="66" fillId="5" borderId="15" xfId="115" applyFont="1" applyFill="1" applyBorder="1"/>
    <xf numFmtId="10" fontId="32" fillId="0" borderId="0" xfId="260" applyNumberFormat="1" applyFont="1" applyFill="1" applyBorder="1" applyAlignment="1">
      <alignment horizontal="right"/>
    </xf>
    <xf numFmtId="44" fontId="62" fillId="0" borderId="0" xfId="68" applyFont="1"/>
    <xf numFmtId="165" fontId="61" fillId="0" borderId="0" xfId="197" applyNumberFormat="1" applyFont="1" applyAlignment="1">
      <alignment horizontal="center"/>
    </xf>
    <xf numFmtId="0" fontId="70" fillId="0" borderId="0" xfId="197" applyFont="1"/>
    <xf numFmtId="165" fontId="70" fillId="0" borderId="0" xfId="197" applyNumberFormat="1" applyFont="1" applyAlignment="1">
      <alignment horizontal="center"/>
    </xf>
    <xf numFmtId="43" fontId="70" fillId="0" borderId="0" xfId="51" applyFont="1"/>
    <xf numFmtId="0" fontId="70" fillId="0" borderId="0" xfId="197" applyFont="1" applyAlignment="1">
      <alignment horizontal="center"/>
    </xf>
    <xf numFmtId="0" fontId="70" fillId="0" borderId="0" xfId="197" applyFont="1" applyAlignment="1">
      <alignment horizontal="right"/>
    </xf>
    <xf numFmtId="10" fontId="69" fillId="0" borderId="0" xfId="260" applyNumberFormat="1" applyFont="1"/>
    <xf numFmtId="0" fontId="63" fillId="0" borderId="7" xfId="177" applyFont="1" applyBorder="1"/>
    <xf numFmtId="0" fontId="12" fillId="36" borderId="35" xfId="177" applyFont="1" applyFill="1" applyBorder="1" applyAlignment="1">
      <alignment horizontal="center" wrapText="1"/>
    </xf>
    <xf numFmtId="0" fontId="12" fillId="36" borderId="32" xfId="177" applyFont="1" applyFill="1" applyBorder="1" applyAlignment="1">
      <alignment horizontal="center" wrapText="1"/>
    </xf>
    <xf numFmtId="0" fontId="1" fillId="0" borderId="0" xfId="177"/>
    <xf numFmtId="0" fontId="12" fillId="12" borderId="0" xfId="177" applyFont="1" applyFill="1" applyAlignment="1">
      <alignment wrapText="1"/>
    </xf>
    <xf numFmtId="0" fontId="63" fillId="0" borderId="7" xfId="177" applyFont="1" applyBorder="1" applyAlignment="1">
      <alignment horizontal="right"/>
    </xf>
    <xf numFmtId="166" fontId="63" fillId="0" borderId="9" xfId="177" applyNumberFormat="1" applyFont="1" applyBorder="1" applyAlignment="1">
      <alignment horizontal="center"/>
    </xf>
    <xf numFmtId="166" fontId="63" fillId="0" borderId="10" xfId="177" applyNumberFormat="1" applyFont="1" applyFill="1" applyBorder="1" applyAlignment="1">
      <alignment horizontal="center"/>
    </xf>
    <xf numFmtId="5" fontId="0" fillId="0" borderId="0" xfId="80" applyNumberFormat="1" applyFont="1"/>
    <xf numFmtId="0" fontId="63" fillId="0" borderId="17" xfId="177" applyFont="1" applyBorder="1" applyAlignment="1">
      <alignment horizontal="right"/>
    </xf>
    <xf numFmtId="10" fontId="1" fillId="0" borderId="0" xfId="177" applyNumberFormat="1" applyFont="1" applyBorder="1" applyAlignment="1">
      <alignment horizontal="center"/>
    </xf>
    <xf numFmtId="10" fontId="1" fillId="0" borderId="19" xfId="177" applyNumberFormat="1" applyFont="1" applyBorder="1" applyAlignment="1">
      <alignment horizontal="center"/>
    </xf>
    <xf numFmtId="166" fontId="1" fillId="0" borderId="0" xfId="177" applyNumberFormat="1" applyFont="1" applyBorder="1" applyAlignment="1">
      <alignment horizontal="center"/>
    </xf>
    <xf numFmtId="166" fontId="1" fillId="0" borderId="19" xfId="177" applyNumberFormat="1" applyFont="1" applyFill="1" applyBorder="1" applyAlignment="1">
      <alignment horizontal="center"/>
    </xf>
    <xf numFmtId="0" fontId="63" fillId="0" borderId="17" xfId="177" applyFont="1" applyFill="1" applyBorder="1" applyAlignment="1">
      <alignment horizontal="right"/>
    </xf>
    <xf numFmtId="5" fontId="1" fillId="0" borderId="0" xfId="80" applyNumberFormat="1" applyFont="1" applyFill="1" applyBorder="1" applyAlignment="1">
      <alignment horizontal="center"/>
    </xf>
    <xf numFmtId="5" fontId="1" fillId="0" borderId="19" xfId="80" applyNumberFormat="1" applyFont="1" applyFill="1" applyBorder="1" applyAlignment="1">
      <alignment horizontal="center"/>
    </xf>
    <xf numFmtId="166" fontId="1" fillId="0" borderId="22" xfId="177" applyNumberFormat="1" applyFont="1" applyBorder="1" applyAlignment="1">
      <alignment horizontal="center"/>
    </xf>
    <xf numFmtId="166" fontId="1" fillId="0" borderId="81" xfId="177" applyNumberFormat="1" applyFont="1" applyFill="1" applyBorder="1" applyAlignment="1">
      <alignment horizontal="center"/>
    </xf>
    <xf numFmtId="0" fontId="12" fillId="0" borderId="12" xfId="177" applyFont="1" applyFill="1" applyBorder="1" applyAlignment="1">
      <alignment horizontal="right"/>
    </xf>
    <xf numFmtId="166" fontId="12" fillId="5" borderId="13" xfId="177" applyNumberFormat="1" applyFont="1" applyFill="1" applyBorder="1" applyAlignment="1">
      <alignment horizontal="center"/>
    </xf>
    <xf numFmtId="166" fontId="12" fillId="5" borderId="15" xfId="177" applyNumberFormat="1" applyFont="1" applyFill="1" applyBorder="1" applyAlignment="1">
      <alignment horizontal="center"/>
    </xf>
    <xf numFmtId="0" fontId="12" fillId="0" borderId="35" xfId="177" applyFont="1" applyFill="1" applyBorder="1" applyAlignment="1">
      <alignment horizontal="right"/>
    </xf>
    <xf numFmtId="166" fontId="10" fillId="5" borderId="43" xfId="177" applyNumberFormat="1" applyFont="1" applyFill="1" applyBorder="1" applyAlignment="1">
      <alignment horizontal="center"/>
    </xf>
    <xf numFmtId="166" fontId="10" fillId="5" borderId="32" xfId="177" applyNumberFormat="1" applyFont="1" applyFill="1" applyBorder="1" applyAlignment="1">
      <alignment horizontal="center"/>
    </xf>
    <xf numFmtId="165" fontId="1" fillId="0" borderId="0" xfId="177" applyNumberFormat="1"/>
    <xf numFmtId="0" fontId="1" fillId="0" borderId="0" xfId="197" applyFont="1"/>
    <xf numFmtId="0" fontId="1" fillId="0" borderId="0" xfId="197" applyFont="1" applyAlignment="1">
      <alignment horizontal="center"/>
    </xf>
    <xf numFmtId="0" fontId="1" fillId="0" borderId="0" xfId="197" applyFont="1" applyAlignment="1">
      <alignment horizontal="right"/>
    </xf>
    <xf numFmtId="0" fontId="71" fillId="0" borderId="0" xfId="197" applyFont="1" applyAlignment="1">
      <alignment horizontal="center"/>
    </xf>
    <xf numFmtId="0" fontId="71" fillId="0" borderId="0" xfId="197" applyFont="1"/>
    <xf numFmtId="0" fontId="72" fillId="0" borderId="0" xfId="211" applyFont="1" applyFill="1" applyBorder="1" applyAlignment="1">
      <alignment horizontal="center"/>
    </xf>
    <xf numFmtId="0" fontId="15" fillId="0" borderId="0" xfId="197" applyFont="1"/>
    <xf numFmtId="0" fontId="15" fillId="0" borderId="0" xfId="197" applyFont="1" applyAlignment="1">
      <alignment horizontal="right"/>
    </xf>
    <xf numFmtId="0" fontId="15" fillId="0" borderId="0" xfId="197" applyFont="1" applyAlignment="1">
      <alignment horizontal="center"/>
    </xf>
    <xf numFmtId="0" fontId="71" fillId="0" borderId="0" xfId="197" applyFont="1" applyBorder="1" applyAlignment="1">
      <alignment horizontal="left" vertical="center"/>
    </xf>
    <xf numFmtId="0" fontId="73" fillId="0" borderId="17" xfId="211" applyFont="1" applyFill="1" applyBorder="1" applyAlignment="1">
      <alignment vertical="center"/>
    </xf>
    <xf numFmtId="0" fontId="11" fillId="0" borderId="0" xfId="211" applyFont="1" applyFill="1" applyBorder="1" applyAlignment="1">
      <alignment horizontal="left" vertical="center"/>
    </xf>
    <xf numFmtId="0" fontId="73" fillId="0" borderId="0" xfId="211" applyFont="1" applyBorder="1" applyAlignment="1">
      <alignment vertical="center"/>
    </xf>
    <xf numFmtId="0" fontId="73" fillId="0" borderId="0" xfId="211" applyFont="1" applyBorder="1" applyAlignment="1">
      <alignment horizontal="right" vertical="center"/>
    </xf>
    <xf numFmtId="3" fontId="73" fillId="0" borderId="19" xfId="197" applyNumberFormat="1" applyFont="1" applyBorder="1" applyAlignment="1">
      <alignment vertical="center"/>
    </xf>
    <xf numFmtId="0" fontId="15" fillId="0" borderId="0" xfId="197" applyFont="1" applyAlignment="1">
      <alignment vertical="center"/>
    </xf>
    <xf numFmtId="0" fontId="15" fillId="0" borderId="0" xfId="197" applyFont="1" applyAlignment="1">
      <alignment horizontal="right" vertical="center"/>
    </xf>
    <xf numFmtId="0" fontId="15" fillId="0" borderId="0" xfId="197" applyFont="1" applyAlignment="1">
      <alignment horizontal="center" vertical="center"/>
    </xf>
    <xf numFmtId="0" fontId="71" fillId="0" borderId="0" xfId="197" applyFont="1" applyAlignment="1">
      <alignment vertical="center"/>
    </xf>
    <xf numFmtId="0" fontId="1" fillId="0" borderId="0" xfId="197" applyFont="1" applyAlignment="1">
      <alignment vertical="center"/>
    </xf>
    <xf numFmtId="0" fontId="71" fillId="0" borderId="0" xfId="197" applyFont="1" applyBorder="1" applyAlignment="1">
      <alignment horizontal="left"/>
    </xf>
    <xf numFmtId="0" fontId="73" fillId="0" borderId="17" xfId="197" applyFont="1" applyBorder="1"/>
    <xf numFmtId="0" fontId="11" fillId="0" borderId="0" xfId="197" quotePrefix="1" applyNumberFormat="1" applyFont="1" applyBorder="1" applyAlignment="1">
      <alignment horizontal="left"/>
    </xf>
    <xf numFmtId="0" fontId="74" fillId="0" borderId="0" xfId="197" applyFont="1" applyBorder="1"/>
    <xf numFmtId="0" fontId="74" fillId="0" borderId="0" xfId="197" applyFont="1" applyBorder="1" applyAlignment="1">
      <alignment horizontal="center"/>
    </xf>
    <xf numFmtId="0" fontId="74" fillId="0" borderId="19" xfId="197" applyFont="1" applyBorder="1"/>
    <xf numFmtId="0" fontId="15" fillId="0" borderId="50" xfId="197" applyFont="1" applyBorder="1"/>
    <xf numFmtId="166" fontId="15" fillId="0" borderId="0" xfId="197" applyNumberFormat="1" applyFont="1" applyBorder="1" applyAlignment="1">
      <alignment horizontal="center"/>
    </xf>
    <xf numFmtId="0" fontId="15" fillId="0" borderId="51" xfId="197" applyFont="1" applyBorder="1"/>
    <xf numFmtId="0" fontId="73" fillId="0" borderId="23" xfId="197" applyFont="1" applyBorder="1"/>
    <xf numFmtId="0" fontId="73" fillId="0" borderId="24" xfId="197" applyFont="1" applyBorder="1" applyAlignment="1">
      <alignment horizontal="left"/>
    </xf>
    <xf numFmtId="0" fontId="73" fillId="0" borderId="24" xfId="197" applyFont="1" applyBorder="1" applyAlignment="1">
      <alignment horizontal="center"/>
    </xf>
    <xf numFmtId="0" fontId="73" fillId="0" borderId="26" xfId="197" applyFont="1" applyBorder="1" applyAlignment="1">
      <alignment horizontal="right"/>
    </xf>
    <xf numFmtId="0" fontId="73" fillId="0" borderId="26" xfId="197" applyFont="1" applyBorder="1" applyAlignment="1">
      <alignment horizontal="center"/>
    </xf>
    <xf numFmtId="0" fontId="71" fillId="0" borderId="0" xfId="197" applyFont="1" applyBorder="1" applyAlignment="1">
      <alignment horizontal="left" wrapText="1"/>
    </xf>
    <xf numFmtId="0" fontId="73" fillId="0" borderId="0" xfId="197" applyFont="1" applyBorder="1"/>
    <xf numFmtId="166" fontId="75" fillId="0" borderId="0" xfId="197" applyNumberFormat="1" applyFont="1" applyBorder="1" applyAlignment="1">
      <alignment horizontal="right"/>
    </xf>
    <xf numFmtId="2" fontId="75" fillId="0" borderId="0" xfId="197" applyNumberFormat="1" applyFont="1" applyBorder="1" applyAlignment="1">
      <alignment horizontal="center"/>
    </xf>
    <xf numFmtId="166" fontId="74" fillId="0" borderId="19" xfId="197" applyNumberFormat="1" applyFont="1" applyBorder="1" applyAlignment="1">
      <alignment horizontal="right"/>
    </xf>
    <xf numFmtId="0" fontId="76" fillId="0" borderId="17" xfId="197" applyFont="1" applyBorder="1"/>
    <xf numFmtId="0" fontId="73" fillId="0" borderId="0" xfId="197" applyFont="1" applyBorder="1" applyAlignment="1">
      <alignment horizontal="center"/>
    </xf>
    <xf numFmtId="0" fontId="73" fillId="0" borderId="19" xfId="197" applyFont="1" applyBorder="1" applyAlignment="1">
      <alignment horizontal="center"/>
    </xf>
    <xf numFmtId="4" fontId="75" fillId="0" borderId="0" xfId="197" applyNumberFormat="1" applyFont="1" applyBorder="1" applyAlignment="1">
      <alignment horizontal="center"/>
    </xf>
    <xf numFmtId="166" fontId="74" fillId="0" borderId="19" xfId="197" applyNumberFormat="1" applyFont="1" applyBorder="1"/>
    <xf numFmtId="167" fontId="75" fillId="0" borderId="17" xfId="197" applyNumberFormat="1" applyFont="1" applyBorder="1" applyAlignment="1"/>
    <xf numFmtId="166" fontId="77" fillId="0" borderId="0" xfId="197" applyNumberFormat="1" applyFont="1" applyBorder="1"/>
    <xf numFmtId="4" fontId="78" fillId="0" borderId="0" xfId="197" applyNumberFormat="1" applyFont="1" applyBorder="1" applyAlignment="1">
      <alignment horizontal="center"/>
    </xf>
    <xf numFmtId="166" fontId="74" fillId="0" borderId="19" xfId="197" applyNumberFormat="1" applyFont="1" applyFill="1" applyBorder="1"/>
    <xf numFmtId="2" fontId="15" fillId="0" borderId="0" xfId="197" applyNumberFormat="1" applyFont="1" applyBorder="1" applyAlignment="1">
      <alignment horizontal="center"/>
    </xf>
    <xf numFmtId="0" fontId="71" fillId="0" borderId="0" xfId="197" applyFont="1" applyFill="1" applyBorder="1" applyAlignment="1">
      <alignment horizontal="left"/>
    </xf>
    <xf numFmtId="0" fontId="73" fillId="0" borderId="35" xfId="197" applyFont="1" applyBorder="1"/>
    <xf numFmtId="0" fontId="73" fillId="0" borderId="43" xfId="197" applyFont="1" applyBorder="1"/>
    <xf numFmtId="4" fontId="73" fillId="0" borderId="43" xfId="197" applyNumberFormat="1" applyFont="1" applyBorder="1" applyAlignment="1">
      <alignment horizontal="center"/>
    </xf>
    <xf numFmtId="166" fontId="73" fillId="0" borderId="32" xfId="197" applyNumberFormat="1" applyFont="1" applyBorder="1"/>
    <xf numFmtId="0" fontId="74" fillId="0" borderId="17" xfId="197" applyFont="1" applyBorder="1"/>
    <xf numFmtId="10" fontId="74" fillId="0" borderId="0" xfId="197" applyNumberFormat="1" applyFont="1" applyBorder="1"/>
    <xf numFmtId="10" fontId="15" fillId="0" borderId="0" xfId="197" applyNumberFormat="1" applyFont="1" applyBorder="1" applyAlignment="1">
      <alignment horizontal="center"/>
    </xf>
    <xf numFmtId="0" fontId="74" fillId="0" borderId="80" xfId="197" applyFont="1" applyBorder="1"/>
    <xf numFmtId="0" fontId="74" fillId="0" borderId="22" xfId="197" applyFont="1" applyBorder="1"/>
    <xf numFmtId="10" fontId="75" fillId="0" borderId="22" xfId="197" applyNumberFormat="1" applyFont="1" applyBorder="1"/>
    <xf numFmtId="0" fontId="74" fillId="0" borderId="22" xfId="197" applyFont="1" applyBorder="1" applyAlignment="1">
      <alignment horizontal="center"/>
    </xf>
    <xf numFmtId="166" fontId="74" fillId="0" borderId="81" xfId="197" applyNumberFormat="1" applyFont="1" applyBorder="1"/>
    <xf numFmtId="10" fontId="77" fillId="0" borderId="22" xfId="197" applyNumberFormat="1" applyFont="1" applyBorder="1"/>
    <xf numFmtId="42" fontId="74" fillId="0" borderId="81" xfId="197" applyNumberFormat="1" applyFont="1" applyBorder="1"/>
    <xf numFmtId="0" fontId="73" fillId="0" borderId="80" xfId="197" applyFont="1" applyBorder="1"/>
    <xf numFmtId="0" fontId="73" fillId="0" borderId="22" xfId="197" applyFont="1" applyBorder="1"/>
    <xf numFmtId="44" fontId="73" fillId="0" borderId="22" xfId="197" applyNumberFormat="1" applyFont="1" applyBorder="1" applyAlignment="1">
      <alignment horizontal="center"/>
    </xf>
    <xf numFmtId="166" fontId="73" fillId="0" borderId="81" xfId="197" applyNumberFormat="1" applyFont="1" applyBorder="1"/>
    <xf numFmtId="42" fontId="73" fillId="0" borderId="81" xfId="197" applyNumberFormat="1" applyFont="1" applyBorder="1"/>
    <xf numFmtId="0" fontId="15" fillId="0" borderId="50" xfId="197" applyFont="1" applyBorder="1" applyAlignment="1">
      <alignment horizontal="left" vertical="center"/>
    </xf>
    <xf numFmtId="166" fontId="15" fillId="0" borderId="0" xfId="197" applyNumberFormat="1" applyFont="1" applyBorder="1" applyAlignment="1">
      <alignment horizontal="center" vertical="center"/>
    </xf>
    <xf numFmtId="0" fontId="71" fillId="0" borderId="0" xfId="197" applyFont="1" applyAlignment="1">
      <alignment horizontal="right"/>
    </xf>
    <xf numFmtId="44" fontId="73" fillId="0" borderId="0" xfId="197" applyNumberFormat="1" applyFont="1" applyBorder="1" applyAlignment="1">
      <alignment horizontal="center"/>
    </xf>
    <xf numFmtId="166" fontId="73" fillId="0" borderId="19" xfId="197" applyNumberFormat="1" applyFont="1" applyBorder="1"/>
    <xf numFmtId="42" fontId="73" fillId="0" borderId="19" xfId="197" applyNumberFormat="1" applyFont="1" applyBorder="1"/>
    <xf numFmtId="166" fontId="74" fillId="0" borderId="0" xfId="197" applyNumberFormat="1" applyFont="1" applyBorder="1"/>
    <xf numFmtId="165" fontId="74" fillId="0" borderId="0" xfId="197" applyNumberFormat="1" applyFont="1" applyFill="1" applyBorder="1" applyAlignment="1">
      <alignment horizontal="center"/>
    </xf>
    <xf numFmtId="173" fontId="15" fillId="0" borderId="0" xfId="80" applyNumberFormat="1" applyFont="1" applyAlignment="1">
      <alignment horizontal="right"/>
    </xf>
    <xf numFmtId="44" fontId="15" fillId="0" borderId="0" xfId="197" applyNumberFormat="1" applyFont="1" applyAlignment="1">
      <alignment horizontal="center"/>
    </xf>
    <xf numFmtId="0" fontId="73" fillId="0" borderId="22" xfId="197" applyFont="1" applyBorder="1" applyAlignment="1">
      <alignment horizontal="center"/>
    </xf>
    <xf numFmtId="0" fontId="15" fillId="0" borderId="52" xfId="197" applyFont="1" applyBorder="1"/>
    <xf numFmtId="10" fontId="15" fillId="0" borderId="24" xfId="197" applyNumberFormat="1" applyFont="1" applyBorder="1" applyAlignment="1">
      <alignment horizontal="center"/>
    </xf>
    <xf numFmtId="0" fontId="15" fillId="0" borderId="53" xfId="197" applyFont="1" applyBorder="1"/>
    <xf numFmtId="0" fontId="15" fillId="0" borderId="53" xfId="197" applyFont="1" applyBorder="1" applyAlignment="1">
      <alignment wrapText="1"/>
    </xf>
    <xf numFmtId="10" fontId="75" fillId="0" borderId="0" xfId="197" applyNumberFormat="1" applyFont="1" applyBorder="1"/>
    <xf numFmtId="10" fontId="77" fillId="0" borderId="0" xfId="197" applyNumberFormat="1" applyFont="1" applyBorder="1"/>
    <xf numFmtId="42" fontId="74" fillId="0" borderId="19" xfId="197" applyNumberFormat="1" applyFont="1" applyBorder="1"/>
    <xf numFmtId="0" fontId="74" fillId="0" borderId="43" xfId="197" applyFont="1" applyBorder="1"/>
    <xf numFmtId="0" fontId="74" fillId="0" borderId="43" xfId="197" applyFont="1" applyBorder="1" applyAlignment="1">
      <alignment horizontal="center"/>
    </xf>
    <xf numFmtId="42" fontId="73" fillId="0" borderId="32" xfId="197" applyNumberFormat="1" applyFont="1" applyBorder="1"/>
    <xf numFmtId="0" fontId="15" fillId="0" borderId="7" xfId="197" applyFont="1" applyBorder="1"/>
    <xf numFmtId="0" fontId="74" fillId="0" borderId="9" xfId="197" applyFont="1" applyBorder="1"/>
    <xf numFmtId="0" fontId="74" fillId="0" borderId="9" xfId="197" applyFont="1" applyBorder="1" applyAlignment="1">
      <alignment horizontal="center"/>
    </xf>
    <xf numFmtId="166" fontId="74" fillId="0" borderId="10" xfId="197" applyNumberFormat="1" applyFont="1" applyBorder="1"/>
    <xf numFmtId="0" fontId="74" fillId="0" borderId="10" xfId="197" applyFont="1" applyBorder="1"/>
    <xf numFmtId="0" fontId="15" fillId="0" borderId="0" xfId="197" applyFont="1" applyFill="1" applyAlignment="1">
      <alignment horizontal="left"/>
    </xf>
    <xf numFmtId="0" fontId="15" fillId="0" borderId="0" xfId="197" applyFont="1" applyFill="1" applyAlignment="1">
      <alignment horizontal="center"/>
    </xf>
    <xf numFmtId="173" fontId="74" fillId="0" borderId="19" xfId="115" applyNumberFormat="1" applyFont="1" applyBorder="1"/>
    <xf numFmtId="10" fontId="78" fillId="0" borderId="0" xfId="197" applyNumberFormat="1" applyFont="1" applyBorder="1"/>
    <xf numFmtId="166" fontId="15" fillId="0" borderId="0" xfId="197" applyNumberFormat="1" applyFont="1" applyFill="1" applyAlignment="1">
      <alignment horizontal="right"/>
    </xf>
    <xf numFmtId="165" fontId="79" fillId="0" borderId="19" xfId="197" applyNumberFormat="1" applyFont="1" applyBorder="1" applyAlignment="1">
      <alignment horizontal="right"/>
    </xf>
    <xf numFmtId="0" fontId="79" fillId="0" borderId="19" xfId="197" applyFont="1" applyBorder="1" applyAlignment="1">
      <alignment horizontal="right"/>
    </xf>
    <xf numFmtId="0" fontId="15" fillId="0" borderId="0" xfId="197" applyFont="1" applyFill="1" applyAlignment="1">
      <alignment horizontal="right"/>
    </xf>
    <xf numFmtId="0" fontId="73" fillId="0" borderId="12" xfId="197" applyFont="1" applyBorder="1"/>
    <xf numFmtId="0" fontId="74" fillId="0" borderId="13" xfId="197" applyFont="1" applyBorder="1"/>
    <xf numFmtId="165" fontId="74" fillId="0" borderId="13" xfId="115" applyNumberFormat="1" applyFont="1" applyBorder="1" applyAlignment="1">
      <alignment horizontal="center"/>
    </xf>
    <xf numFmtId="44" fontId="73" fillId="38" borderId="15" xfId="115" applyFont="1" applyFill="1" applyBorder="1"/>
    <xf numFmtId="165" fontId="15" fillId="0" borderId="0" xfId="197" applyNumberFormat="1" applyFont="1" applyFill="1" applyAlignment="1">
      <alignment horizontal="right"/>
    </xf>
    <xf numFmtId="9" fontId="15" fillId="0" borderId="0" xfId="197" applyNumberFormat="1" applyFont="1"/>
    <xf numFmtId="165" fontId="15" fillId="0" borderId="0" xfId="197" applyNumberFormat="1" applyFont="1" applyAlignment="1">
      <alignment horizontal="center"/>
    </xf>
    <xf numFmtId="165" fontId="15" fillId="0" borderId="0" xfId="197" applyNumberFormat="1" applyFont="1"/>
    <xf numFmtId="44" fontId="15" fillId="0" borderId="0" xfId="197" applyNumberFormat="1" applyFont="1"/>
    <xf numFmtId="165" fontId="15" fillId="0" borderId="0" xfId="197" applyNumberFormat="1" applyFont="1" applyFill="1" applyAlignment="1">
      <alignment horizontal="center"/>
    </xf>
    <xf numFmtId="10" fontId="15" fillId="0" borderId="0" xfId="259" applyNumberFormat="1" applyFont="1"/>
    <xf numFmtId="0" fontId="15" fillId="0" borderId="17" xfId="6" applyFont="1" applyFill="1" applyBorder="1"/>
    <xf numFmtId="165" fontId="15" fillId="0" borderId="0" xfId="6" applyNumberFormat="1" applyFont="1" applyFill="1" applyBorder="1" applyAlignment="1">
      <alignment horizontal="center"/>
    </xf>
    <xf numFmtId="166" fontId="15" fillId="0" borderId="0" xfId="6" applyNumberFormat="1" applyFont="1" applyFill="1" applyBorder="1" applyAlignment="1">
      <alignment horizontal="center"/>
    </xf>
    <xf numFmtId="9" fontId="15" fillId="0" borderId="0" xfId="5" applyFont="1" applyFill="1" applyBorder="1" applyAlignment="1">
      <alignment horizontal="center"/>
    </xf>
    <xf numFmtId="0" fontId="15" fillId="0" borderId="0" xfId="6" applyFont="1" applyFill="1" applyBorder="1"/>
    <xf numFmtId="0" fontId="15" fillId="0" borderId="19" xfId="6" applyFont="1" applyFill="1" applyBorder="1" applyAlignment="1">
      <alignment horizontal="left" vertical="center" wrapText="1"/>
    </xf>
    <xf numFmtId="166" fontId="2" fillId="0" borderId="20" xfId="4" applyNumberFormat="1" applyFill="1" applyBorder="1"/>
    <xf numFmtId="0" fontId="2" fillId="0" borderId="0" xfId="4" applyFill="1"/>
    <xf numFmtId="165" fontId="2" fillId="0" borderId="0" xfId="4" applyNumberFormat="1" applyFill="1"/>
    <xf numFmtId="0" fontId="19" fillId="0" borderId="21" xfId="0" applyFont="1" applyFill="1" applyBorder="1"/>
    <xf numFmtId="0" fontId="19" fillId="0" borderId="7" xfId="0" applyFont="1" applyFill="1" applyBorder="1"/>
    <xf numFmtId="167" fontId="19" fillId="0" borderId="9" xfId="0" applyNumberFormat="1" applyFont="1" applyFill="1" applyBorder="1" applyAlignment="1">
      <alignment horizontal="center"/>
    </xf>
    <xf numFmtId="167" fontId="20" fillId="0" borderId="10" xfId="0" applyNumberFormat="1" applyFont="1" applyFill="1" applyBorder="1"/>
    <xf numFmtId="168" fontId="20" fillId="0" borderId="0" xfId="0" applyNumberFormat="1" applyFont="1" applyFill="1" applyBorder="1"/>
    <xf numFmtId="168" fontId="20" fillId="0" borderId="19" xfId="0" applyNumberFormat="1" applyFont="1" applyFill="1" applyBorder="1"/>
    <xf numFmtId="0" fontId="20" fillId="0" borderId="23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20" fillId="0" borderId="12" xfId="0" applyFont="1" applyFill="1" applyBorder="1"/>
    <xf numFmtId="0" fontId="19" fillId="0" borderId="15" xfId="0" applyFont="1" applyFill="1" applyBorder="1"/>
    <xf numFmtId="167" fontId="20" fillId="0" borderId="7" xfId="0" applyNumberFormat="1" applyFont="1" applyFill="1" applyBorder="1"/>
    <xf numFmtId="0" fontId="20" fillId="0" borderId="10" xfId="0" applyFont="1" applyFill="1" applyBorder="1"/>
    <xf numFmtId="167" fontId="20" fillId="0" borderId="17" xfId="0" applyNumberFormat="1" applyFont="1" applyFill="1" applyBorder="1"/>
    <xf numFmtId="168" fontId="20" fillId="0" borderId="17" xfId="0" applyNumberFormat="1" applyFont="1" applyFill="1" applyBorder="1"/>
    <xf numFmtId="165" fontId="20" fillId="0" borderId="0" xfId="0" applyNumberFormat="1" applyFont="1" applyFill="1" applyBorder="1"/>
    <xf numFmtId="0" fontId="19" fillId="0" borderId="17" xfId="0" applyFont="1" applyFill="1" applyBorder="1"/>
    <xf numFmtId="167" fontId="20" fillId="0" borderId="0" xfId="0" applyNumberFormat="1" applyFont="1" applyFill="1" applyBorder="1" applyAlignment="1">
      <alignment horizontal="right"/>
    </xf>
    <xf numFmtId="167" fontId="19" fillId="0" borderId="27" xfId="0" quotePrefix="1" applyNumberFormat="1" applyFont="1" applyFill="1" applyBorder="1" applyAlignment="1">
      <alignment horizontal="center"/>
    </xf>
    <xf numFmtId="0" fontId="19" fillId="0" borderId="27" xfId="0" quotePrefix="1" applyFont="1" applyFill="1" applyBorder="1" applyAlignment="1">
      <alignment horizontal="center"/>
    </xf>
    <xf numFmtId="171" fontId="19" fillId="0" borderId="27" xfId="0" quotePrefix="1" applyNumberFormat="1" applyFont="1" applyFill="1" applyBorder="1" applyAlignment="1">
      <alignment horizontal="center"/>
    </xf>
    <xf numFmtId="0" fontId="19" fillId="0" borderId="28" xfId="0" quotePrefix="1" applyFont="1" applyFill="1" applyBorder="1" applyAlignment="1">
      <alignment horizontal="center"/>
    </xf>
    <xf numFmtId="0" fontId="19" fillId="0" borderId="33" xfId="0" applyFont="1" applyFill="1" applyBorder="1"/>
    <xf numFmtId="0" fontId="20" fillId="0" borderId="18" xfId="0" applyFont="1" applyFill="1" applyBorder="1"/>
    <xf numFmtId="167" fontId="19" fillId="0" borderId="17" xfId="0" applyNumberFormat="1" applyFont="1" applyFill="1" applyBorder="1"/>
    <xf numFmtId="0" fontId="20" fillId="0" borderId="34" xfId="0" applyFont="1" applyFill="1" applyBorder="1"/>
    <xf numFmtId="0" fontId="20" fillId="0" borderId="14" xfId="0" applyFont="1" applyFill="1" applyBorder="1"/>
    <xf numFmtId="0" fontId="20" fillId="0" borderId="15" xfId="0" applyFont="1" applyFill="1" applyBorder="1"/>
    <xf numFmtId="1" fontId="19" fillId="0" borderId="0" xfId="0" applyNumberFormat="1" applyFont="1" applyFill="1" applyBorder="1" applyAlignment="1"/>
    <xf numFmtId="167" fontId="19" fillId="0" borderId="0" xfId="0" quotePrefix="1" applyNumberFormat="1" applyFont="1" applyFill="1" applyBorder="1" applyAlignment="1">
      <alignment horizontal="center"/>
    </xf>
    <xf numFmtId="0" fontId="19" fillId="0" borderId="0" xfId="0" quotePrefix="1" applyFont="1" applyFill="1" applyBorder="1" applyAlignment="1">
      <alignment horizontal="center"/>
    </xf>
    <xf numFmtId="171" fontId="19" fillId="0" borderId="0" xfId="0" quotePrefix="1" applyNumberFormat="1" applyFont="1" applyFill="1" applyBorder="1" applyAlignment="1">
      <alignment horizontal="center"/>
    </xf>
    <xf numFmtId="171" fontId="19" fillId="0" borderId="0" xfId="0" applyNumberFormat="1" applyFont="1" applyFill="1" applyBorder="1"/>
    <xf numFmtId="2" fontId="19" fillId="0" borderId="0" xfId="0" applyNumberFormat="1" applyFont="1" applyFill="1" applyBorder="1" applyAlignment="1"/>
    <xf numFmtId="167" fontId="20" fillId="0" borderId="0" xfId="0" applyNumberFormat="1" applyFont="1" applyFill="1" applyBorder="1" applyAlignment="1">
      <alignment horizontal="center"/>
    </xf>
    <xf numFmtId="0" fontId="20" fillId="0" borderId="32" xfId="0" applyFont="1" applyFill="1" applyBorder="1"/>
    <xf numFmtId="0" fontId="19" fillId="0" borderId="0" xfId="0" applyFont="1" applyFill="1" applyBorder="1" applyAlignment="1">
      <alignment horizontal="right"/>
    </xf>
    <xf numFmtId="167" fontId="19" fillId="0" borderId="0" xfId="0" applyNumberFormat="1" applyFont="1" applyFill="1" applyBorder="1" applyAlignment="1">
      <alignment horizontal="right"/>
    </xf>
    <xf numFmtId="169" fontId="20" fillId="0" borderId="0" xfId="2" quotePrefix="1" applyNumberFormat="1" applyFont="1" applyFill="1" applyBorder="1"/>
    <xf numFmtId="168" fontId="20" fillId="0" borderId="0" xfId="0" applyNumberFormat="1" applyFont="1" applyFill="1" applyBorder="1" applyAlignment="1">
      <alignment horizontal="right"/>
    </xf>
    <xf numFmtId="2" fontId="20" fillId="0" borderId="0" xfId="0" applyNumberFormat="1" applyFont="1" applyFill="1" applyBorder="1" applyAlignment="1"/>
    <xf numFmtId="10" fontId="20" fillId="0" borderId="0" xfId="3" applyNumberFormat="1" applyFont="1" applyFill="1" applyBorder="1"/>
    <xf numFmtId="167" fontId="19" fillId="0" borderId="10" xfId="0" applyNumberFormat="1" applyFont="1" applyFill="1" applyBorder="1" applyAlignment="1">
      <alignment horizontal="center"/>
    </xf>
    <xf numFmtId="0" fontId="20" fillId="0" borderId="23" xfId="0" applyFont="1" applyFill="1" applyBorder="1"/>
    <xf numFmtId="0" fontId="20" fillId="0" borderId="12" xfId="0" applyFont="1" applyFill="1" applyBorder="1" applyAlignment="1">
      <alignment horizontal="center"/>
    </xf>
    <xf numFmtId="167" fontId="20" fillId="0" borderId="0" xfId="0" applyNumberFormat="1" applyFont="1" applyFill="1" applyAlignment="1">
      <alignment horizontal="center"/>
    </xf>
    <xf numFmtId="168" fontId="20" fillId="0" borderId="9" xfId="0" applyNumberFormat="1" applyFont="1" applyFill="1" applyBorder="1"/>
    <xf numFmtId="168" fontId="19" fillId="0" borderId="17" xfId="0" applyNumberFormat="1" applyFont="1" applyFill="1" applyBorder="1"/>
    <xf numFmtId="171" fontId="20" fillId="0" borderId="19" xfId="0" applyNumberFormat="1" applyFont="1" applyFill="1" applyBorder="1"/>
    <xf numFmtId="171" fontId="19" fillId="0" borderId="19" xfId="0" applyNumberFormat="1" applyFont="1" applyFill="1" applyBorder="1"/>
    <xf numFmtId="171" fontId="20" fillId="0" borderId="15" xfId="0" applyNumberFormat="1" applyFont="1" applyFill="1" applyBorder="1"/>
    <xf numFmtId="0" fontId="17" fillId="0" borderId="0" xfId="0" applyFont="1" applyFill="1" applyBorder="1" applyAlignment="1">
      <alignment horizontal="center"/>
    </xf>
    <xf numFmtId="167" fontId="19" fillId="0" borderId="22" xfId="0" applyNumberFormat="1" applyFont="1" applyFill="1" applyBorder="1" applyAlignment="1"/>
    <xf numFmtId="0" fontId="19" fillId="0" borderId="9" xfId="0" applyFont="1" applyFill="1" applyBorder="1"/>
    <xf numFmtId="167" fontId="19" fillId="0" borderId="8" xfId="0" applyNumberFormat="1" applyFont="1" applyFill="1" applyBorder="1" applyAlignment="1">
      <alignment horizontal="right"/>
    </xf>
    <xf numFmtId="1" fontId="19" fillId="0" borderId="24" xfId="0" applyNumberFormat="1" applyFont="1" applyFill="1" applyBorder="1" applyAlignment="1"/>
    <xf numFmtId="1" fontId="19" fillId="0" borderId="26" xfId="0" applyNumberFormat="1" applyFont="1" applyFill="1" applyBorder="1" applyAlignment="1"/>
    <xf numFmtId="0" fontId="17" fillId="0" borderId="0" xfId="0" applyFont="1" applyFill="1" applyBorder="1"/>
    <xf numFmtId="0" fontId="17" fillId="0" borderId="19" xfId="0" applyFont="1" applyFill="1" applyBorder="1"/>
    <xf numFmtId="0" fontId="17" fillId="0" borderId="13" xfId="0" applyFont="1" applyFill="1" applyBorder="1"/>
    <xf numFmtId="0" fontId="17" fillId="0" borderId="15" xfId="0" applyFont="1" applyFill="1" applyBorder="1"/>
    <xf numFmtId="10" fontId="19" fillId="0" borderId="0" xfId="3" applyNumberFormat="1" applyFont="1" applyFill="1" applyBorder="1" applyAlignment="1">
      <alignment horizontal="center"/>
    </xf>
    <xf numFmtId="0" fontId="33" fillId="0" borderId="0" xfId="0" applyFont="1" applyFill="1" applyBorder="1"/>
    <xf numFmtId="1" fontId="19" fillId="0" borderId="0" xfId="0" quotePrefix="1" applyNumberFormat="1" applyFont="1" applyFill="1" applyBorder="1"/>
    <xf numFmtId="165" fontId="17" fillId="0" borderId="0" xfId="0" applyNumberFormat="1" applyFont="1" applyFill="1" applyBorder="1"/>
    <xf numFmtId="10" fontId="17" fillId="0" borderId="0" xfId="3" applyNumberFormat="1" applyFont="1" applyFill="1" applyBorder="1"/>
    <xf numFmtId="0" fontId="17" fillId="0" borderId="0" xfId="0" applyFont="1" applyFill="1" applyAlignment="1">
      <alignment horizontal="center"/>
    </xf>
    <xf numFmtId="0" fontId="20" fillId="0" borderId="24" xfId="0" applyFont="1" applyFill="1" applyBorder="1"/>
    <xf numFmtId="0" fontId="19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/>
    </xf>
    <xf numFmtId="44" fontId="20" fillId="0" borderId="0" xfId="0" applyNumberFormat="1" applyFont="1" applyFill="1"/>
    <xf numFmtId="44" fontId="20" fillId="0" borderId="27" xfId="0" applyNumberFormat="1" applyFont="1" applyFill="1" applyBorder="1"/>
    <xf numFmtId="166" fontId="20" fillId="0" borderId="0" xfId="0" applyNumberFormat="1" applyFont="1" applyFill="1"/>
    <xf numFmtId="166" fontId="20" fillId="0" borderId="27" xfId="0" applyNumberFormat="1" applyFont="1" applyFill="1" applyBorder="1"/>
    <xf numFmtId="165" fontId="19" fillId="0" borderId="0" xfId="0" applyNumberFormat="1" applyFont="1" applyFill="1" applyBorder="1"/>
    <xf numFmtId="165" fontId="20" fillId="0" borderId="0" xfId="0" applyNumberFormat="1" applyFont="1" applyFill="1"/>
    <xf numFmtId="165" fontId="19" fillId="0" borderId="0" xfId="0" applyNumberFormat="1" applyFont="1" applyFill="1"/>
    <xf numFmtId="165" fontId="73" fillId="5" borderId="15" xfId="115" applyNumberFormat="1" applyFont="1" applyFill="1" applyBorder="1"/>
    <xf numFmtId="0" fontId="15" fillId="0" borderId="10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center" wrapText="1"/>
    </xf>
    <xf numFmtId="0" fontId="15" fillId="0" borderId="19" xfId="4" applyFont="1" applyBorder="1" applyAlignment="1">
      <alignment horizontal="left" vertical="center" wrapText="1"/>
    </xf>
    <xf numFmtId="0" fontId="15" fillId="0" borderId="9" xfId="4" applyFont="1" applyBorder="1" applyAlignment="1">
      <alignment vertical="top" wrapText="1"/>
    </xf>
    <xf numFmtId="0" fontId="15" fillId="0" borderId="13" xfId="4" applyFont="1" applyBorder="1" applyAlignment="1">
      <alignment vertical="top" wrapText="1"/>
    </xf>
    <xf numFmtId="165" fontId="2" fillId="0" borderId="11" xfId="4" applyNumberFormat="1" applyBorder="1" applyAlignment="1">
      <alignment horizontal="right" vertical="center"/>
    </xf>
    <xf numFmtId="165" fontId="2" fillId="0" borderId="16" xfId="4" applyNumberFormat="1" applyBorder="1" applyAlignment="1">
      <alignment horizontal="right" vertical="center"/>
    </xf>
    <xf numFmtId="0" fontId="15" fillId="0" borderId="9" xfId="4" applyFont="1" applyBorder="1" applyAlignment="1">
      <alignment horizontal="left" vertical="top" wrapText="1"/>
    </xf>
    <xf numFmtId="0" fontId="15" fillId="0" borderId="13" xfId="4" applyFont="1" applyBorder="1" applyAlignment="1">
      <alignment horizontal="left" vertical="top" wrapText="1"/>
    </xf>
    <xf numFmtId="0" fontId="19" fillId="0" borderId="35" xfId="0" applyFont="1" applyFill="1" applyBorder="1" applyAlignment="1">
      <alignment horizontal="left"/>
    </xf>
    <xf numFmtId="0" fontId="19" fillId="0" borderId="32" xfId="0" applyFont="1" applyFill="1" applyBorder="1" applyAlignment="1">
      <alignment horizontal="left"/>
    </xf>
    <xf numFmtId="167" fontId="19" fillId="0" borderId="0" xfId="0" applyNumberFormat="1" applyFont="1" applyFill="1" applyAlignment="1">
      <alignment horizontal="center"/>
    </xf>
    <xf numFmtId="167" fontId="19" fillId="0" borderId="22" xfId="0" applyNumberFormat="1" applyFont="1" applyFill="1" applyBorder="1" applyAlignment="1">
      <alignment horizontal="center"/>
    </xf>
    <xf numFmtId="1" fontId="19" fillId="0" borderId="24" xfId="0" applyNumberFormat="1" applyFont="1" applyFill="1" applyBorder="1" applyAlignment="1">
      <alignment horizontal="center"/>
    </xf>
    <xf numFmtId="1" fontId="19" fillId="0" borderId="26" xfId="0" applyNumberFormat="1" applyFont="1" applyFill="1" applyBorder="1" applyAlignment="1">
      <alignment horizontal="center"/>
    </xf>
    <xf numFmtId="2" fontId="19" fillId="0" borderId="24" xfId="0" applyNumberFormat="1" applyFont="1" applyFill="1" applyBorder="1" applyAlignment="1">
      <alignment horizontal="center"/>
    </xf>
    <xf numFmtId="2" fontId="19" fillId="0" borderId="26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2" fontId="19" fillId="0" borderId="19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2" fontId="20" fillId="0" borderId="0" xfId="0" applyNumberFormat="1" applyFont="1" applyFill="1" applyAlignment="1">
      <alignment horizontal="right"/>
    </xf>
    <xf numFmtId="1" fontId="19" fillId="0" borderId="18" xfId="0" applyNumberFormat="1" applyFont="1" applyFill="1" applyBorder="1" applyAlignment="1">
      <alignment horizontal="center"/>
    </xf>
    <xf numFmtId="1" fontId="19" fillId="0" borderId="36" xfId="0" applyNumberFormat="1" applyFont="1" applyFill="1" applyBorder="1" applyAlignment="1">
      <alignment horizontal="center"/>
    </xf>
    <xf numFmtId="167" fontId="19" fillId="6" borderId="41" xfId="0" applyNumberFormat="1" applyFont="1" applyFill="1" applyBorder="1" applyAlignment="1">
      <alignment horizontal="center"/>
    </xf>
    <xf numFmtId="167" fontId="19" fillId="6" borderId="42" xfId="0" applyNumberFormat="1" applyFont="1" applyFill="1" applyBorder="1" applyAlignment="1">
      <alignment horizontal="center"/>
    </xf>
    <xf numFmtId="0" fontId="20" fillId="0" borderId="50" xfId="12" applyBorder="1" applyAlignment="1">
      <alignment horizontal="right"/>
    </xf>
    <xf numFmtId="0" fontId="20" fillId="0" borderId="0" xfId="12" applyBorder="1" applyAlignment="1">
      <alignment horizontal="right"/>
    </xf>
    <xf numFmtId="167" fontId="32" fillId="0" borderId="0" xfId="197" applyNumberFormat="1" applyFont="1" applyFill="1" applyBorder="1" applyAlignment="1">
      <alignment horizontal="center" vertical="center"/>
    </xf>
    <xf numFmtId="0" fontId="31" fillId="35" borderId="35" xfId="211" applyFont="1" applyFill="1" applyBorder="1" applyAlignment="1">
      <alignment horizontal="center" vertical="center"/>
    </xf>
    <xf numFmtId="0" fontId="31" fillId="35" borderId="43" xfId="211" applyFont="1" applyFill="1" applyBorder="1" applyAlignment="1">
      <alignment horizontal="center" vertical="center"/>
    </xf>
    <xf numFmtId="0" fontId="31" fillId="35" borderId="32" xfId="211" applyFont="1" applyFill="1" applyBorder="1" applyAlignment="1">
      <alignment horizontal="center" vertical="center"/>
    </xf>
    <xf numFmtId="0" fontId="32" fillId="35" borderId="35" xfId="211" applyFont="1" applyFill="1" applyBorder="1" applyAlignment="1">
      <alignment horizontal="center" vertical="center"/>
    </xf>
    <xf numFmtId="0" fontId="32" fillId="35" borderId="43" xfId="211" applyFont="1" applyFill="1" applyBorder="1" applyAlignment="1">
      <alignment horizontal="center" vertical="center"/>
    </xf>
    <xf numFmtId="0" fontId="32" fillId="35" borderId="32" xfId="211" applyFont="1" applyFill="1" applyBorder="1" applyAlignment="1">
      <alignment horizontal="center" vertical="center"/>
    </xf>
    <xf numFmtId="167" fontId="32" fillId="0" borderId="75" xfId="197" applyNumberFormat="1" applyFont="1" applyBorder="1" applyAlignment="1">
      <alignment horizontal="center" vertical="center"/>
    </xf>
    <xf numFmtId="167" fontId="32" fillId="0" borderId="8" xfId="197" applyNumberFormat="1" applyFont="1" applyBorder="1" applyAlignment="1">
      <alignment horizontal="center" vertical="center"/>
    </xf>
    <xf numFmtId="0" fontId="32" fillId="0" borderId="0" xfId="211" applyFont="1" applyFill="1" applyBorder="1" applyAlignment="1">
      <alignment horizontal="center" vertical="center"/>
    </xf>
    <xf numFmtId="0" fontId="15" fillId="0" borderId="51" xfId="197" applyFont="1" applyBorder="1" applyAlignment="1">
      <alignment horizontal="left" wrapText="1"/>
    </xf>
    <xf numFmtId="0" fontId="73" fillId="36" borderId="35" xfId="211" applyFont="1" applyFill="1" applyBorder="1" applyAlignment="1">
      <alignment horizontal="center" vertical="center" wrapText="1"/>
    </xf>
    <xf numFmtId="0" fontId="73" fillId="36" borderId="43" xfId="211" applyFont="1" applyFill="1" applyBorder="1" applyAlignment="1">
      <alignment horizontal="center" vertical="center"/>
    </xf>
    <xf numFmtId="0" fontId="73" fillId="36" borderId="32" xfId="211" applyFont="1" applyFill="1" applyBorder="1" applyAlignment="1">
      <alignment horizontal="center" vertical="center"/>
    </xf>
    <xf numFmtId="0" fontId="73" fillId="37" borderId="35" xfId="211" applyFont="1" applyFill="1" applyBorder="1" applyAlignment="1">
      <alignment horizontal="center" vertical="center" wrapText="1"/>
    </xf>
    <xf numFmtId="0" fontId="73" fillId="37" borderId="43" xfId="211" applyFont="1" applyFill="1" applyBorder="1" applyAlignment="1">
      <alignment horizontal="center" vertical="center"/>
    </xf>
    <xf numFmtId="0" fontId="73" fillId="37" borderId="32" xfId="211" applyFont="1" applyFill="1" applyBorder="1" applyAlignment="1">
      <alignment horizontal="center" vertical="center"/>
    </xf>
    <xf numFmtId="0" fontId="14" fillId="0" borderId="83" xfId="197" applyFont="1" applyBorder="1" applyAlignment="1">
      <alignment vertical="center"/>
    </xf>
    <xf numFmtId="0" fontId="14" fillId="0" borderId="27" xfId="197" applyFont="1" applyBorder="1" applyAlignment="1">
      <alignment vertical="center"/>
    </xf>
    <xf numFmtId="0" fontId="14" fillId="0" borderId="84" xfId="197" applyFont="1" applyBorder="1" applyAlignment="1">
      <alignment vertical="center"/>
    </xf>
    <xf numFmtId="167" fontId="75" fillId="0" borderId="33" xfId="197" applyNumberFormat="1" applyFont="1" applyBorder="1" applyAlignment="1">
      <alignment horizontal="left" vertical="center" wrapText="1"/>
    </xf>
    <xf numFmtId="167" fontId="75" fillId="0" borderId="17" xfId="197" applyNumberFormat="1" applyFont="1" applyBorder="1" applyAlignment="1">
      <alignment horizontal="left" vertical="center" wrapText="1"/>
    </xf>
    <xf numFmtId="167" fontId="75" fillId="0" borderId="12" xfId="197" applyNumberFormat="1" applyFont="1" applyBorder="1" applyAlignment="1">
      <alignment horizontal="left" vertical="center" wrapText="1"/>
    </xf>
    <xf numFmtId="0" fontId="14" fillId="0" borderId="83" xfId="197" applyFont="1" applyBorder="1"/>
    <xf numFmtId="0" fontId="14" fillId="0" borderId="27" xfId="197" applyFont="1" applyBorder="1"/>
    <xf numFmtId="0" fontId="14" fillId="0" borderId="84" xfId="197" applyFont="1" applyBorder="1"/>
  </cellXfs>
  <cellStyles count="309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Bad 3" xfId="39" xr:uid="{00000000-0005-0000-0000-000019000000}"/>
    <cellStyle name="Body: normal cell" xfId="40" xr:uid="{00000000-0005-0000-0000-00001A000000}"/>
    <cellStyle name="Calculation 2" xfId="41" xr:uid="{00000000-0005-0000-0000-00001B000000}"/>
    <cellStyle name="Calculation 2 2" xfId="42" xr:uid="{00000000-0005-0000-0000-00001C000000}"/>
    <cellStyle name="Calculation 2 3" xfId="43" xr:uid="{00000000-0005-0000-0000-00001D000000}"/>
    <cellStyle name="Check Cell 2" xfId="44" xr:uid="{00000000-0005-0000-0000-00001E000000}"/>
    <cellStyle name="Comma" xfId="1" builtinId="3"/>
    <cellStyle name="Comma [0] 2" xfId="45" xr:uid="{00000000-0005-0000-0000-000020000000}"/>
    <cellStyle name="Comma 10" xfId="46" xr:uid="{00000000-0005-0000-0000-000021000000}"/>
    <cellStyle name="Comma 11" xfId="47" xr:uid="{00000000-0005-0000-0000-000022000000}"/>
    <cellStyle name="Comma 2" xfId="48" xr:uid="{00000000-0005-0000-0000-000023000000}"/>
    <cellStyle name="Comma 2 2" xfId="49" xr:uid="{00000000-0005-0000-0000-000024000000}"/>
    <cellStyle name="Comma 2 2 2" xfId="50" xr:uid="{00000000-0005-0000-0000-000025000000}"/>
    <cellStyle name="Comma 2 3" xfId="51" xr:uid="{00000000-0005-0000-0000-000026000000}"/>
    <cellStyle name="Comma 3" xfId="52" xr:uid="{00000000-0005-0000-0000-000027000000}"/>
    <cellStyle name="Comma 3 2" xfId="53" xr:uid="{00000000-0005-0000-0000-000028000000}"/>
    <cellStyle name="Comma 3 3" xfId="54" xr:uid="{00000000-0005-0000-0000-000029000000}"/>
    <cellStyle name="Comma 3 4" xfId="55" xr:uid="{00000000-0005-0000-0000-00002A000000}"/>
    <cellStyle name="Comma 4" xfId="56" xr:uid="{00000000-0005-0000-0000-00002B000000}"/>
    <cellStyle name="Comma 4 2" xfId="57" xr:uid="{00000000-0005-0000-0000-00002C000000}"/>
    <cellStyle name="Comma 5" xfId="58" xr:uid="{00000000-0005-0000-0000-00002D000000}"/>
    <cellStyle name="Comma 5 2" xfId="59" xr:uid="{00000000-0005-0000-0000-00002E000000}"/>
    <cellStyle name="Comma 5 3" xfId="60" xr:uid="{00000000-0005-0000-0000-00002F000000}"/>
    <cellStyle name="Comma 6" xfId="61" xr:uid="{00000000-0005-0000-0000-000030000000}"/>
    <cellStyle name="Comma 6 2" xfId="62" xr:uid="{00000000-0005-0000-0000-000031000000}"/>
    <cellStyle name="Comma 7" xfId="63" xr:uid="{00000000-0005-0000-0000-000032000000}"/>
    <cellStyle name="Comma 7 2" xfId="64" xr:uid="{00000000-0005-0000-0000-000033000000}"/>
    <cellStyle name="Comma 8" xfId="65" xr:uid="{00000000-0005-0000-0000-000034000000}"/>
    <cellStyle name="Comma 9" xfId="66" xr:uid="{00000000-0005-0000-0000-000035000000}"/>
    <cellStyle name="Currency" xfId="2" builtinId="4"/>
    <cellStyle name="Currency [0] 2" xfId="67" xr:uid="{00000000-0005-0000-0000-000037000000}"/>
    <cellStyle name="Currency 10" xfId="68" xr:uid="{00000000-0005-0000-0000-000038000000}"/>
    <cellStyle name="Currency 11" xfId="69" xr:uid="{00000000-0005-0000-0000-000039000000}"/>
    <cellStyle name="Currency 12" xfId="70" xr:uid="{00000000-0005-0000-0000-00003A000000}"/>
    <cellStyle name="Currency 13" xfId="71" xr:uid="{00000000-0005-0000-0000-00003B000000}"/>
    <cellStyle name="Currency 14" xfId="72" xr:uid="{00000000-0005-0000-0000-00003C000000}"/>
    <cellStyle name="Currency 15" xfId="73" xr:uid="{00000000-0005-0000-0000-00003D000000}"/>
    <cellStyle name="Currency 16" xfId="74" xr:uid="{00000000-0005-0000-0000-00003E000000}"/>
    <cellStyle name="Currency 17" xfId="75" xr:uid="{00000000-0005-0000-0000-00003F000000}"/>
    <cellStyle name="Currency 18" xfId="76" xr:uid="{00000000-0005-0000-0000-000040000000}"/>
    <cellStyle name="Currency 19" xfId="77" xr:uid="{00000000-0005-0000-0000-000041000000}"/>
    <cellStyle name="Currency 2" xfId="78" xr:uid="{00000000-0005-0000-0000-000042000000}"/>
    <cellStyle name="Currency 2 2" xfId="79" xr:uid="{00000000-0005-0000-0000-000043000000}"/>
    <cellStyle name="Currency 2 2 2" xfId="80" xr:uid="{00000000-0005-0000-0000-000044000000}"/>
    <cellStyle name="Currency 2 2 2 2" xfId="81" xr:uid="{00000000-0005-0000-0000-000045000000}"/>
    <cellStyle name="Currency 2 2 2 3" xfId="82" xr:uid="{00000000-0005-0000-0000-000046000000}"/>
    <cellStyle name="Currency 2 3" xfId="83" xr:uid="{00000000-0005-0000-0000-000047000000}"/>
    <cellStyle name="Currency 2 4" xfId="84" xr:uid="{00000000-0005-0000-0000-000048000000}"/>
    <cellStyle name="Currency 2 4 2" xfId="85" xr:uid="{00000000-0005-0000-0000-000049000000}"/>
    <cellStyle name="Currency 2 5" xfId="86" xr:uid="{00000000-0005-0000-0000-00004A000000}"/>
    <cellStyle name="Currency 20" xfId="87" xr:uid="{00000000-0005-0000-0000-00004B000000}"/>
    <cellStyle name="Currency 21" xfId="88" xr:uid="{00000000-0005-0000-0000-00004C000000}"/>
    <cellStyle name="Currency 22" xfId="89" xr:uid="{00000000-0005-0000-0000-00004D000000}"/>
    <cellStyle name="Currency 23" xfId="90" xr:uid="{00000000-0005-0000-0000-00004E000000}"/>
    <cellStyle name="Currency 24" xfId="91" xr:uid="{00000000-0005-0000-0000-00004F000000}"/>
    <cellStyle name="Currency 25" xfId="92" xr:uid="{00000000-0005-0000-0000-000050000000}"/>
    <cellStyle name="Currency 26" xfId="93" xr:uid="{00000000-0005-0000-0000-000051000000}"/>
    <cellStyle name="Currency 27" xfId="94" xr:uid="{00000000-0005-0000-0000-000052000000}"/>
    <cellStyle name="Currency 28" xfId="95" xr:uid="{00000000-0005-0000-0000-000053000000}"/>
    <cellStyle name="Currency 29" xfId="96" xr:uid="{00000000-0005-0000-0000-000054000000}"/>
    <cellStyle name="Currency 3" xfId="97" xr:uid="{00000000-0005-0000-0000-000055000000}"/>
    <cellStyle name="Currency 3 2" xfId="98" xr:uid="{00000000-0005-0000-0000-000056000000}"/>
    <cellStyle name="Currency 3 3" xfId="99" xr:uid="{00000000-0005-0000-0000-000057000000}"/>
    <cellStyle name="Currency 3 4" xfId="100" xr:uid="{00000000-0005-0000-0000-000058000000}"/>
    <cellStyle name="Currency 3 5" xfId="101" xr:uid="{00000000-0005-0000-0000-000059000000}"/>
    <cellStyle name="Currency 30" xfId="102" xr:uid="{00000000-0005-0000-0000-00005A000000}"/>
    <cellStyle name="Currency 31" xfId="103" xr:uid="{00000000-0005-0000-0000-00005B000000}"/>
    <cellStyle name="Currency 32" xfId="104" xr:uid="{00000000-0005-0000-0000-00005C000000}"/>
    <cellStyle name="Currency 33" xfId="105" xr:uid="{00000000-0005-0000-0000-00005D000000}"/>
    <cellStyle name="Currency 34" xfId="106" xr:uid="{00000000-0005-0000-0000-00005E000000}"/>
    <cellStyle name="Currency 35" xfId="107" xr:uid="{00000000-0005-0000-0000-00005F000000}"/>
    <cellStyle name="Currency 36" xfId="108" xr:uid="{00000000-0005-0000-0000-000060000000}"/>
    <cellStyle name="Currency 37" xfId="109" xr:uid="{00000000-0005-0000-0000-000061000000}"/>
    <cellStyle name="Currency 38" xfId="110" xr:uid="{00000000-0005-0000-0000-000062000000}"/>
    <cellStyle name="Currency 39" xfId="111" xr:uid="{00000000-0005-0000-0000-000063000000}"/>
    <cellStyle name="Currency 4" xfId="112" xr:uid="{00000000-0005-0000-0000-000064000000}"/>
    <cellStyle name="Currency 4 2" xfId="113" xr:uid="{00000000-0005-0000-0000-000065000000}"/>
    <cellStyle name="Currency 4 2 2" xfId="114" xr:uid="{00000000-0005-0000-0000-000066000000}"/>
    <cellStyle name="Currency 4 2 2 2" xfId="115" xr:uid="{00000000-0005-0000-0000-000067000000}"/>
    <cellStyle name="Currency 4 2 2 3" xfId="116" xr:uid="{00000000-0005-0000-0000-000068000000}"/>
    <cellStyle name="Currency 4 2 3" xfId="117" xr:uid="{00000000-0005-0000-0000-000069000000}"/>
    <cellStyle name="Currency 4 3" xfId="118" xr:uid="{00000000-0005-0000-0000-00006A000000}"/>
    <cellStyle name="Currency 4 3 2" xfId="119" xr:uid="{00000000-0005-0000-0000-00006B000000}"/>
    <cellStyle name="Currency 4 3 3" xfId="120" xr:uid="{00000000-0005-0000-0000-00006C000000}"/>
    <cellStyle name="Currency 4 4" xfId="121" xr:uid="{00000000-0005-0000-0000-00006D000000}"/>
    <cellStyle name="Currency 4 5" xfId="122" xr:uid="{00000000-0005-0000-0000-00006E000000}"/>
    <cellStyle name="Currency 40" xfId="123" xr:uid="{00000000-0005-0000-0000-00006F000000}"/>
    <cellStyle name="Currency 41" xfId="124" xr:uid="{00000000-0005-0000-0000-000070000000}"/>
    <cellStyle name="Currency 42" xfId="125" xr:uid="{00000000-0005-0000-0000-000071000000}"/>
    <cellStyle name="Currency 43" xfId="126" xr:uid="{00000000-0005-0000-0000-000072000000}"/>
    <cellStyle name="Currency 44" xfId="127" xr:uid="{00000000-0005-0000-0000-000073000000}"/>
    <cellStyle name="Currency 45" xfId="128" xr:uid="{00000000-0005-0000-0000-000074000000}"/>
    <cellStyle name="Currency 46" xfId="129" xr:uid="{00000000-0005-0000-0000-000075000000}"/>
    <cellStyle name="Currency 47" xfId="130" xr:uid="{00000000-0005-0000-0000-000076000000}"/>
    <cellStyle name="Currency 5" xfId="131" xr:uid="{00000000-0005-0000-0000-000077000000}"/>
    <cellStyle name="Currency 5 2" xfId="132" xr:uid="{00000000-0005-0000-0000-000078000000}"/>
    <cellStyle name="Currency 5 2 2" xfId="133" xr:uid="{00000000-0005-0000-0000-000079000000}"/>
    <cellStyle name="Currency 5 3" xfId="134" xr:uid="{00000000-0005-0000-0000-00007A000000}"/>
    <cellStyle name="Currency 5 3 2" xfId="135" xr:uid="{00000000-0005-0000-0000-00007B000000}"/>
    <cellStyle name="Currency 5 3 3" xfId="136" xr:uid="{00000000-0005-0000-0000-00007C000000}"/>
    <cellStyle name="Currency 5 4" xfId="137" xr:uid="{00000000-0005-0000-0000-00007D000000}"/>
    <cellStyle name="Currency 5 5" xfId="138" xr:uid="{00000000-0005-0000-0000-00007E000000}"/>
    <cellStyle name="Currency 5 6" xfId="139" xr:uid="{00000000-0005-0000-0000-00007F000000}"/>
    <cellStyle name="Currency 6" xfId="140" xr:uid="{00000000-0005-0000-0000-000080000000}"/>
    <cellStyle name="Currency 6 2" xfId="141" xr:uid="{00000000-0005-0000-0000-000081000000}"/>
    <cellStyle name="Currency 6 3" xfId="142" xr:uid="{00000000-0005-0000-0000-000082000000}"/>
    <cellStyle name="Currency 7" xfId="143" xr:uid="{00000000-0005-0000-0000-000083000000}"/>
    <cellStyle name="Currency 7 2" xfId="144" xr:uid="{00000000-0005-0000-0000-000084000000}"/>
    <cellStyle name="Currency 7 3" xfId="145" xr:uid="{00000000-0005-0000-0000-000085000000}"/>
    <cellStyle name="Currency 8" xfId="146" xr:uid="{00000000-0005-0000-0000-000086000000}"/>
    <cellStyle name="Currency 8 2" xfId="147" xr:uid="{00000000-0005-0000-0000-000087000000}"/>
    <cellStyle name="Currency 9" xfId="148" xr:uid="{00000000-0005-0000-0000-000088000000}"/>
    <cellStyle name="Explanatory Text 2" xfId="149" xr:uid="{00000000-0005-0000-0000-000089000000}"/>
    <cellStyle name="Explanatory Text 2 2" xfId="150" xr:uid="{00000000-0005-0000-0000-00008A000000}"/>
    <cellStyle name="Explanatory Text 2 3" xfId="151" xr:uid="{00000000-0005-0000-0000-00008B000000}"/>
    <cellStyle name="Font: Calibri, 9pt regular" xfId="152" xr:uid="{00000000-0005-0000-0000-00008C000000}"/>
    <cellStyle name="Footnotes: top row" xfId="153" xr:uid="{00000000-0005-0000-0000-00008D000000}"/>
    <cellStyle name="Good 2" xfId="154" xr:uid="{00000000-0005-0000-0000-00008E000000}"/>
    <cellStyle name="Header: bottom row" xfId="155" xr:uid="{00000000-0005-0000-0000-00008F000000}"/>
    <cellStyle name="Heading 1 2" xfId="156" xr:uid="{00000000-0005-0000-0000-000090000000}"/>
    <cellStyle name="Heading 1 2 2" xfId="157" xr:uid="{00000000-0005-0000-0000-000091000000}"/>
    <cellStyle name="Heading 1 2 3" xfId="158" xr:uid="{00000000-0005-0000-0000-000092000000}"/>
    <cellStyle name="Heading 2 2" xfId="159" xr:uid="{00000000-0005-0000-0000-000093000000}"/>
    <cellStyle name="Heading 2 2 2" xfId="160" xr:uid="{00000000-0005-0000-0000-000094000000}"/>
    <cellStyle name="Heading 2 2 3" xfId="161" xr:uid="{00000000-0005-0000-0000-000095000000}"/>
    <cellStyle name="Heading 3 2" xfId="162" xr:uid="{00000000-0005-0000-0000-000096000000}"/>
    <cellStyle name="Heading 3 2 2" xfId="163" xr:uid="{00000000-0005-0000-0000-000097000000}"/>
    <cellStyle name="Heading 3 2 3" xfId="164" xr:uid="{00000000-0005-0000-0000-000098000000}"/>
    <cellStyle name="Heading 4 2" xfId="165" xr:uid="{00000000-0005-0000-0000-000099000000}"/>
    <cellStyle name="Heading 4 2 2" xfId="166" xr:uid="{00000000-0005-0000-0000-00009A000000}"/>
    <cellStyle name="Heading 4 2 3" xfId="167" xr:uid="{00000000-0005-0000-0000-00009B000000}"/>
    <cellStyle name="Hyperlink 2" xfId="168" xr:uid="{00000000-0005-0000-0000-00009C000000}"/>
    <cellStyle name="Input 2" xfId="169" xr:uid="{00000000-0005-0000-0000-00009D000000}"/>
    <cellStyle name="Input 2 2" xfId="170" xr:uid="{00000000-0005-0000-0000-00009E000000}"/>
    <cellStyle name="Input 2 3" xfId="171" xr:uid="{00000000-0005-0000-0000-00009F000000}"/>
    <cellStyle name="Linked Cell 2" xfId="172" xr:uid="{00000000-0005-0000-0000-0000A0000000}"/>
    <cellStyle name="Linked Cell 2 2" xfId="173" xr:uid="{00000000-0005-0000-0000-0000A1000000}"/>
    <cellStyle name="Linked Cell 2 3" xfId="174" xr:uid="{00000000-0005-0000-0000-0000A2000000}"/>
    <cellStyle name="Neutral 2" xfId="175" xr:uid="{00000000-0005-0000-0000-0000A3000000}"/>
    <cellStyle name="Normal" xfId="0" builtinId="0"/>
    <cellStyle name="Normal 10" xfId="176" xr:uid="{00000000-0005-0000-0000-0000A5000000}"/>
    <cellStyle name="Normal 10 2" xfId="177" xr:uid="{00000000-0005-0000-0000-0000A6000000}"/>
    <cellStyle name="Normal 10 3" xfId="178" xr:uid="{00000000-0005-0000-0000-0000A7000000}"/>
    <cellStyle name="Normal 10 3 2" xfId="179" xr:uid="{00000000-0005-0000-0000-0000A8000000}"/>
    <cellStyle name="Normal 11" xfId="180" xr:uid="{00000000-0005-0000-0000-0000A9000000}"/>
    <cellStyle name="Normal 11 2" xfId="181" xr:uid="{00000000-0005-0000-0000-0000AA000000}"/>
    <cellStyle name="Normal 11 2 2" xfId="182" xr:uid="{00000000-0005-0000-0000-0000AB000000}"/>
    <cellStyle name="Normal 12" xfId="183" xr:uid="{00000000-0005-0000-0000-0000AC000000}"/>
    <cellStyle name="Normal 12 2" xfId="307" xr:uid="{00000000-0005-0000-0000-0000AD000000}"/>
    <cellStyle name="Normal 13" xfId="184" xr:uid="{00000000-0005-0000-0000-0000AE000000}"/>
    <cellStyle name="Normal 13 2" xfId="185" xr:uid="{00000000-0005-0000-0000-0000AF000000}"/>
    <cellStyle name="Normal 14" xfId="186" xr:uid="{00000000-0005-0000-0000-0000B0000000}"/>
    <cellStyle name="Normal 14 2" xfId="187" xr:uid="{00000000-0005-0000-0000-0000B1000000}"/>
    <cellStyle name="Normal 15" xfId="188" xr:uid="{00000000-0005-0000-0000-0000B2000000}"/>
    <cellStyle name="Normal 16" xfId="189" xr:uid="{00000000-0005-0000-0000-0000B3000000}"/>
    <cellStyle name="Normal 17" xfId="190" xr:uid="{00000000-0005-0000-0000-0000B4000000}"/>
    <cellStyle name="Normal 17 2" xfId="191" xr:uid="{00000000-0005-0000-0000-0000B5000000}"/>
    <cellStyle name="Normal 18" xfId="192" xr:uid="{00000000-0005-0000-0000-0000B6000000}"/>
    <cellStyle name="Normal 19" xfId="193" xr:uid="{00000000-0005-0000-0000-0000B7000000}"/>
    <cellStyle name="Normal 2" xfId="194" xr:uid="{00000000-0005-0000-0000-0000B8000000}"/>
    <cellStyle name="Normal 2 2" xfId="195" xr:uid="{00000000-0005-0000-0000-0000B9000000}"/>
    <cellStyle name="Normal 2 2 2" xfId="196" xr:uid="{00000000-0005-0000-0000-0000BA000000}"/>
    <cellStyle name="Normal 2 2 3" xfId="197" xr:uid="{00000000-0005-0000-0000-0000BB000000}"/>
    <cellStyle name="Normal 2 3" xfId="198" xr:uid="{00000000-0005-0000-0000-0000BC000000}"/>
    <cellStyle name="Normal 2 3 2" xfId="199" xr:uid="{00000000-0005-0000-0000-0000BD000000}"/>
    <cellStyle name="Normal 2 4" xfId="200" xr:uid="{00000000-0005-0000-0000-0000BE000000}"/>
    <cellStyle name="Normal 2 4 2" xfId="201" xr:uid="{00000000-0005-0000-0000-0000BF000000}"/>
    <cellStyle name="Normal 2 4 3" xfId="202" xr:uid="{00000000-0005-0000-0000-0000C0000000}"/>
    <cellStyle name="Normal 2 5" xfId="203" xr:uid="{00000000-0005-0000-0000-0000C1000000}"/>
    <cellStyle name="Normal 2 5 2" xfId="204" xr:uid="{00000000-0005-0000-0000-0000C2000000}"/>
    <cellStyle name="Normal 20" xfId="205" xr:uid="{00000000-0005-0000-0000-0000C3000000}"/>
    <cellStyle name="Normal 21" xfId="206" xr:uid="{00000000-0005-0000-0000-0000C4000000}"/>
    <cellStyle name="Normal 22" xfId="207" xr:uid="{00000000-0005-0000-0000-0000C5000000}"/>
    <cellStyle name="Normal 23" xfId="208" xr:uid="{00000000-0005-0000-0000-0000C6000000}"/>
    <cellStyle name="Normal 23 2" xfId="209" xr:uid="{00000000-0005-0000-0000-0000C7000000}"/>
    <cellStyle name="Normal 3" xfId="210" xr:uid="{00000000-0005-0000-0000-0000C8000000}"/>
    <cellStyle name="Normal 3 2" xfId="211" xr:uid="{00000000-0005-0000-0000-0000C9000000}"/>
    <cellStyle name="Normal 3 2 2" xfId="212" xr:uid="{00000000-0005-0000-0000-0000CA000000}"/>
    <cellStyle name="Normal 3 2 3" xfId="213" xr:uid="{00000000-0005-0000-0000-0000CB000000}"/>
    <cellStyle name="Normal 3 2 4" xfId="214" xr:uid="{00000000-0005-0000-0000-0000CC000000}"/>
    <cellStyle name="Normal 3 3" xfId="215" xr:uid="{00000000-0005-0000-0000-0000CD000000}"/>
    <cellStyle name="Normal 3 3 2" xfId="216" xr:uid="{00000000-0005-0000-0000-0000CE000000}"/>
    <cellStyle name="Normal 3 4" xfId="217" xr:uid="{00000000-0005-0000-0000-0000CF000000}"/>
    <cellStyle name="Normal 3 4 2" xfId="218" xr:uid="{00000000-0005-0000-0000-0000D0000000}"/>
    <cellStyle name="Normal 3 5" xfId="219" xr:uid="{00000000-0005-0000-0000-0000D1000000}"/>
    <cellStyle name="Normal 3 9" xfId="220" xr:uid="{00000000-0005-0000-0000-0000D2000000}"/>
    <cellStyle name="Normal 4" xfId="12" xr:uid="{00000000-0005-0000-0000-0000D3000000}"/>
    <cellStyle name="Normal 4 2" xfId="221" xr:uid="{00000000-0005-0000-0000-0000D4000000}"/>
    <cellStyle name="Normal 4 2 2" xfId="222" xr:uid="{00000000-0005-0000-0000-0000D5000000}"/>
    <cellStyle name="Normal 4 2 2 2" xfId="223" xr:uid="{00000000-0005-0000-0000-0000D6000000}"/>
    <cellStyle name="Normal 4 2 2 3" xfId="224" xr:uid="{00000000-0005-0000-0000-0000D7000000}"/>
    <cellStyle name="Normal 4 2 3" xfId="225" xr:uid="{00000000-0005-0000-0000-0000D8000000}"/>
    <cellStyle name="Normal 4 2 3 2" xfId="226" xr:uid="{00000000-0005-0000-0000-0000D9000000}"/>
    <cellStyle name="Normal 4 3" xfId="227" xr:uid="{00000000-0005-0000-0000-0000DA000000}"/>
    <cellStyle name="Normal 4 3 2" xfId="228" xr:uid="{00000000-0005-0000-0000-0000DB000000}"/>
    <cellStyle name="Normal 4 3 3" xfId="229" xr:uid="{00000000-0005-0000-0000-0000DC000000}"/>
    <cellStyle name="Normal 4 4" xfId="230" xr:uid="{00000000-0005-0000-0000-0000DD000000}"/>
    <cellStyle name="Normal 5" xfId="6" xr:uid="{00000000-0005-0000-0000-0000DE000000}"/>
    <cellStyle name="Normal 5 2" xfId="231" xr:uid="{00000000-0005-0000-0000-0000DF000000}"/>
    <cellStyle name="Normal 5 3" xfId="4" xr:uid="{00000000-0005-0000-0000-0000E0000000}"/>
    <cellStyle name="Normal 6" xfId="232" xr:uid="{00000000-0005-0000-0000-0000E1000000}"/>
    <cellStyle name="Normal 6 2" xfId="11" xr:uid="{00000000-0005-0000-0000-0000E2000000}"/>
    <cellStyle name="Normal 6 2 2" xfId="233" xr:uid="{00000000-0005-0000-0000-0000E3000000}"/>
    <cellStyle name="Normal 6 2 2 2" xfId="234" xr:uid="{00000000-0005-0000-0000-0000E4000000}"/>
    <cellStyle name="Normal 6 2 3" xfId="235" xr:uid="{00000000-0005-0000-0000-0000E5000000}"/>
    <cellStyle name="Normal 6 2 4" xfId="236" xr:uid="{00000000-0005-0000-0000-0000E6000000}"/>
    <cellStyle name="Normal 6 3" xfId="237" xr:uid="{00000000-0005-0000-0000-0000E7000000}"/>
    <cellStyle name="Normal 6 4" xfId="238" xr:uid="{00000000-0005-0000-0000-0000E8000000}"/>
    <cellStyle name="Normal 7" xfId="10" xr:uid="{00000000-0005-0000-0000-0000E9000000}"/>
    <cellStyle name="Normal 7 2" xfId="239" xr:uid="{00000000-0005-0000-0000-0000EA000000}"/>
    <cellStyle name="Normal 7 3" xfId="240" xr:uid="{00000000-0005-0000-0000-0000EB000000}"/>
    <cellStyle name="Normal 8" xfId="241" xr:uid="{00000000-0005-0000-0000-0000EC000000}"/>
    <cellStyle name="Normal 8 2" xfId="242" xr:uid="{00000000-0005-0000-0000-0000ED000000}"/>
    <cellStyle name="Normal 8 3" xfId="243" xr:uid="{00000000-0005-0000-0000-0000EE000000}"/>
    <cellStyle name="Normal 8 4" xfId="244" xr:uid="{00000000-0005-0000-0000-0000EF000000}"/>
    <cellStyle name="Normal 8 5" xfId="245" xr:uid="{00000000-0005-0000-0000-0000F0000000}"/>
    <cellStyle name="Normal 9" xfId="246" xr:uid="{00000000-0005-0000-0000-0000F1000000}"/>
    <cellStyle name="Normal 9 2" xfId="247" xr:uid="{00000000-0005-0000-0000-0000F2000000}"/>
    <cellStyle name="Normal 9 2 2" xfId="248" xr:uid="{00000000-0005-0000-0000-0000F3000000}"/>
    <cellStyle name="Normal 9 2 3" xfId="249" xr:uid="{00000000-0005-0000-0000-0000F4000000}"/>
    <cellStyle name="Normal 9 3" xfId="250" xr:uid="{00000000-0005-0000-0000-0000F5000000}"/>
    <cellStyle name="Normal_DYS YITS Rate Dev 4 21 10" xfId="9" xr:uid="{00000000-0005-0000-0000-0000F6000000}"/>
    <cellStyle name="Normal_Sheet1_1" xfId="8" xr:uid="{00000000-0005-0000-0000-0000F7000000}"/>
    <cellStyle name="Note 2" xfId="251" xr:uid="{00000000-0005-0000-0000-0000F8000000}"/>
    <cellStyle name="Note 2 2" xfId="252" xr:uid="{00000000-0005-0000-0000-0000F9000000}"/>
    <cellStyle name="Note 2 3" xfId="253" xr:uid="{00000000-0005-0000-0000-0000FA000000}"/>
    <cellStyle name="Output 2" xfId="254" xr:uid="{00000000-0005-0000-0000-0000FB000000}"/>
    <cellStyle name="Output 2 2" xfId="255" xr:uid="{00000000-0005-0000-0000-0000FC000000}"/>
    <cellStyle name="Output 2 3" xfId="256" xr:uid="{00000000-0005-0000-0000-0000FD000000}"/>
    <cellStyle name="Parent row" xfId="257" xr:uid="{00000000-0005-0000-0000-0000FE000000}"/>
    <cellStyle name="Percent" xfId="3" builtinId="5"/>
    <cellStyle name="Percent 10" xfId="258" xr:uid="{00000000-0005-0000-0000-000000010000}"/>
    <cellStyle name="Percent 10 2" xfId="259" xr:uid="{00000000-0005-0000-0000-000001010000}"/>
    <cellStyle name="Percent 11" xfId="260" xr:uid="{00000000-0005-0000-0000-000002010000}"/>
    <cellStyle name="Percent 12" xfId="7" xr:uid="{00000000-0005-0000-0000-000003010000}"/>
    <cellStyle name="Percent 2" xfId="13" xr:uid="{00000000-0005-0000-0000-000004010000}"/>
    <cellStyle name="Percent 2 2" xfId="261" xr:uid="{00000000-0005-0000-0000-000005010000}"/>
    <cellStyle name="Percent 2 2 2" xfId="262" xr:uid="{00000000-0005-0000-0000-000006010000}"/>
    <cellStyle name="Percent 2 2 3" xfId="263" xr:uid="{00000000-0005-0000-0000-000007010000}"/>
    <cellStyle name="Percent 2 3" xfId="264" xr:uid="{00000000-0005-0000-0000-000008010000}"/>
    <cellStyle name="Percent 2 4" xfId="265" xr:uid="{00000000-0005-0000-0000-000009010000}"/>
    <cellStyle name="Percent 2 5" xfId="266" xr:uid="{00000000-0005-0000-0000-00000A010000}"/>
    <cellStyle name="Percent 2 6" xfId="5" xr:uid="{00000000-0005-0000-0000-00000B010000}"/>
    <cellStyle name="Percent 3" xfId="267" xr:uid="{00000000-0005-0000-0000-00000C010000}"/>
    <cellStyle name="Percent 3 2" xfId="268" xr:uid="{00000000-0005-0000-0000-00000D010000}"/>
    <cellStyle name="Percent 3 2 2" xfId="269" xr:uid="{00000000-0005-0000-0000-00000E010000}"/>
    <cellStyle name="Percent 3 2 3" xfId="270" xr:uid="{00000000-0005-0000-0000-00000F010000}"/>
    <cellStyle name="Percent 3 3" xfId="271" xr:uid="{00000000-0005-0000-0000-000010010000}"/>
    <cellStyle name="Percent 4" xfId="272" xr:uid="{00000000-0005-0000-0000-000011010000}"/>
    <cellStyle name="Percent 4 2" xfId="273" xr:uid="{00000000-0005-0000-0000-000012010000}"/>
    <cellStyle name="Percent 4 2 2" xfId="274" xr:uid="{00000000-0005-0000-0000-000013010000}"/>
    <cellStyle name="Percent 4 2 3" xfId="275" xr:uid="{00000000-0005-0000-0000-000014010000}"/>
    <cellStyle name="Percent 4 3" xfId="276" xr:uid="{00000000-0005-0000-0000-000015010000}"/>
    <cellStyle name="Percent 4 3 2" xfId="277" xr:uid="{00000000-0005-0000-0000-000016010000}"/>
    <cellStyle name="Percent 5" xfId="278" xr:uid="{00000000-0005-0000-0000-000017010000}"/>
    <cellStyle name="Percent 5 2" xfId="279" xr:uid="{00000000-0005-0000-0000-000018010000}"/>
    <cellStyle name="Percent 5 2 2" xfId="280" xr:uid="{00000000-0005-0000-0000-000019010000}"/>
    <cellStyle name="Percent 5 3" xfId="281" xr:uid="{00000000-0005-0000-0000-00001A010000}"/>
    <cellStyle name="Percent 5 4" xfId="282" xr:uid="{00000000-0005-0000-0000-00001B010000}"/>
    <cellStyle name="Percent 5 5" xfId="283" xr:uid="{00000000-0005-0000-0000-00001C010000}"/>
    <cellStyle name="Percent 6" xfId="284" xr:uid="{00000000-0005-0000-0000-00001D010000}"/>
    <cellStyle name="Percent 6 2" xfId="285" xr:uid="{00000000-0005-0000-0000-00001E010000}"/>
    <cellStyle name="Percent 6 3" xfId="286" xr:uid="{00000000-0005-0000-0000-00001F010000}"/>
    <cellStyle name="Percent 6 4" xfId="287" xr:uid="{00000000-0005-0000-0000-000020010000}"/>
    <cellStyle name="Percent 6 5" xfId="308" xr:uid="{00000000-0005-0000-0000-000021010000}"/>
    <cellStyle name="Percent 7" xfId="288" xr:uid="{00000000-0005-0000-0000-000022010000}"/>
    <cellStyle name="Percent 7 2" xfId="289" xr:uid="{00000000-0005-0000-0000-000023010000}"/>
    <cellStyle name="Percent 7 3" xfId="290" xr:uid="{00000000-0005-0000-0000-000024010000}"/>
    <cellStyle name="Percent 7 4" xfId="291" xr:uid="{00000000-0005-0000-0000-000025010000}"/>
    <cellStyle name="Percent 8" xfId="292" xr:uid="{00000000-0005-0000-0000-000026010000}"/>
    <cellStyle name="Percent 8 2" xfId="293" xr:uid="{00000000-0005-0000-0000-000027010000}"/>
    <cellStyle name="Percent 8 3" xfId="294" xr:uid="{00000000-0005-0000-0000-000028010000}"/>
    <cellStyle name="Percent 9" xfId="295" xr:uid="{00000000-0005-0000-0000-000029010000}"/>
    <cellStyle name="Percent 9 2" xfId="296" xr:uid="{00000000-0005-0000-0000-00002A010000}"/>
    <cellStyle name="Table title" xfId="297" xr:uid="{00000000-0005-0000-0000-00002B010000}"/>
    <cellStyle name="Title 2" xfId="298" xr:uid="{00000000-0005-0000-0000-00002C010000}"/>
    <cellStyle name="Title 2 2" xfId="299" xr:uid="{00000000-0005-0000-0000-00002D010000}"/>
    <cellStyle name="Title 2 3" xfId="300" xr:uid="{00000000-0005-0000-0000-00002E010000}"/>
    <cellStyle name="Total 2" xfId="301" xr:uid="{00000000-0005-0000-0000-00002F010000}"/>
    <cellStyle name="Total 2 2" xfId="302" xr:uid="{00000000-0005-0000-0000-000030010000}"/>
    <cellStyle name="Total 2 3" xfId="303" xr:uid="{00000000-0005-0000-0000-000031010000}"/>
    <cellStyle name="Warning Text 2" xfId="304" xr:uid="{00000000-0005-0000-0000-000032010000}"/>
    <cellStyle name="Warning Text 2 2" xfId="305" xr:uid="{00000000-0005-0000-0000-000033010000}"/>
    <cellStyle name="Warning Text 2 3" xfId="306" xr:uid="{00000000-0005-0000-0000-000034010000}"/>
  </cellStyles>
  <dxfs count="2">
    <dxf>
      <fill>
        <patternFill>
          <fgColor indexed="64"/>
          <bgColor rgb="FFFFFF99"/>
        </patternFill>
      </fill>
    </dxf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POS\Year%203%20Projects\Year%203%20Plan\Service%20Classes\Youth%20Short-Term%20Stabilization%20Emergency%20Placement\rate%20development\Post%20Hearing\YSTS%20general%20analysis%20after%20DYS%2011_09_11_Post%20Hearing%20change_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-POS%20Policy%20Office\Rate%20Setting\Rate%20Projects\Youth%20Intermediate%20DYS-CMR%20413\Rate%20Review%20for%20Jan%202020\1.%20Strategy%20Materials\1.%202020%20DYS%20YITS%20Model%20Budgets%2010.15.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DYS%20-%20Community%20Service%20Nework\5.%20Final%20Rate%20Documents\CSN%20(YITS)%20-Post%20Hearing%20Model%20Analysis%2012-22-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Youth%20Intermediate%20DYS-CMR%20413\Rate%20Review%20for%20Jan%202022\1.%20Strategy%20Materials\1.%20CSN%20&amp;%20READY%20Models%207.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-POS%20Policy%20Office\Admin%20&amp;%20Staff\Kara\Workforce%20Initiatives\6.%20BLS%20Analysis%20May2020%20for%20Jan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Youth%20Intermediate%20DYS-CMR%20413\Rate%20Review%20for%20Jan%202022\1.%20Strategy%20Materials\2.%20DYS%20models%207.30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impact"/>
      <sheetName val="Rate Summary Sheet"/>
      <sheetName val="Rate Options"/>
      <sheetName val="Rates with Ed"/>
      <sheetName val="Teacher Sals"/>
      <sheetName val="Rates w Higher Need"/>
      <sheetName val="Add-ons"/>
      <sheetName val="Budg Anlys"/>
      <sheetName val="Expense anlys"/>
      <sheetName val="Clean Data"/>
      <sheetName val="Original Data"/>
    </sheetNames>
    <sheetDataSet>
      <sheetData sheetId="0"/>
      <sheetData sheetId="1"/>
      <sheetData sheetId="2">
        <row r="12">
          <cell r="E12">
            <v>51947.798987144524</v>
          </cell>
        </row>
        <row r="22">
          <cell r="F22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 Chart"/>
      <sheetName val="Youth Res Rate Models"/>
      <sheetName val="Rate Options"/>
      <sheetName val="TILP Rates (A&amp;B)"/>
      <sheetName val="TILP Rates"/>
      <sheetName val="Higher Need Rate Opt (rebased)"/>
      <sheetName val="Higher Need Rate Options"/>
      <sheetName val=" Add-On Rates(DC &amp; Clinical)"/>
      <sheetName val="OLD Fiscal Impact"/>
      <sheetName val="Spring 2019 CAF"/>
      <sheetName val="Rate Chart"/>
      <sheetName val="Bed Day Data"/>
      <sheetName val="FTE Ratios"/>
      <sheetName val="Fiscal Impact1"/>
      <sheetName val="Fiscal Impact2"/>
      <sheetName val="CAF 2019 Fall"/>
    </sheetNames>
    <sheetDataSet>
      <sheetData sheetId="0"/>
      <sheetData sheetId="1">
        <row r="10">
          <cell r="AC10">
            <v>65368.626426372299</v>
          </cell>
        </row>
        <row r="36">
          <cell r="AB36">
            <v>18.364580498704061</v>
          </cell>
        </row>
      </sheetData>
      <sheetData sheetId="2">
        <row r="30">
          <cell r="AJ30">
            <v>0.25578770213785851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25">
          <cell r="BU25">
            <v>1.8120393120392975E-2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Budgets"/>
      <sheetName val="Single MB EHS 07172014"/>
      <sheetName val="Model Budgets Adjusted"/>
      <sheetName val="PH Model Budgets"/>
      <sheetName val="Model Budgets Orig"/>
      <sheetName val="CAF"/>
      <sheetName val="Fiscal Impact"/>
      <sheetName val="PH Fiscal Impact"/>
      <sheetName val="Fiscal Impact FY15"/>
      <sheetName val="OccupancyAdd-On"/>
      <sheetName val="FY15 Units"/>
      <sheetName val="FY14 Units"/>
      <sheetName val="Van Costs "/>
      <sheetName val="CSN Mile Rates "/>
      <sheetName val="Salary Breakout "/>
      <sheetName val="OfficeSize12-18"/>
      <sheetName val="Occupancy"/>
      <sheetName val="Case Load Analysis"/>
      <sheetName val="DYS Salary Breakout"/>
      <sheetName val="Flex Funds "/>
      <sheetName val="YITS Add-On Rates"/>
      <sheetName val="CleanData"/>
      <sheetName val="RawContractData"/>
      <sheetName val="RawDataCalcs"/>
      <sheetName val="OldColonyFY15Sche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9">
          <cell r="BO9">
            <v>1</v>
          </cell>
        </row>
      </sheetData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BLS Chart"/>
      <sheetName val="2022 Model Budgets "/>
      <sheetName val="CAF Spring 2021"/>
      <sheetName val="2020 Model Budgets "/>
      <sheetName val="FY20 UFR BTL"/>
      <sheetName val="CSN Add On Rates "/>
      <sheetName val="Chart for Reg"/>
      <sheetName val="2020 UFR"/>
      <sheetName val="Fiscal Impact"/>
      <sheetName val="Fiscal Impact FY22"/>
      <sheetName val="Fiscal Impact v2 (2)"/>
      <sheetName val="ALL"/>
      <sheetName val="READY review-2514 (FY22)"/>
      <sheetName val="READY Fiscal Impact"/>
    </sheetNames>
    <sheetDataSet>
      <sheetData sheetId="0">
        <row r="6">
          <cell r="C6">
            <v>34927.359999999993</v>
          </cell>
        </row>
      </sheetData>
      <sheetData sheetId="1"/>
      <sheetData sheetId="2">
        <row r="24">
          <cell r="CB24">
            <v>1.0633805350099574E-2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_M2020_dl"/>
      <sheetName val="Field Descriptions"/>
      <sheetName val="UpdateTime"/>
      <sheetName val="Filler"/>
      <sheetName val="Sheet1"/>
      <sheetName val="Management (2)"/>
      <sheetName val="Chart"/>
      <sheetName val="DC  CNA  DC III"/>
      <sheetName val="Case Social Worker.Manager"/>
      <sheetName val="Clinical"/>
      <sheetName val="Nursing"/>
      <sheetName val="Management"/>
      <sheetName val="M2020 BLS  SALARY CHART"/>
      <sheetName val="Chart (2)"/>
      <sheetName val="Therapies"/>
      <sheetName val="M2020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7">
          <cell r="G7">
            <v>16.791999999999998</v>
          </cell>
        </row>
        <row r="11">
          <cell r="G11">
            <v>17.260000000000002</v>
          </cell>
        </row>
        <row r="20">
          <cell r="G20">
            <v>21.736000000000001</v>
          </cell>
        </row>
      </sheetData>
      <sheetData sheetId="8">
        <row r="4">
          <cell r="G4">
            <v>21.814999999999998</v>
          </cell>
        </row>
        <row r="10">
          <cell r="G10">
            <v>26.16</v>
          </cell>
        </row>
      </sheetData>
      <sheetData sheetId="9">
        <row r="5">
          <cell r="G5">
            <v>30.59</v>
          </cell>
        </row>
        <row r="9">
          <cell r="G9">
            <v>40.57</v>
          </cell>
        </row>
      </sheetData>
      <sheetData sheetId="10">
        <row r="2">
          <cell r="G2">
            <v>28.8</v>
          </cell>
        </row>
        <row r="6">
          <cell r="G6">
            <v>43.41</v>
          </cell>
        </row>
        <row r="11">
          <cell r="G11">
            <v>59.6</v>
          </cell>
        </row>
      </sheetData>
      <sheetData sheetId="11">
        <row r="2">
          <cell r="G2">
            <v>33.46153846153846</v>
          </cell>
        </row>
      </sheetData>
      <sheetData sheetId="12" refreshError="1"/>
      <sheetData sheetId="13" refreshError="1"/>
      <sheetData sheetId="14">
        <row r="2">
          <cell r="E2">
            <v>31.99</v>
          </cell>
        </row>
      </sheetData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 Chart"/>
      <sheetName val="2020 BLS Chart"/>
      <sheetName val="Youth Res Rate Models(2022)"/>
      <sheetName val="Rate Options"/>
      <sheetName val="Youth Res Rate Models (Current)"/>
      <sheetName val="TILP Rates"/>
      <sheetName val="Higher Need Rate Opt (rebased)"/>
      <sheetName val="Higher Need Rate Options"/>
      <sheetName val="TILP Rates (A&amp;B) 2022"/>
      <sheetName val="TILP Rates (A&amp;B) (Current)"/>
      <sheetName val=" Add-Ons (DC &amp; Clinical (2022)"/>
      <sheetName val=" Add-Ons(DC &amp; Clinical current)"/>
      <sheetName val="OLD Fiscal Impact"/>
      <sheetName val="Spring 2019 CAF"/>
      <sheetName val="Salary Bench Chart"/>
      <sheetName val="Rate Chart"/>
      <sheetName val="CY22 Add on Rates "/>
      <sheetName val="FY20 UFR Data"/>
      <sheetName val="Fiscal Impact"/>
      <sheetName val="CAF Spring 2021"/>
      <sheetName val="Bed Day Data"/>
      <sheetName val="FTE Ratios"/>
      <sheetName val="Fiscal Impact1"/>
      <sheetName val="Fiscal Impact2"/>
      <sheetName val="CAF 2019 Fall"/>
    </sheetNames>
    <sheetDataSet>
      <sheetData sheetId="0" refreshError="1"/>
      <sheetData sheetId="1"/>
      <sheetData sheetId="2"/>
      <sheetData sheetId="3">
        <row r="30">
          <cell r="AJ30">
            <v>0.25578770213785851</v>
          </cell>
        </row>
        <row r="42">
          <cell r="AJ42" t="e">
            <v>#REF!</v>
          </cell>
        </row>
        <row r="43">
          <cell r="AK43">
            <v>4.4640068153077195E-2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>
        <row r="30">
          <cell r="C30">
            <v>0.224</v>
          </cell>
        </row>
        <row r="31">
          <cell r="C31">
            <v>1.0633805350099574E-2</v>
          </cell>
        </row>
        <row r="32">
          <cell r="C32">
            <v>3.7000000000000002E-3</v>
          </cell>
        </row>
        <row r="33">
          <cell r="C33">
            <v>0.12</v>
          </cell>
        </row>
      </sheetData>
      <sheetData sheetId="15">
        <row r="5">
          <cell r="M5">
            <v>484.49978026750284</v>
          </cell>
        </row>
      </sheetData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9"/>
  <sheetViews>
    <sheetView tabSelected="1" topLeftCell="A13" zoomScale="90" zoomScaleNormal="90" workbookViewId="0">
      <selection activeCell="F2" sqref="F2"/>
    </sheetView>
  </sheetViews>
  <sheetFormatPr defaultColWidth="9.625" defaultRowHeight="15" x14ac:dyDescent="0.25"/>
  <cols>
    <col min="1" max="1" width="5.5" style="4" customWidth="1"/>
    <col min="2" max="2" width="57.875" style="4" customWidth="1"/>
    <col min="3" max="3" width="24" style="4" customWidth="1"/>
    <col min="4" max="5" width="14.625" style="4" hidden="1" customWidth="1"/>
    <col min="6" max="6" width="57" style="4" customWidth="1"/>
    <col min="7" max="7" width="62" style="5" customWidth="1"/>
    <col min="8" max="8" width="14.625" style="4" hidden="1" customWidth="1"/>
    <col min="9" max="9" width="0" style="4" hidden="1" customWidth="1"/>
    <col min="10" max="10" width="10.875" style="4" hidden="1" customWidth="1"/>
    <col min="11" max="11" width="0" style="4" hidden="1" customWidth="1"/>
    <col min="12" max="16384" width="9.625" style="4"/>
  </cols>
  <sheetData>
    <row r="1" spans="2:10" ht="21" x14ac:dyDescent="0.35">
      <c r="B1" s="1"/>
      <c r="C1" s="2" t="s">
        <v>0</v>
      </c>
      <c r="D1" s="2" t="s">
        <v>0</v>
      </c>
      <c r="E1" s="3"/>
    </row>
    <row r="2" spans="2:10" ht="21" x14ac:dyDescent="0.35">
      <c r="C2" s="6">
        <v>43952</v>
      </c>
      <c r="D2" s="7" t="s">
        <v>1</v>
      </c>
      <c r="E2" s="8"/>
    </row>
    <row r="3" spans="2:10" ht="21" x14ac:dyDescent="0.35">
      <c r="B3" s="9"/>
      <c r="C3" s="7" t="s">
        <v>2</v>
      </c>
      <c r="D3" s="7" t="s">
        <v>2</v>
      </c>
      <c r="E3" s="7"/>
      <c r="F3" s="10"/>
      <c r="G3" s="11"/>
    </row>
    <row r="4" spans="2:10" ht="19.149999999999999" customHeight="1" thickBot="1" x14ac:dyDescent="0.4">
      <c r="B4" s="12" t="s">
        <v>3</v>
      </c>
      <c r="C4" s="13" t="s">
        <v>4</v>
      </c>
      <c r="D4" s="14" t="s">
        <v>5</v>
      </c>
      <c r="E4" s="14" t="s">
        <v>6</v>
      </c>
      <c r="F4" s="12" t="s">
        <v>7</v>
      </c>
      <c r="G4" s="15" t="s">
        <v>8</v>
      </c>
      <c r="H4" s="8" t="s">
        <v>9</v>
      </c>
      <c r="J4" s="4" t="s">
        <v>10</v>
      </c>
    </row>
    <row r="5" spans="2:10" ht="31.15" customHeight="1" x14ac:dyDescent="0.35">
      <c r="B5" s="16" t="s">
        <v>11</v>
      </c>
      <c r="C5" s="17">
        <f>'[8]DC  CNA  DC III'!G7</f>
        <v>16.791999999999998</v>
      </c>
      <c r="D5" s="17">
        <v>15.48</v>
      </c>
      <c r="E5" s="18"/>
      <c r="F5" s="709" t="s">
        <v>12</v>
      </c>
      <c r="G5" s="702" t="s">
        <v>13</v>
      </c>
      <c r="H5" s="19">
        <f>H6/2080</f>
        <v>15.480288461538462</v>
      </c>
      <c r="J5" s="20">
        <f>C5-H5</f>
        <v>1.3117115384615357</v>
      </c>
    </row>
    <row r="6" spans="2:10" ht="31.15" customHeight="1" thickBot="1" x14ac:dyDescent="0.4">
      <c r="B6" s="21" t="s">
        <v>14</v>
      </c>
      <c r="C6" s="22">
        <f>C5*2080</f>
        <v>34927.359999999993</v>
      </c>
      <c r="D6" s="23">
        <f>D5*2080</f>
        <v>32198.400000000001</v>
      </c>
      <c r="E6" s="24">
        <f>(C6-D6)/D6</f>
        <v>8.4754521963824034E-2</v>
      </c>
      <c r="F6" s="710"/>
      <c r="G6" s="703"/>
      <c r="H6" s="25">
        <v>32199</v>
      </c>
      <c r="J6" s="20"/>
    </row>
    <row r="7" spans="2:10" ht="21" x14ac:dyDescent="0.35">
      <c r="B7" s="16" t="s">
        <v>15</v>
      </c>
      <c r="C7" s="26">
        <f>'[8]DC  CNA  DC III'!G20</f>
        <v>21.736000000000001</v>
      </c>
      <c r="D7" s="17">
        <v>19.96</v>
      </c>
      <c r="E7" s="18"/>
      <c r="F7" s="27" t="s">
        <v>16</v>
      </c>
      <c r="G7" s="702" t="s">
        <v>17</v>
      </c>
      <c r="H7" s="19">
        <f>H8/2080</f>
        <v>18.400480769230768</v>
      </c>
      <c r="J7" s="20">
        <f>C7-H7</f>
        <v>3.3355192307692327</v>
      </c>
    </row>
    <row r="8" spans="2:10" ht="21.75" thickBot="1" x14ac:dyDescent="0.4">
      <c r="B8" s="28" t="s">
        <v>18</v>
      </c>
      <c r="C8" s="29">
        <f>C7*2080</f>
        <v>45210.880000000005</v>
      </c>
      <c r="D8" s="30">
        <f>D7*2080</f>
        <v>41516.800000000003</v>
      </c>
      <c r="E8" s="31">
        <f>(C8-D8)/D8</f>
        <v>8.8977955911823683E-2</v>
      </c>
      <c r="F8" s="32"/>
      <c r="G8" s="704"/>
      <c r="H8" s="25">
        <v>38273</v>
      </c>
      <c r="J8" s="20"/>
    </row>
    <row r="9" spans="2:10" ht="21" x14ac:dyDescent="0.35">
      <c r="B9" s="16" t="s">
        <v>19</v>
      </c>
      <c r="C9" s="26">
        <f>'[8]DC  CNA  DC III'!G11</f>
        <v>17.260000000000002</v>
      </c>
      <c r="D9" s="17">
        <v>15.53</v>
      </c>
      <c r="E9" s="18"/>
      <c r="F9" s="33"/>
      <c r="G9" s="702" t="s">
        <v>20</v>
      </c>
      <c r="H9" s="19">
        <f>H10/2080</f>
        <v>20.43028846153846</v>
      </c>
      <c r="J9" s="34">
        <f>C9-H9</f>
        <v>-3.1702884615384583</v>
      </c>
    </row>
    <row r="10" spans="2:10" ht="21.75" thickBot="1" x14ac:dyDescent="0.4">
      <c r="B10" s="21" t="s">
        <v>21</v>
      </c>
      <c r="C10" s="22">
        <f>C9*2080</f>
        <v>35900.800000000003</v>
      </c>
      <c r="D10" s="23">
        <f>D9*2080</f>
        <v>32302.399999999998</v>
      </c>
      <c r="E10" s="24">
        <f>(C10-D10)/D10</f>
        <v>0.11139729555698664</v>
      </c>
      <c r="F10" s="35"/>
      <c r="G10" s="703"/>
      <c r="H10" s="25">
        <v>42495</v>
      </c>
      <c r="J10" s="20"/>
    </row>
    <row r="11" spans="2:10" ht="21" x14ac:dyDescent="0.35">
      <c r="B11" s="16" t="s">
        <v>22</v>
      </c>
      <c r="C11" s="26">
        <f>'[8]Case Social Worker.Manager'!G4</f>
        <v>21.814999999999998</v>
      </c>
      <c r="D11" s="17">
        <v>21.14</v>
      </c>
      <c r="E11" s="18"/>
      <c r="F11" s="27" t="s">
        <v>23</v>
      </c>
      <c r="G11" s="702" t="s">
        <v>24</v>
      </c>
      <c r="H11" s="707" t="s">
        <v>25</v>
      </c>
      <c r="J11" s="20"/>
    </row>
    <row r="12" spans="2:10" ht="21.75" thickBot="1" x14ac:dyDescent="0.4">
      <c r="B12" s="28" t="s">
        <v>26</v>
      </c>
      <c r="C12" s="29">
        <f>C11*2080</f>
        <v>45375.199999999997</v>
      </c>
      <c r="D12" s="30">
        <f>D11*2080</f>
        <v>43971.200000000004</v>
      </c>
      <c r="E12" s="31">
        <f>(C12-D12)/D12</f>
        <v>3.192999053926189E-2</v>
      </c>
      <c r="F12" s="32" t="s">
        <v>27</v>
      </c>
      <c r="G12" s="704"/>
      <c r="H12" s="708"/>
      <c r="J12" s="20"/>
    </row>
    <row r="13" spans="2:10" ht="42" x14ac:dyDescent="0.35">
      <c r="B13" s="36" t="s">
        <v>28</v>
      </c>
      <c r="C13" s="26">
        <f>'[8]Case Social Worker.Manager'!G10</f>
        <v>26.16</v>
      </c>
      <c r="D13" s="17">
        <v>25.32</v>
      </c>
      <c r="E13" s="18"/>
      <c r="F13" s="27" t="s">
        <v>29</v>
      </c>
      <c r="G13" s="702" t="s">
        <v>30</v>
      </c>
      <c r="H13" s="19">
        <f>H14/2080</f>
        <v>19.703365384615385</v>
      </c>
      <c r="J13" s="20">
        <f>C13-H13</f>
        <v>6.4566346153846155</v>
      </c>
    </row>
    <row r="14" spans="2:10" ht="42.75" thickBot="1" x14ac:dyDescent="0.4">
      <c r="B14" s="37" t="s">
        <v>31</v>
      </c>
      <c r="C14" s="22">
        <f>C13*2080</f>
        <v>54412.800000000003</v>
      </c>
      <c r="D14" s="23">
        <f>D13*2080</f>
        <v>52665.599999999999</v>
      </c>
      <c r="E14" s="24">
        <f>(C14-D14)/D14</f>
        <v>3.3175355450237053E-2</v>
      </c>
      <c r="F14" s="35" t="s">
        <v>32</v>
      </c>
      <c r="G14" s="703"/>
      <c r="H14" s="25">
        <v>40983</v>
      </c>
      <c r="J14" s="20"/>
    </row>
    <row r="15" spans="2:10" s="622" customFormat="1" ht="21" x14ac:dyDescent="0.35">
      <c r="B15" s="615" t="s">
        <v>33</v>
      </c>
      <c r="C15" s="616">
        <v>33.46153846153846</v>
      </c>
      <c r="D15" s="617" t="s">
        <v>25</v>
      </c>
      <c r="E15" s="618"/>
      <c r="F15" s="619" t="s">
        <v>34</v>
      </c>
      <c r="G15" s="620" t="s">
        <v>35</v>
      </c>
      <c r="H15" s="621"/>
      <c r="J15" s="623"/>
    </row>
    <row r="16" spans="2:10" s="622" customFormat="1" ht="21.75" thickBot="1" x14ac:dyDescent="0.4">
      <c r="B16" s="615" t="s">
        <v>36</v>
      </c>
      <c r="C16" s="617">
        <v>69600</v>
      </c>
      <c r="D16" s="617" t="s">
        <v>25</v>
      </c>
      <c r="E16" s="618"/>
      <c r="F16" s="619" t="s">
        <v>37</v>
      </c>
      <c r="G16" s="620"/>
      <c r="H16" s="621"/>
      <c r="J16" s="623"/>
    </row>
    <row r="17" spans="2:10" ht="21" x14ac:dyDescent="0.35">
      <c r="B17" s="16" t="s">
        <v>38</v>
      </c>
      <c r="C17" s="26">
        <f>[8]Clinical!G5</f>
        <v>30.59</v>
      </c>
      <c r="D17" s="17">
        <v>29.29</v>
      </c>
      <c r="E17" s="18"/>
      <c r="F17" s="27" t="s">
        <v>39</v>
      </c>
      <c r="G17" s="702" t="s">
        <v>40</v>
      </c>
      <c r="H17" s="19">
        <f>H18/2080</f>
        <v>27.190865384615385</v>
      </c>
      <c r="J17" s="20">
        <f>C17-H17</f>
        <v>3.3991346153846145</v>
      </c>
    </row>
    <row r="18" spans="2:10" ht="21.75" thickBot="1" x14ac:dyDescent="0.4">
      <c r="B18" s="28" t="s">
        <v>41</v>
      </c>
      <c r="C18" s="29">
        <f>C17*2080</f>
        <v>63627.199999999997</v>
      </c>
      <c r="D18" s="30">
        <f>D17*2080</f>
        <v>60923.199999999997</v>
      </c>
      <c r="E18" s="31">
        <f>(C18-D18)/D18</f>
        <v>4.4383748719699558E-2</v>
      </c>
      <c r="F18" s="32"/>
      <c r="G18" s="704"/>
      <c r="H18" s="25">
        <v>56557</v>
      </c>
      <c r="J18" s="20"/>
    </row>
    <row r="19" spans="2:10" ht="21" x14ac:dyDescent="0.35">
      <c r="B19" s="16" t="s">
        <v>42</v>
      </c>
      <c r="C19" s="26">
        <f>[8]Clinical!G9</f>
        <v>40.57</v>
      </c>
      <c r="D19" s="17">
        <v>40.06</v>
      </c>
      <c r="E19" s="18"/>
      <c r="F19" s="705" t="s">
        <v>43</v>
      </c>
      <c r="G19" s="702" t="s">
        <v>44</v>
      </c>
      <c r="H19" s="19">
        <f>H20/2080</f>
        <v>33.217788461538461</v>
      </c>
      <c r="J19" s="20">
        <f>C19-H19</f>
        <v>7.352211538461539</v>
      </c>
    </row>
    <row r="20" spans="2:10" ht="21.75" thickBot="1" x14ac:dyDescent="0.4">
      <c r="B20" s="21" t="s">
        <v>45</v>
      </c>
      <c r="C20" s="22">
        <f>C19*2080</f>
        <v>84385.600000000006</v>
      </c>
      <c r="D20" s="23">
        <f>D19*2080</f>
        <v>83324.800000000003</v>
      </c>
      <c r="E20" s="24">
        <f>(C20-D20)/D20</f>
        <v>1.2730903644533234E-2</v>
      </c>
      <c r="F20" s="706"/>
      <c r="G20" s="703"/>
      <c r="H20" s="25">
        <v>69093</v>
      </c>
      <c r="J20" s="20"/>
    </row>
    <row r="21" spans="2:10" ht="21" x14ac:dyDescent="0.35">
      <c r="B21" s="16" t="s">
        <v>46</v>
      </c>
      <c r="C21" s="26">
        <f>[8]Nursing!G2</f>
        <v>28.8</v>
      </c>
      <c r="D21" s="17">
        <v>27.62</v>
      </c>
      <c r="E21" s="18"/>
      <c r="F21" s="27"/>
      <c r="G21" s="702" t="s">
        <v>47</v>
      </c>
      <c r="H21" s="19">
        <f>H22/2080</f>
        <v>25.143750000000001</v>
      </c>
      <c r="J21" s="20">
        <f>C21-H21</f>
        <v>3.65625</v>
      </c>
    </row>
    <row r="22" spans="2:10" ht="21.75" thickBot="1" x14ac:dyDescent="0.4">
      <c r="B22" s="21" t="s">
        <v>48</v>
      </c>
      <c r="C22" s="22">
        <f>C21*2080</f>
        <v>59904</v>
      </c>
      <c r="D22" s="23">
        <f>D21*2080</f>
        <v>57449.599999999999</v>
      </c>
      <c r="E22" s="24">
        <f>(C22-D22)/D22</f>
        <v>4.2722664735698794E-2</v>
      </c>
      <c r="F22" s="35"/>
      <c r="G22" s="703"/>
      <c r="H22" s="25">
        <v>52299</v>
      </c>
      <c r="J22" s="20"/>
    </row>
    <row r="23" spans="2:10" ht="21" x14ac:dyDescent="0.35">
      <c r="B23" s="16" t="s">
        <v>49</v>
      </c>
      <c r="C23" s="26">
        <f>[8]Nursing!G6</f>
        <v>43.41</v>
      </c>
      <c r="D23" s="17">
        <v>41.76</v>
      </c>
      <c r="E23" s="18"/>
      <c r="F23" s="27"/>
      <c r="G23" s="702" t="s">
        <v>50</v>
      </c>
      <c r="H23" s="38">
        <f>H24/2080</f>
        <v>33.460576923076921</v>
      </c>
      <c r="J23" s="20">
        <f>C23-H23</f>
        <v>9.9494230769230754</v>
      </c>
    </row>
    <row r="24" spans="2:10" ht="21.75" thickBot="1" x14ac:dyDescent="0.4">
      <c r="B24" s="21" t="s">
        <v>51</v>
      </c>
      <c r="C24" s="22">
        <f>C23*2080</f>
        <v>90292.799999999988</v>
      </c>
      <c r="D24" s="23">
        <f>D23*2080</f>
        <v>86860.800000000003</v>
      </c>
      <c r="E24" s="24">
        <f>(C24-D24)/D24</f>
        <v>3.9511494252873397E-2</v>
      </c>
      <c r="F24" s="35"/>
      <c r="G24" s="703"/>
      <c r="H24" s="25">
        <v>69598</v>
      </c>
      <c r="J24" s="20"/>
    </row>
    <row r="25" spans="2:10" ht="21" x14ac:dyDescent="0.35">
      <c r="B25" s="16" t="s">
        <v>52</v>
      </c>
      <c r="C25" s="26">
        <f>[8]Nursing!G11</f>
        <v>59.6</v>
      </c>
      <c r="D25" s="17">
        <v>57.41</v>
      </c>
      <c r="E25" s="18"/>
      <c r="F25" s="27"/>
      <c r="G25" s="702" t="s">
        <v>53</v>
      </c>
      <c r="H25" s="19">
        <f>H26/2080</f>
        <v>48.354326923076925</v>
      </c>
      <c r="J25" s="20">
        <f>C25-H25</f>
        <v>11.245673076923076</v>
      </c>
    </row>
    <row r="26" spans="2:10" ht="21.75" thickBot="1" x14ac:dyDescent="0.4">
      <c r="B26" s="21" t="s">
        <v>54</v>
      </c>
      <c r="C26" s="22">
        <f>C25*2080</f>
        <v>123968</v>
      </c>
      <c r="D26" s="23">
        <f>D25*2080</f>
        <v>119412.79999999999</v>
      </c>
      <c r="E26" s="24">
        <f>(C26-D26)/D26</f>
        <v>3.8146664344191006E-2</v>
      </c>
      <c r="F26" s="35"/>
      <c r="G26" s="703"/>
      <c r="H26" s="25">
        <v>100577</v>
      </c>
      <c r="J26" s="20"/>
    </row>
    <row r="27" spans="2:10" ht="21" x14ac:dyDescent="0.35">
      <c r="B27" s="10"/>
      <c r="C27" s="10"/>
      <c r="D27" s="10"/>
      <c r="E27" s="10"/>
      <c r="F27" s="10"/>
      <c r="G27" s="11"/>
    </row>
    <row r="28" spans="2:10" ht="37.5" x14ac:dyDescent="0.3">
      <c r="B28" s="39" t="s">
        <v>55</v>
      </c>
      <c r="C28" s="40">
        <f>C6</f>
        <v>34927.359999999993</v>
      </c>
      <c r="D28" s="41"/>
      <c r="E28" s="41"/>
      <c r="F28" s="41"/>
      <c r="G28" s="42"/>
    </row>
    <row r="29" spans="2:10" ht="18.75" x14ac:dyDescent="0.3">
      <c r="B29" s="41"/>
      <c r="C29" s="41"/>
      <c r="D29" s="41"/>
      <c r="E29" s="41"/>
      <c r="F29" s="41"/>
      <c r="G29" s="42"/>
    </row>
    <row r="30" spans="2:10" ht="37.5" x14ac:dyDescent="0.3">
      <c r="B30" s="39" t="s">
        <v>56</v>
      </c>
      <c r="C30" s="43">
        <f>AVERAGE(14.25,15)</f>
        <v>14.625</v>
      </c>
      <c r="D30" s="41"/>
      <c r="E30" s="41"/>
      <c r="F30" s="41" t="s">
        <v>57</v>
      </c>
      <c r="G30" s="42"/>
    </row>
    <row r="31" spans="2:10" ht="18.75" x14ac:dyDescent="0.3">
      <c r="B31" s="41"/>
      <c r="C31" s="41"/>
      <c r="D31" s="41"/>
      <c r="E31" s="41"/>
      <c r="F31" s="41"/>
      <c r="G31" s="42"/>
    </row>
    <row r="32" spans="2:10" ht="18.75" x14ac:dyDescent="0.3">
      <c r="B32" s="44" t="s">
        <v>58</v>
      </c>
      <c r="C32" s="45">
        <v>0.224</v>
      </c>
      <c r="D32" s="41"/>
      <c r="E32" s="41"/>
      <c r="F32" s="41" t="s">
        <v>59</v>
      </c>
      <c r="G32" s="42"/>
    </row>
    <row r="33" spans="2:7" ht="56.25" x14ac:dyDescent="0.3">
      <c r="B33" s="44"/>
      <c r="C33" s="41"/>
      <c r="D33" s="41"/>
      <c r="E33" s="41"/>
      <c r="F33" s="42" t="s">
        <v>60</v>
      </c>
      <c r="G33" s="42"/>
    </row>
    <row r="34" spans="2:7" ht="18.75" x14ac:dyDescent="0.3">
      <c r="B34" s="46" t="s">
        <v>61</v>
      </c>
      <c r="C34" s="45">
        <v>3.7000000000000002E-3</v>
      </c>
      <c r="D34" s="41"/>
      <c r="E34" s="41"/>
      <c r="F34" s="41"/>
      <c r="G34" s="42"/>
    </row>
    <row r="35" spans="2:7" ht="18.75" x14ac:dyDescent="0.3">
      <c r="B35" s="41"/>
      <c r="C35" s="41"/>
      <c r="D35" s="41"/>
      <c r="E35" s="41"/>
      <c r="F35" s="41"/>
      <c r="G35" s="42"/>
    </row>
    <row r="36" spans="2:7" ht="18.75" x14ac:dyDescent="0.3">
      <c r="B36" s="46" t="s">
        <v>62</v>
      </c>
      <c r="C36" s="47">
        <v>0.12</v>
      </c>
      <c r="D36" s="41"/>
      <c r="E36" s="41"/>
      <c r="F36" s="41" t="s">
        <v>63</v>
      </c>
      <c r="G36" s="42"/>
    </row>
    <row r="38" spans="2:7" ht="18.75" x14ac:dyDescent="0.3">
      <c r="B38" s="46" t="s">
        <v>64</v>
      </c>
      <c r="C38" s="48">
        <f>'CAF Spring 2021'!CB24</f>
        <v>1.0633805350099574E-2</v>
      </c>
      <c r="D38" s="41"/>
      <c r="E38" s="41"/>
      <c r="F38" s="41" t="s">
        <v>65</v>
      </c>
    </row>
    <row r="39" spans="2:7" x14ac:dyDescent="0.25">
      <c r="B39" s="49"/>
      <c r="C39" s="50"/>
    </row>
  </sheetData>
  <mergeCells count="13">
    <mergeCell ref="H11:H12"/>
    <mergeCell ref="F5:F6"/>
    <mergeCell ref="G5:G6"/>
    <mergeCell ref="G7:G8"/>
    <mergeCell ref="G9:G10"/>
    <mergeCell ref="G11:G12"/>
    <mergeCell ref="G25:G26"/>
    <mergeCell ref="G13:G14"/>
    <mergeCell ref="G17:G18"/>
    <mergeCell ref="F19:F20"/>
    <mergeCell ref="G19:G20"/>
    <mergeCell ref="G21:G22"/>
    <mergeCell ref="G23:G24"/>
  </mergeCells>
  <pageMargins left="0.25" right="0.25" top="0.25" bottom="0.25" header="0.05" footer="0.05"/>
  <pageSetup scale="57" fitToHeight="0" orientation="landscape" cellComments="asDisplayed" r:id="rId1"/>
  <ignoredErrors>
    <ignoredError sqref="C7:C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57"/>
  <sheetViews>
    <sheetView zoomScale="80" zoomScaleNormal="80" zoomScaleSheetLayoutView="75" workbookViewId="0">
      <selection activeCell="AB50" sqref="AB50"/>
    </sheetView>
  </sheetViews>
  <sheetFormatPr defaultColWidth="8.25" defaultRowHeight="12.75" x14ac:dyDescent="0.2"/>
  <cols>
    <col min="1" max="1" width="22.125" style="59" customWidth="1"/>
    <col min="2" max="2" width="9" style="59" customWidth="1"/>
    <col min="3" max="3" width="8.375" style="59" bestFit="1" customWidth="1"/>
    <col min="4" max="4" width="7.875" style="59" customWidth="1"/>
    <col min="5" max="5" width="17.625" style="59" customWidth="1"/>
    <col min="6" max="6" width="2.5" style="54" customWidth="1"/>
    <col min="7" max="7" width="22.75" style="59" customWidth="1"/>
    <col min="8" max="8" width="9" style="54" customWidth="1"/>
    <col min="9" max="9" width="10.375" style="56" customWidth="1"/>
    <col min="10" max="10" width="7.875" style="57" customWidth="1"/>
    <col min="11" max="11" width="9.625" style="56" customWidth="1"/>
    <col min="12" max="12" width="2.25" style="58" customWidth="1"/>
    <col min="13" max="13" width="22.125" style="54" customWidth="1"/>
    <col min="14" max="14" width="9.125" style="56" customWidth="1"/>
    <col min="15" max="15" width="8.75" style="57" bestFit="1" customWidth="1"/>
    <col min="16" max="16" width="8.25" style="56" customWidth="1"/>
    <col min="17" max="17" width="11.375" style="58" bestFit="1" customWidth="1"/>
    <col min="18" max="18" width="2.75" style="59" customWidth="1"/>
    <col min="19" max="19" width="22.625" style="54" customWidth="1"/>
    <col min="20" max="20" width="9.125" style="56" customWidth="1"/>
    <col min="21" max="21" width="8.75" style="57" bestFit="1" customWidth="1"/>
    <col min="22" max="22" width="8.125" style="56" bestFit="1" customWidth="1"/>
    <col min="23" max="23" width="12.125" style="58" bestFit="1" customWidth="1"/>
    <col min="24" max="24" width="3.625" style="58" customWidth="1"/>
    <col min="25" max="25" width="7.375" style="58" customWidth="1"/>
    <col min="26" max="26" width="28.375" style="58" bestFit="1" customWidth="1"/>
    <col min="27" max="27" width="7.375" style="58" customWidth="1"/>
    <col min="28" max="28" width="7.5" style="58" bestFit="1" customWidth="1"/>
    <col min="29" max="29" width="8.25" style="56" customWidth="1"/>
    <col min="30" max="30" width="7.375" style="57" customWidth="1"/>
    <col min="31" max="31" width="13.25" style="56" customWidth="1"/>
    <col min="32" max="32" width="6.625" style="59" customWidth="1"/>
    <col min="33" max="33" width="7.625" style="59" bestFit="1" customWidth="1"/>
    <col min="34" max="34" width="6.625" style="59" customWidth="1"/>
    <col min="35" max="35" width="4.25" style="59" customWidth="1"/>
    <col min="36" max="36" width="4.625" style="59" customWidth="1"/>
    <col min="37" max="37" width="4" style="59" customWidth="1"/>
    <col min="38" max="38" width="4.125" style="59" customWidth="1"/>
    <col min="39" max="39" width="4" style="59" customWidth="1"/>
    <col min="40" max="16384" width="8.25" style="59"/>
  </cols>
  <sheetData>
    <row r="1" spans="1:31" ht="13.5" thickBot="1" x14ac:dyDescent="0.25">
      <c r="A1" s="624" t="s">
        <v>66</v>
      </c>
      <c r="Z1" s="714" t="s">
        <v>67</v>
      </c>
      <c r="AA1" s="714"/>
      <c r="AB1" s="714"/>
      <c r="AC1" s="714"/>
      <c r="AD1" s="714"/>
      <c r="AE1" s="714"/>
    </row>
    <row r="2" spans="1:31" ht="14.25" customHeight="1" x14ac:dyDescent="0.2">
      <c r="B2" s="54"/>
      <c r="C2" s="60" t="s">
        <v>68</v>
      </c>
      <c r="D2" s="61"/>
      <c r="E2" s="62"/>
      <c r="F2" s="63"/>
      <c r="G2" s="713" t="s">
        <v>69</v>
      </c>
      <c r="H2" s="713"/>
      <c r="I2" s="713"/>
      <c r="J2" s="713"/>
      <c r="K2" s="713"/>
      <c r="M2" s="59"/>
      <c r="N2" s="54"/>
      <c r="O2" s="60" t="s">
        <v>70</v>
      </c>
      <c r="P2" s="61"/>
      <c r="Q2" s="62"/>
      <c r="R2" s="63"/>
      <c r="S2" s="59"/>
      <c r="T2" s="54"/>
      <c r="U2" s="60" t="s">
        <v>71</v>
      </c>
      <c r="V2" s="61"/>
      <c r="W2" s="62"/>
      <c r="X2" s="63"/>
      <c r="Y2" s="63"/>
      <c r="Z2" s="625" t="s">
        <v>72</v>
      </c>
      <c r="AA2" s="64" t="s">
        <v>73</v>
      </c>
      <c r="AB2" s="626" t="s">
        <v>74</v>
      </c>
      <c r="AC2" s="65"/>
      <c r="AD2" s="103"/>
      <c r="AE2" s="627"/>
    </row>
    <row r="3" spans="1:31" s="73" customFormat="1" x14ac:dyDescent="0.2">
      <c r="A3" s="66" t="s">
        <v>75</v>
      </c>
      <c r="B3" s="67" t="s">
        <v>76</v>
      </c>
      <c r="C3" s="68" t="s">
        <v>77</v>
      </c>
      <c r="D3" s="69">
        <v>365</v>
      </c>
      <c r="E3" s="70">
        <f>D3*B4</f>
        <v>4380</v>
      </c>
      <c r="F3" s="71"/>
      <c r="G3" s="66" t="s">
        <v>75</v>
      </c>
      <c r="H3" s="72" t="s">
        <v>78</v>
      </c>
      <c r="I3" s="68" t="s">
        <v>77</v>
      </c>
      <c r="J3" s="69">
        <v>365</v>
      </c>
      <c r="K3" s="70">
        <f>H4*J3</f>
        <v>5657.5</v>
      </c>
      <c r="M3" s="66" t="s">
        <v>75</v>
      </c>
      <c r="N3" s="74" t="s">
        <v>79</v>
      </c>
      <c r="O3" s="68" t="s">
        <v>77</v>
      </c>
      <c r="P3" s="69">
        <v>365</v>
      </c>
      <c r="Q3" s="70">
        <f>N4*P3</f>
        <v>7300</v>
      </c>
      <c r="R3" s="71"/>
      <c r="S3" s="66" t="s">
        <v>75</v>
      </c>
      <c r="T3" s="74" t="s">
        <v>80</v>
      </c>
      <c r="U3" s="68" t="s">
        <v>77</v>
      </c>
      <c r="V3" s="69">
        <v>365</v>
      </c>
      <c r="W3" s="70">
        <f>T4*V3</f>
        <v>9125</v>
      </c>
      <c r="X3" s="71"/>
      <c r="Y3" s="71"/>
      <c r="Z3" s="129" t="s">
        <v>81</v>
      </c>
      <c r="AA3" s="75">
        <v>15</v>
      </c>
      <c r="AB3" s="75">
        <f>AA3*8</f>
        <v>120</v>
      </c>
      <c r="AC3" s="76"/>
      <c r="AD3" s="628"/>
      <c r="AE3" s="629"/>
    </row>
    <row r="4" spans="1:31" s="73" customFormat="1" x14ac:dyDescent="0.2">
      <c r="A4" s="66"/>
      <c r="B4" s="74">
        <v>12</v>
      </c>
      <c r="C4" s="68"/>
      <c r="D4" s="69"/>
      <c r="E4" s="70"/>
      <c r="F4" s="71"/>
      <c r="G4" s="66"/>
      <c r="H4" s="74">
        <v>15.5</v>
      </c>
      <c r="I4" s="68"/>
      <c r="J4" s="69"/>
      <c r="K4" s="70"/>
      <c r="M4" s="66"/>
      <c r="N4" s="74">
        <v>20</v>
      </c>
      <c r="O4" s="68"/>
      <c r="P4" s="69"/>
      <c r="Q4" s="70"/>
      <c r="R4" s="71"/>
      <c r="S4" s="66"/>
      <c r="T4" s="74">
        <v>25</v>
      </c>
      <c r="U4" s="68"/>
      <c r="V4" s="69"/>
      <c r="W4" s="70"/>
      <c r="X4" s="71"/>
      <c r="Y4" s="71"/>
      <c r="Z4" s="129" t="s">
        <v>82</v>
      </c>
      <c r="AA4" s="75">
        <v>8</v>
      </c>
      <c r="AB4" s="75">
        <f>AA4*8</f>
        <v>64</v>
      </c>
      <c r="AC4" s="76"/>
      <c r="AD4" s="628"/>
      <c r="AE4" s="629"/>
    </row>
    <row r="5" spans="1:31" s="73" customFormat="1" x14ac:dyDescent="0.2">
      <c r="A5" s="66"/>
      <c r="B5" s="74"/>
      <c r="C5" s="78"/>
      <c r="D5" s="69"/>
      <c r="E5" s="70"/>
      <c r="F5" s="71"/>
      <c r="G5" s="66"/>
      <c r="H5" s="74"/>
      <c r="I5" s="68"/>
      <c r="J5" s="69"/>
      <c r="K5" s="70"/>
      <c r="M5" s="66"/>
      <c r="N5" s="74"/>
      <c r="O5" s="68"/>
      <c r="P5" s="69"/>
      <c r="Q5" s="70"/>
      <c r="R5" s="71"/>
      <c r="S5" s="66"/>
      <c r="T5" s="74"/>
      <c r="U5" s="68"/>
      <c r="V5" s="69"/>
      <c r="W5" s="70"/>
      <c r="X5" s="71"/>
      <c r="Y5" s="71"/>
      <c r="Z5" s="129" t="s">
        <v>83</v>
      </c>
      <c r="AA5" s="75">
        <v>10</v>
      </c>
      <c r="AB5" s="75">
        <f>AA5*8</f>
        <v>80</v>
      </c>
      <c r="AC5" s="76"/>
      <c r="AD5" s="58"/>
      <c r="AE5" s="159"/>
    </row>
    <row r="6" spans="1:31" s="79" customFormat="1" ht="28.5" customHeight="1" x14ac:dyDescent="0.2">
      <c r="B6" s="80" t="s">
        <v>84</v>
      </c>
      <c r="C6" s="60" t="s">
        <v>85</v>
      </c>
      <c r="D6" s="81" t="s">
        <v>86</v>
      </c>
      <c r="E6" s="60" t="s">
        <v>87</v>
      </c>
      <c r="F6" s="82"/>
      <c r="H6" s="80" t="s">
        <v>84</v>
      </c>
      <c r="I6" s="60" t="s">
        <v>85</v>
      </c>
      <c r="J6" s="81" t="s">
        <v>86</v>
      </c>
      <c r="K6" s="60" t="s">
        <v>87</v>
      </c>
      <c r="N6" s="80" t="s">
        <v>84</v>
      </c>
      <c r="O6" s="60" t="s">
        <v>85</v>
      </c>
      <c r="P6" s="81" t="s">
        <v>86</v>
      </c>
      <c r="Q6" s="60" t="s">
        <v>87</v>
      </c>
      <c r="R6" s="82"/>
      <c r="T6" s="80" t="s">
        <v>84</v>
      </c>
      <c r="U6" s="60" t="s">
        <v>85</v>
      </c>
      <c r="V6" s="81" t="s">
        <v>86</v>
      </c>
      <c r="W6" s="60" t="s">
        <v>87</v>
      </c>
      <c r="X6" s="82"/>
      <c r="Y6" s="82"/>
      <c r="Z6" s="630" t="s">
        <v>88</v>
      </c>
      <c r="AA6" s="83">
        <v>8</v>
      </c>
      <c r="AB6" s="83">
        <f>AA6*8</f>
        <v>64</v>
      </c>
      <c r="AC6" s="84"/>
      <c r="AD6" s="631"/>
      <c r="AE6" s="632"/>
    </row>
    <row r="7" spans="1:31" s="56" customFormat="1" x14ac:dyDescent="0.2">
      <c r="A7" s="86" t="s">
        <v>89</v>
      </c>
      <c r="B7" s="87"/>
      <c r="C7" s="56">
        <f>$AC$12</f>
        <v>69600</v>
      </c>
      <c r="D7" s="88">
        <f>AB20</f>
        <v>2.15</v>
      </c>
      <c r="E7" s="56">
        <f>C7*D7</f>
        <v>149640</v>
      </c>
      <c r="F7" s="58"/>
      <c r="G7" s="86" t="s">
        <v>89</v>
      </c>
      <c r="H7" s="87"/>
      <c r="I7" s="56">
        <f>$AC$12</f>
        <v>69600</v>
      </c>
      <c r="J7" s="88">
        <f>AC20</f>
        <v>2.15</v>
      </c>
      <c r="K7" s="56">
        <f>I7*J7</f>
        <v>149640</v>
      </c>
      <c r="M7" s="86" t="s">
        <v>89</v>
      </c>
      <c r="N7" s="87"/>
      <c r="O7" s="56">
        <f>$AC$12</f>
        <v>69600</v>
      </c>
      <c r="P7" s="88">
        <f>AD20</f>
        <v>2.15</v>
      </c>
      <c r="Q7" s="56">
        <f>O7*P7</f>
        <v>149640</v>
      </c>
      <c r="R7" s="58"/>
      <c r="S7" s="86" t="s">
        <v>89</v>
      </c>
      <c r="T7" s="87"/>
      <c r="U7" s="56">
        <f>$AC$12</f>
        <v>69600</v>
      </c>
      <c r="V7" s="88">
        <f>$AE$20</f>
        <v>2.15</v>
      </c>
      <c r="W7" s="56">
        <f>U7*V7</f>
        <v>149640</v>
      </c>
      <c r="X7" s="58"/>
      <c r="Y7" s="58"/>
      <c r="Z7" s="129"/>
      <c r="AA7" s="89" t="s">
        <v>90</v>
      </c>
      <c r="AB7" s="75">
        <f>SUM(AB3:AB6)</f>
        <v>328</v>
      </c>
      <c r="AC7" s="90"/>
      <c r="AD7" s="74"/>
      <c r="AE7" s="136"/>
    </row>
    <row r="8" spans="1:31" s="56" customFormat="1" ht="13.5" thickBot="1" x14ac:dyDescent="0.25">
      <c r="A8" s="86" t="str">
        <f>Z13</f>
        <v>Clinical Director</v>
      </c>
      <c r="B8" s="87"/>
      <c r="C8" s="56">
        <f>AC13</f>
        <v>84385.600000000006</v>
      </c>
      <c r="D8" s="88">
        <v>1</v>
      </c>
      <c r="E8" s="56">
        <f>C8*D8</f>
        <v>84385.600000000006</v>
      </c>
      <c r="F8" s="58"/>
      <c r="G8" s="86" t="str">
        <f>Z13</f>
        <v>Clinical Director</v>
      </c>
      <c r="H8" s="87"/>
      <c r="I8" s="56">
        <f>AC13</f>
        <v>84385.600000000006</v>
      </c>
      <c r="J8" s="88">
        <v>1</v>
      </c>
      <c r="K8" s="56">
        <f>I8*J8</f>
        <v>84385.600000000006</v>
      </c>
      <c r="M8" s="86" t="str">
        <f>Z13</f>
        <v>Clinical Director</v>
      </c>
      <c r="N8" s="87"/>
      <c r="O8" s="56">
        <f>AC13</f>
        <v>84385.600000000006</v>
      </c>
      <c r="P8" s="88">
        <v>1</v>
      </c>
      <c r="Q8" s="56">
        <f>O8*P8</f>
        <v>84385.600000000006</v>
      </c>
      <c r="R8" s="58"/>
      <c r="S8" s="86" t="str">
        <f>Z13</f>
        <v>Clinical Director</v>
      </c>
      <c r="T8" s="87"/>
      <c r="U8" s="56">
        <f>AC13</f>
        <v>84385.600000000006</v>
      </c>
      <c r="V8" s="88">
        <v>1.5</v>
      </c>
      <c r="W8" s="56">
        <f>U8*V8</f>
        <v>126578.40000000001</v>
      </c>
      <c r="X8" s="58"/>
      <c r="Y8" s="58"/>
      <c r="Z8" s="633"/>
      <c r="AA8" s="91" t="s">
        <v>91</v>
      </c>
      <c r="AB8" s="92">
        <f>AB7/(52*40)</f>
        <v>0.15769230769230769</v>
      </c>
      <c r="AC8" s="93"/>
      <c r="AD8" s="146"/>
      <c r="AE8" s="634"/>
    </row>
    <row r="9" spans="1:31" s="56" customFormat="1" x14ac:dyDescent="0.2">
      <c r="A9" s="86" t="str">
        <f>Z14</f>
        <v>Clinical (LICSW)</v>
      </c>
      <c r="B9" s="87"/>
      <c r="C9" s="56">
        <f>AC14</f>
        <v>63627.199999999997</v>
      </c>
      <c r="D9" s="88">
        <v>2</v>
      </c>
      <c r="E9" s="56">
        <f>C9*D9</f>
        <v>127254.39999999999</v>
      </c>
      <c r="F9" s="58"/>
      <c r="G9" s="86" t="str">
        <f>Z14</f>
        <v>Clinical (LICSW)</v>
      </c>
      <c r="H9" s="87"/>
      <c r="I9" s="56">
        <f>AC14</f>
        <v>63627.199999999997</v>
      </c>
      <c r="J9" s="88">
        <v>2</v>
      </c>
      <c r="K9" s="56">
        <f>I9*J9</f>
        <v>127254.39999999999</v>
      </c>
      <c r="M9" s="86" t="str">
        <f>Z14</f>
        <v>Clinical (LICSW)</v>
      </c>
      <c r="N9" s="87"/>
      <c r="O9" s="56">
        <f>AC14</f>
        <v>63627.199999999997</v>
      </c>
      <c r="P9" s="88">
        <v>2</v>
      </c>
      <c r="Q9" s="56">
        <f>O9*P9</f>
        <v>127254.39999999999</v>
      </c>
      <c r="R9" s="58"/>
      <c r="S9" s="86" t="str">
        <f>Z14</f>
        <v>Clinical (LICSW)</v>
      </c>
      <c r="T9" s="87"/>
      <c r="U9" s="56">
        <f>AC14</f>
        <v>63627.199999999997</v>
      </c>
      <c r="V9" s="88">
        <v>2</v>
      </c>
      <c r="W9" s="56">
        <f>U9*V9</f>
        <v>127254.39999999999</v>
      </c>
      <c r="X9" s="58"/>
      <c r="Y9" s="58"/>
      <c r="Z9" s="54"/>
      <c r="AA9" s="89"/>
      <c r="AB9" s="94"/>
      <c r="AC9" s="76"/>
      <c r="AD9" s="74"/>
      <c r="AE9" s="74"/>
    </row>
    <row r="10" spans="1:31" s="56" customFormat="1" ht="13.9" customHeight="1" x14ac:dyDescent="0.2">
      <c r="A10" s="95" t="s">
        <v>92</v>
      </c>
      <c r="B10" s="96">
        <v>0.57999999999999996</v>
      </c>
      <c r="C10" s="56">
        <f>AC15</f>
        <v>34927.359999999993</v>
      </c>
      <c r="D10" s="88">
        <v>20.69</v>
      </c>
      <c r="E10" s="56">
        <f>C10*D10</f>
        <v>722647.07839999988</v>
      </c>
      <c r="F10" s="58"/>
      <c r="G10" s="95" t="s">
        <v>92</v>
      </c>
      <c r="H10" s="88">
        <v>0.69099999999999995</v>
      </c>
      <c r="I10" s="56">
        <f>AC15</f>
        <v>34927.359999999993</v>
      </c>
      <c r="J10" s="88">
        <v>22.43</v>
      </c>
      <c r="K10" s="56">
        <f>I10*J10</f>
        <v>783420.68479999981</v>
      </c>
      <c r="L10" s="97"/>
      <c r="M10" s="95" t="s">
        <v>93</v>
      </c>
      <c r="N10" s="88">
        <v>0.89149999999999996</v>
      </c>
      <c r="O10" s="56">
        <f>AC15</f>
        <v>34927.359999999993</v>
      </c>
      <c r="P10" s="88">
        <v>22.43</v>
      </c>
      <c r="Q10" s="56">
        <f>O10*P10</f>
        <v>783420.68479999981</v>
      </c>
      <c r="R10" s="58"/>
      <c r="S10" s="95" t="s">
        <v>92</v>
      </c>
      <c r="T10" s="88">
        <v>1.0349999999999999</v>
      </c>
      <c r="U10" s="56">
        <f>AC15</f>
        <v>34927.359999999993</v>
      </c>
      <c r="V10" s="88">
        <v>24.15</v>
      </c>
      <c r="W10" s="56">
        <f>U10*V10</f>
        <v>843495.74399999983</v>
      </c>
      <c r="X10" s="58"/>
      <c r="Y10" s="58"/>
      <c r="Z10" s="54"/>
      <c r="AA10" s="89"/>
      <c r="AB10" s="94"/>
      <c r="AC10" s="76"/>
      <c r="AD10" s="74"/>
      <c r="AE10" s="74"/>
    </row>
    <row r="11" spans="1:31" s="97" customFormat="1" ht="13.5" thickBot="1" x14ac:dyDescent="0.25">
      <c r="A11" s="86" t="s">
        <v>94</v>
      </c>
      <c r="B11" s="88"/>
      <c r="C11" s="56">
        <f>AC16</f>
        <v>34927.359999999993</v>
      </c>
      <c r="D11" s="88">
        <f>AB24</f>
        <v>3</v>
      </c>
      <c r="E11" s="56">
        <f>C11*D11</f>
        <v>104782.07999999999</v>
      </c>
      <c r="F11" s="58"/>
      <c r="G11" s="86" t="s">
        <v>94</v>
      </c>
      <c r="H11" s="88"/>
      <c r="I11" s="56">
        <f>AC16</f>
        <v>34927.359999999993</v>
      </c>
      <c r="J11" s="88">
        <f>AC24</f>
        <v>3</v>
      </c>
      <c r="K11" s="56">
        <f>I11*J11</f>
        <v>104782.07999999999</v>
      </c>
      <c r="L11" s="56"/>
      <c r="M11" s="86" t="s">
        <v>94</v>
      </c>
      <c r="N11" s="88"/>
      <c r="O11" s="56">
        <f>AC16</f>
        <v>34927.359999999993</v>
      </c>
      <c r="P11" s="88">
        <f>AD24</f>
        <v>3</v>
      </c>
      <c r="Q11" s="56">
        <f>O11*P11</f>
        <v>104782.07999999999</v>
      </c>
      <c r="R11" s="58"/>
      <c r="S11" s="86" t="s">
        <v>94</v>
      </c>
      <c r="T11" s="88"/>
      <c r="U11" s="56">
        <f>AC16</f>
        <v>34927.359999999993</v>
      </c>
      <c r="V11" s="88">
        <f>$AE$24</f>
        <v>4</v>
      </c>
      <c r="W11" s="56">
        <f>U11*V11</f>
        <v>139709.43999999997</v>
      </c>
      <c r="X11" s="58"/>
      <c r="Y11" s="58"/>
      <c r="Z11" s="54"/>
      <c r="AA11" s="54"/>
      <c r="AB11" s="98"/>
      <c r="AC11" s="99"/>
      <c r="AD11" s="59"/>
      <c r="AE11" s="59"/>
    </row>
    <row r="12" spans="1:31" s="56" customFormat="1" x14ac:dyDescent="0.2">
      <c r="A12" s="100" t="s">
        <v>95</v>
      </c>
      <c r="B12" s="100"/>
      <c r="C12" s="101"/>
      <c r="D12" s="102">
        <f>SUM(D7:D11)</f>
        <v>28.840000000000003</v>
      </c>
      <c r="E12" s="101">
        <f>SUM(E7:E11)</f>
        <v>1188709.1584000001</v>
      </c>
      <c r="F12" s="63"/>
      <c r="G12" s="100" t="s">
        <v>95</v>
      </c>
      <c r="H12" s="100"/>
      <c r="I12" s="101"/>
      <c r="J12" s="102">
        <f>SUM(J7:J11)</f>
        <v>30.58</v>
      </c>
      <c r="K12" s="101">
        <f>SUM(K7:K11)</f>
        <v>1249482.7648</v>
      </c>
      <c r="L12" s="73"/>
      <c r="M12" s="100" t="s">
        <v>95</v>
      </c>
      <c r="N12" s="100"/>
      <c r="O12" s="101"/>
      <c r="P12" s="102">
        <f>SUM(P7:P11)</f>
        <v>30.58</v>
      </c>
      <c r="Q12" s="101">
        <f>SUM(Q7:Q11)</f>
        <v>1249482.7648</v>
      </c>
      <c r="R12" s="63"/>
      <c r="S12" s="100" t="s">
        <v>95</v>
      </c>
      <c r="T12" s="100"/>
      <c r="U12" s="101"/>
      <c r="V12" s="102">
        <f>SUM(V7:V11)</f>
        <v>33.799999999999997</v>
      </c>
      <c r="W12" s="101">
        <f>SUM(W7:W11)</f>
        <v>1386677.9839999997</v>
      </c>
      <c r="X12" s="58"/>
      <c r="Y12" s="58"/>
      <c r="Z12" s="635" t="s">
        <v>89</v>
      </c>
      <c r="AA12" s="103"/>
      <c r="AB12" s="103"/>
      <c r="AC12" s="103">
        <f>'2020 BLS Chart'!C16</f>
        <v>69600</v>
      </c>
      <c r="AD12" s="123" t="s">
        <v>96</v>
      </c>
      <c r="AE12" s="636"/>
    </row>
    <row r="13" spans="1:31" s="73" customFormat="1" x14ac:dyDescent="0.2">
      <c r="A13" s="74"/>
      <c r="B13" s="74"/>
      <c r="C13" s="63"/>
      <c r="D13" s="104"/>
      <c r="E13" s="63"/>
      <c r="F13" s="63"/>
      <c r="G13" s="74"/>
      <c r="H13" s="74"/>
      <c r="I13" s="63"/>
      <c r="J13" s="104"/>
      <c r="K13" s="63"/>
      <c r="M13" s="74"/>
      <c r="N13" s="74"/>
      <c r="O13" s="63"/>
      <c r="P13" s="104"/>
      <c r="Q13" s="63"/>
      <c r="R13" s="63"/>
      <c r="S13" s="74"/>
      <c r="T13" s="74"/>
      <c r="U13" s="63"/>
      <c r="V13" s="104"/>
      <c r="W13" s="63"/>
      <c r="X13" s="63"/>
      <c r="Y13" s="63"/>
      <c r="Z13" s="637" t="s">
        <v>97</v>
      </c>
      <c r="AA13" s="58"/>
      <c r="AB13" s="54"/>
      <c r="AC13" s="58">
        <f>'2020 BLS Chart'!C20</f>
        <v>84385.600000000006</v>
      </c>
      <c r="AD13" s="54" t="s">
        <v>96</v>
      </c>
      <c r="AE13" s="163"/>
    </row>
    <row r="14" spans="1:31" s="73" customFormat="1" x14ac:dyDescent="0.2">
      <c r="A14" s="73" t="s">
        <v>98</v>
      </c>
      <c r="C14" s="62"/>
      <c r="D14" s="61" t="s">
        <v>99</v>
      </c>
      <c r="E14" s="62"/>
      <c r="F14" s="63"/>
      <c r="G14" s="73" t="s">
        <v>98</v>
      </c>
      <c r="I14" s="62"/>
      <c r="J14" s="61" t="s">
        <v>99</v>
      </c>
      <c r="K14" s="62"/>
      <c r="M14" s="73" t="s">
        <v>98</v>
      </c>
      <c r="O14" s="62"/>
      <c r="P14" s="61" t="s">
        <v>99</v>
      </c>
      <c r="Q14" s="62"/>
      <c r="R14" s="63"/>
      <c r="S14" s="73" t="s">
        <v>98</v>
      </c>
      <c r="U14" s="62"/>
      <c r="V14" s="61" t="s">
        <v>99</v>
      </c>
      <c r="W14" s="62"/>
      <c r="X14" s="63"/>
      <c r="Y14" s="63"/>
      <c r="Z14" s="637" t="s">
        <v>100</v>
      </c>
      <c r="AA14" s="58"/>
      <c r="AB14" s="54"/>
      <c r="AC14" s="58">
        <f>'2020 BLS Chart'!C18</f>
        <v>63627.199999999997</v>
      </c>
      <c r="AD14" s="54" t="s">
        <v>96</v>
      </c>
      <c r="AE14" s="163"/>
    </row>
    <row r="15" spans="1:31" s="73" customFormat="1" x14ac:dyDescent="0.2">
      <c r="A15" s="56" t="str">
        <f>Z42</f>
        <v>PFMLA Trust Contribution</v>
      </c>
      <c r="B15" s="59"/>
      <c r="C15" s="105">
        <f>AB42</f>
        <v>3.7000000000000002E-3</v>
      </c>
      <c r="D15" s="57"/>
      <c r="E15" s="56">
        <f>E12*C15</f>
        <v>4398.2238860800007</v>
      </c>
      <c r="F15" s="58"/>
      <c r="G15" s="56" t="str">
        <f>A15</f>
        <v>PFMLA Trust Contribution</v>
      </c>
      <c r="H15" s="59"/>
      <c r="I15" s="56"/>
      <c r="J15" s="106">
        <f>AB42</f>
        <v>3.7000000000000002E-3</v>
      </c>
      <c r="K15" s="56">
        <f>K12*J15</f>
        <v>4623.0862297600006</v>
      </c>
      <c r="L15" s="59"/>
      <c r="M15" s="56" t="str">
        <f>G15</f>
        <v>PFMLA Trust Contribution</v>
      </c>
      <c r="N15" s="59"/>
      <c r="O15" s="56"/>
      <c r="P15" s="106">
        <f>AB42</f>
        <v>3.7000000000000002E-3</v>
      </c>
      <c r="Q15" s="56">
        <f>Q12*P15</f>
        <v>4623.0862297600006</v>
      </c>
      <c r="R15" s="58"/>
      <c r="S15" s="56" t="str">
        <f>M15</f>
        <v>PFMLA Trust Contribution</v>
      </c>
      <c r="T15" s="59"/>
      <c r="U15" s="56"/>
      <c r="V15" s="106">
        <f>AB42</f>
        <v>3.7000000000000002E-3</v>
      </c>
      <c r="W15" s="56">
        <f>W12*V15</f>
        <v>5130.7085407999994</v>
      </c>
      <c r="X15" s="63"/>
      <c r="Y15" s="63"/>
      <c r="Z15" s="638" t="s">
        <v>92</v>
      </c>
      <c r="AA15" s="628"/>
      <c r="AB15" s="54"/>
      <c r="AC15" s="58">
        <f>'2020 BLS Chart'!C6</f>
        <v>34927.359999999993</v>
      </c>
      <c r="AD15" s="54" t="s">
        <v>96</v>
      </c>
      <c r="AE15" s="163"/>
    </row>
    <row r="16" spans="1:31" s="73" customFormat="1" x14ac:dyDescent="0.2">
      <c r="A16" s="59" t="s">
        <v>101</v>
      </c>
      <c r="B16" s="59"/>
      <c r="C16" s="106">
        <f>'[9]Salary Bench Chart'!C30</f>
        <v>0.224</v>
      </c>
      <c r="D16" s="57"/>
      <c r="E16" s="56">
        <f>C16*E12</f>
        <v>266270.85148160002</v>
      </c>
      <c r="F16" s="58"/>
      <c r="G16" s="59" t="s">
        <v>101</v>
      </c>
      <c r="H16" s="59"/>
      <c r="I16" s="106">
        <f>'[9]Salary Bench Chart'!C30</f>
        <v>0.224</v>
      </c>
      <c r="J16" s="57"/>
      <c r="K16" s="56">
        <f>I16*K12</f>
        <v>279884.13931519998</v>
      </c>
      <c r="L16" s="59"/>
      <c r="M16" s="59" t="s">
        <v>101</v>
      </c>
      <c r="N16" s="59"/>
      <c r="O16" s="106">
        <f>'[9]Salary Bench Chart'!C30</f>
        <v>0.224</v>
      </c>
      <c r="P16" s="57"/>
      <c r="Q16" s="56">
        <f>O16*Q12</f>
        <v>279884.13931519998</v>
      </c>
      <c r="R16" s="58"/>
      <c r="S16" s="59" t="s">
        <v>101</v>
      </c>
      <c r="T16" s="59"/>
      <c r="U16" s="106">
        <f>'[9]Salary Bench Chart'!C30</f>
        <v>0.224</v>
      </c>
      <c r="V16" s="57"/>
      <c r="W16" s="56">
        <f>U16*W12</f>
        <v>310615.86841599992</v>
      </c>
      <c r="X16" s="63"/>
      <c r="Y16" s="63"/>
      <c r="Z16" s="637" t="s">
        <v>94</v>
      </c>
      <c r="AA16" s="58"/>
      <c r="AB16" s="54"/>
      <c r="AC16" s="58">
        <f>'2020 BLS Chart'!C6</f>
        <v>34927.359999999993</v>
      </c>
      <c r="AD16" s="54" t="s">
        <v>96</v>
      </c>
      <c r="AE16" s="163"/>
    </row>
    <row r="17" spans="1:34" x14ac:dyDescent="0.2">
      <c r="A17" s="107" t="s">
        <v>102</v>
      </c>
      <c r="B17" s="107"/>
      <c r="C17" s="108"/>
      <c r="D17" s="109"/>
      <c r="E17" s="101">
        <f>E16+E12+E15</f>
        <v>1459378.2337676801</v>
      </c>
      <c r="F17" s="58"/>
      <c r="G17" s="107" t="s">
        <v>102</v>
      </c>
      <c r="H17" s="107"/>
      <c r="I17" s="108"/>
      <c r="J17" s="109"/>
      <c r="K17" s="101">
        <f>K16+K12+K15</f>
        <v>1533989.99034496</v>
      </c>
      <c r="M17" s="107" t="s">
        <v>102</v>
      </c>
      <c r="N17" s="107"/>
      <c r="O17" s="108"/>
      <c r="P17" s="109">
        <f>Q17/Q3</f>
        <v>210.13561511574795</v>
      </c>
      <c r="Q17" s="101">
        <f>Q16+Q12+Q15</f>
        <v>1533989.99034496</v>
      </c>
      <c r="R17" s="63"/>
      <c r="S17" s="107" t="s">
        <v>102</v>
      </c>
      <c r="T17" s="107"/>
      <c r="U17" s="108"/>
      <c r="V17" s="109">
        <f>W17/W3</f>
        <v>186.56707517334792</v>
      </c>
      <c r="W17" s="101">
        <f>W16+W12+W15</f>
        <v>1702424.5609567997</v>
      </c>
      <c r="Z17" s="637"/>
      <c r="AC17" s="639"/>
      <c r="AD17" s="54"/>
      <c r="AE17" s="163"/>
    </row>
    <row r="18" spans="1:34" x14ac:dyDescent="0.2">
      <c r="A18" s="59" t="s">
        <v>103</v>
      </c>
      <c r="C18" s="56"/>
      <c r="D18" s="57"/>
      <c r="E18" s="56">
        <v>25000</v>
      </c>
      <c r="F18" s="58"/>
      <c r="G18" s="59" t="s">
        <v>103</v>
      </c>
      <c r="H18" s="59"/>
      <c r="K18" s="56">
        <v>25000</v>
      </c>
      <c r="M18" s="59" t="s">
        <v>103</v>
      </c>
      <c r="N18" s="59"/>
      <c r="O18" s="56"/>
      <c r="P18" s="57"/>
      <c r="Q18" s="56">
        <v>30000</v>
      </c>
      <c r="R18" s="58"/>
      <c r="S18" s="59" t="s">
        <v>103</v>
      </c>
      <c r="T18" s="59"/>
      <c r="U18" s="56"/>
      <c r="V18" s="57"/>
      <c r="W18" s="56">
        <v>30000</v>
      </c>
      <c r="X18" s="63"/>
      <c r="Y18" s="63"/>
      <c r="Z18" s="637"/>
      <c r="AB18" s="715" t="s">
        <v>86</v>
      </c>
      <c r="AC18" s="715"/>
      <c r="AD18" s="715"/>
      <c r="AE18" s="716"/>
    </row>
    <row r="19" spans="1:34" x14ac:dyDescent="0.2">
      <c r="A19" s="59" t="s">
        <v>104</v>
      </c>
      <c r="C19" s="56"/>
      <c r="D19" s="88">
        <f>$AB$34</f>
        <v>42.238306545565408</v>
      </c>
      <c r="E19" s="56">
        <f>D19*E$3</f>
        <v>185003.7826695765</v>
      </c>
      <c r="F19" s="58"/>
      <c r="G19" s="59" t="s">
        <v>104</v>
      </c>
      <c r="H19" s="59"/>
      <c r="J19" s="88">
        <f>$AB$34</f>
        <v>42.238306545565408</v>
      </c>
      <c r="K19" s="56">
        <f>J19*K$3</f>
        <v>238963.21928153629</v>
      </c>
      <c r="M19" s="59" t="s">
        <v>104</v>
      </c>
      <c r="N19" s="59"/>
      <c r="O19" s="56"/>
      <c r="P19" s="88">
        <f>$AB$34</f>
        <v>42.238306545565408</v>
      </c>
      <c r="Q19" s="56">
        <f>P19*Q$3</f>
        <v>308339.63778262748</v>
      </c>
      <c r="R19" s="58"/>
      <c r="S19" s="59" t="s">
        <v>104</v>
      </c>
      <c r="T19" s="59"/>
      <c r="U19" s="56"/>
      <c r="V19" s="88">
        <f>$AB$34</f>
        <v>42.238306545565408</v>
      </c>
      <c r="W19" s="56">
        <f>V19*W$3</f>
        <v>385424.54722828435</v>
      </c>
      <c r="Z19" s="640"/>
      <c r="AA19" s="641" t="s">
        <v>105</v>
      </c>
      <c r="AB19" s="642" t="s">
        <v>76</v>
      </c>
      <c r="AC19" s="643" t="s">
        <v>78</v>
      </c>
      <c r="AD19" s="644" t="s">
        <v>79</v>
      </c>
      <c r="AE19" s="645" t="s">
        <v>106</v>
      </c>
    </row>
    <row r="20" spans="1:34" x14ac:dyDescent="0.2">
      <c r="A20" s="59" t="s">
        <v>107</v>
      </c>
      <c r="C20" s="56"/>
      <c r="D20" s="110">
        <f>$AB37</f>
        <v>26.875662441773173</v>
      </c>
      <c r="E20" s="56">
        <f>D20*E$3</f>
        <v>117715.4014949665</v>
      </c>
      <c r="F20" s="58"/>
      <c r="G20" s="59" t="s">
        <v>107</v>
      </c>
      <c r="H20" s="59"/>
      <c r="J20" s="110">
        <f>$AB37</f>
        <v>26.875662441773173</v>
      </c>
      <c r="K20" s="56">
        <f>J20*K$3</f>
        <v>152049.06026433173</v>
      </c>
      <c r="M20" s="59" t="s">
        <v>107</v>
      </c>
      <c r="N20" s="59"/>
      <c r="O20" s="56"/>
      <c r="P20" s="110">
        <f>$AB37</f>
        <v>26.875662441773173</v>
      </c>
      <c r="Q20" s="56">
        <f>P20*Q$3</f>
        <v>196192.33582494417</v>
      </c>
      <c r="R20" s="58"/>
      <c r="S20" s="59" t="s">
        <v>107</v>
      </c>
      <c r="T20" s="59"/>
      <c r="U20" s="56"/>
      <c r="V20" s="110">
        <f>$AB37</f>
        <v>26.875662441773173</v>
      </c>
      <c r="W20" s="56">
        <f>V20*W$3</f>
        <v>245240.41978118022</v>
      </c>
      <c r="Z20" s="637" t="s">
        <v>89</v>
      </c>
      <c r="AB20" s="112">
        <v>2.15</v>
      </c>
      <c r="AC20" s="112">
        <v>2.15</v>
      </c>
      <c r="AD20" s="112">
        <v>2.15</v>
      </c>
      <c r="AE20" s="149">
        <v>2.15</v>
      </c>
    </row>
    <row r="21" spans="1:34" x14ac:dyDescent="0.2">
      <c r="C21" s="56"/>
      <c r="D21" s="111"/>
      <c r="E21" s="56"/>
      <c r="F21" s="58"/>
      <c r="H21" s="59"/>
      <c r="J21" s="111"/>
      <c r="M21" s="59"/>
      <c r="N21" s="59"/>
      <c r="O21" s="56"/>
      <c r="P21" s="111"/>
      <c r="Q21" s="56"/>
      <c r="R21" s="58"/>
      <c r="S21" s="59"/>
      <c r="T21" s="59"/>
      <c r="U21" s="56"/>
      <c r="V21" s="111"/>
      <c r="W21" s="56"/>
      <c r="Z21" s="637" t="s">
        <v>108</v>
      </c>
      <c r="AB21" s="112">
        <v>3</v>
      </c>
      <c r="AC21" s="112">
        <v>3</v>
      </c>
      <c r="AD21" s="112">
        <v>3</v>
      </c>
      <c r="AE21" s="160">
        <v>4</v>
      </c>
    </row>
    <row r="22" spans="1:34" x14ac:dyDescent="0.2">
      <c r="A22" s="100" t="s">
        <v>109</v>
      </c>
      <c r="B22" s="100"/>
      <c r="C22" s="101"/>
      <c r="D22" s="102"/>
      <c r="E22" s="101">
        <f>SUM(E17:E20)</f>
        <v>1787097.4179322233</v>
      </c>
      <c r="F22" s="63"/>
      <c r="G22" s="100" t="s">
        <v>109</v>
      </c>
      <c r="H22" s="100"/>
      <c r="I22" s="101"/>
      <c r="J22" s="102"/>
      <c r="K22" s="101">
        <f>SUM(K17:K20)</f>
        <v>1950002.2698908281</v>
      </c>
      <c r="M22" s="100" t="s">
        <v>109</v>
      </c>
      <c r="N22" s="100"/>
      <c r="O22" s="101"/>
      <c r="P22" s="102"/>
      <c r="Q22" s="101">
        <f>SUM(Q17:Q20)</f>
        <v>2068521.9639525316</v>
      </c>
      <c r="R22" s="63"/>
      <c r="S22" s="100" t="s">
        <v>109</v>
      </c>
      <c r="T22" s="100"/>
      <c r="U22" s="101"/>
      <c r="V22" s="102"/>
      <c r="W22" s="101">
        <f>SUM(W17:W20)</f>
        <v>2363089.5279662642</v>
      </c>
      <c r="Z22" s="637" t="s">
        <v>94</v>
      </c>
      <c r="AB22" s="112"/>
      <c r="AC22" s="112"/>
      <c r="AD22" s="112"/>
      <c r="AE22" s="160"/>
    </row>
    <row r="23" spans="1:34" x14ac:dyDescent="0.2">
      <c r="A23" s="59" t="s">
        <v>110</v>
      </c>
      <c r="C23" s="106">
        <f>'[9]Salary Bench Chart'!C33</f>
        <v>0.12</v>
      </c>
      <c r="D23" s="88"/>
      <c r="E23" s="56">
        <f>C23*E22</f>
        <v>214451.69015186679</v>
      </c>
      <c r="F23" s="58"/>
      <c r="G23" s="59" t="s">
        <v>110</v>
      </c>
      <c r="H23" s="59"/>
      <c r="I23" s="106">
        <f>'[9]Salary Bench Chart'!C33</f>
        <v>0.12</v>
      </c>
      <c r="J23" s="88"/>
      <c r="K23" s="56">
        <f>I23*K22</f>
        <v>234000.27238689936</v>
      </c>
      <c r="M23" s="59" t="s">
        <v>110</v>
      </c>
      <c r="N23" s="59"/>
      <c r="O23" s="106">
        <f>'[9]Salary Bench Chart'!C33</f>
        <v>0.12</v>
      </c>
      <c r="P23" s="88"/>
      <c r="Q23" s="56">
        <f>O23*Q22</f>
        <v>248222.63567430378</v>
      </c>
      <c r="R23" s="58"/>
      <c r="S23" s="59" t="s">
        <v>110</v>
      </c>
      <c r="T23" s="59"/>
      <c r="U23" s="106">
        <f>'[9]Salary Bench Chart'!C33</f>
        <v>0.12</v>
      </c>
      <c r="V23" s="88"/>
      <c r="W23" s="56">
        <f>U23*W22</f>
        <v>283570.74335595168</v>
      </c>
      <c r="Z23" s="637" t="s">
        <v>111</v>
      </c>
      <c r="AB23" s="112">
        <v>0.75</v>
      </c>
      <c r="AC23" s="112">
        <v>0.9</v>
      </c>
      <c r="AD23" s="112">
        <f>'[10]Rate Options'!$F$22</f>
        <v>1</v>
      </c>
      <c r="AE23" s="160">
        <v>1.5</v>
      </c>
    </row>
    <row r="24" spans="1:34" ht="13.5" thickBot="1" x14ac:dyDescent="0.25">
      <c r="A24" s="113" t="s">
        <v>112</v>
      </c>
      <c r="B24" s="113"/>
      <c r="C24" s="114"/>
      <c r="D24" s="115"/>
      <c r="E24" s="114">
        <f>ROUND(SUM(E22:E23),2)</f>
        <v>2001549.11</v>
      </c>
      <c r="F24" s="63"/>
      <c r="G24" s="113" t="s">
        <v>112</v>
      </c>
      <c r="H24" s="113"/>
      <c r="I24" s="114"/>
      <c r="J24" s="115"/>
      <c r="K24" s="114">
        <f>ROUND(SUM(K22:K23),2)</f>
        <v>2184002.54</v>
      </c>
      <c r="L24" s="73"/>
      <c r="M24" s="113" t="s">
        <v>112</v>
      </c>
      <c r="N24" s="113"/>
      <c r="O24" s="114"/>
      <c r="P24" s="115"/>
      <c r="Q24" s="114">
        <f>ROUND(SUM(Q22:Q23),2)</f>
        <v>2316744.6</v>
      </c>
      <c r="R24" s="63"/>
      <c r="S24" s="113" t="s">
        <v>112</v>
      </c>
      <c r="T24" s="113"/>
      <c r="U24" s="114"/>
      <c r="V24" s="115"/>
      <c r="W24" s="114">
        <f>ROUND(SUM(W22:W23),2)</f>
        <v>2646660.27</v>
      </c>
      <c r="X24" s="63"/>
      <c r="Y24" s="63"/>
      <c r="Z24" s="637" t="s">
        <v>113</v>
      </c>
      <c r="AB24" s="112">
        <v>3</v>
      </c>
      <c r="AC24" s="112">
        <v>3</v>
      </c>
      <c r="AD24" s="112">
        <v>3</v>
      </c>
      <c r="AE24" s="160">
        <v>4</v>
      </c>
    </row>
    <row r="25" spans="1:34" ht="13.5" thickTop="1" x14ac:dyDescent="0.2">
      <c r="A25" s="73"/>
      <c r="B25" s="73"/>
      <c r="C25" s="62"/>
      <c r="D25" s="116"/>
      <c r="E25" s="62"/>
      <c r="F25" s="63"/>
      <c r="G25" s="73"/>
      <c r="H25" s="73"/>
      <c r="I25" s="62"/>
      <c r="J25" s="116"/>
      <c r="K25" s="62"/>
      <c r="L25" s="73"/>
      <c r="M25" s="73"/>
      <c r="N25" s="73"/>
      <c r="O25" s="62"/>
      <c r="P25" s="116"/>
      <c r="Q25" s="62"/>
      <c r="R25" s="63"/>
      <c r="S25" s="73"/>
      <c r="T25" s="73"/>
      <c r="U25" s="62"/>
      <c r="V25" s="116"/>
      <c r="W25" s="62"/>
      <c r="Z25" s="637"/>
      <c r="AB25" s="112"/>
      <c r="AC25" s="112"/>
      <c r="AD25" s="112"/>
      <c r="AE25" s="160"/>
    </row>
    <row r="26" spans="1:34" x14ac:dyDescent="0.2">
      <c r="A26" s="117" t="s">
        <v>114</v>
      </c>
      <c r="B26" s="117"/>
      <c r="C26" s="118"/>
      <c r="D26" s="118"/>
      <c r="E26" s="118">
        <f>E24/E3</f>
        <v>456.97468264840182</v>
      </c>
      <c r="F26" s="119"/>
      <c r="G26" s="117" t="s">
        <v>114</v>
      </c>
      <c r="H26" s="117"/>
      <c r="I26" s="118"/>
      <c r="J26" s="118"/>
      <c r="K26" s="118">
        <f>K24/K3</f>
        <v>386.03668404772429</v>
      </c>
      <c r="L26" s="120"/>
      <c r="M26" s="117" t="s">
        <v>114</v>
      </c>
      <c r="N26" s="117"/>
      <c r="O26" s="118"/>
      <c r="P26" s="118"/>
      <c r="Q26" s="118">
        <f>Q24/Q3</f>
        <v>317.36227397260274</v>
      </c>
      <c r="R26" s="120"/>
      <c r="S26" s="117" t="s">
        <v>114</v>
      </c>
      <c r="T26" s="117"/>
      <c r="U26" s="118"/>
      <c r="V26" s="118"/>
      <c r="W26" s="118">
        <f>W24/W3</f>
        <v>290.04496109589041</v>
      </c>
      <c r="Z26" s="637"/>
      <c r="AB26" s="112"/>
      <c r="AC26" s="112"/>
      <c r="AD26" s="112"/>
      <c r="AE26" s="160"/>
    </row>
    <row r="27" spans="1:34" s="73" customFormat="1" ht="15" customHeight="1" thickBot="1" x14ac:dyDescent="0.25">
      <c r="A27" s="117" t="s">
        <v>64</v>
      </c>
      <c r="B27" s="117"/>
      <c r="C27" s="121">
        <f>'[9]Salary Bench Chart'!C31</f>
        <v>1.0633805350099574E-2</v>
      </c>
      <c r="D27" s="118"/>
      <c r="E27" s="118"/>
      <c r="F27" s="119"/>
      <c r="G27" s="117" t="s">
        <v>64</v>
      </c>
      <c r="H27" s="117"/>
      <c r="I27" s="121">
        <f>'[9]Salary Bench Chart'!C31</f>
        <v>1.0633805350099574E-2</v>
      </c>
      <c r="J27" s="118"/>
      <c r="K27" s="118"/>
      <c r="L27" s="120"/>
      <c r="M27" s="117" t="s">
        <v>64</v>
      </c>
      <c r="N27" s="117"/>
      <c r="O27" s="121">
        <f>'[9]Salary Bench Chart'!C31</f>
        <v>1.0633805350099574E-2</v>
      </c>
      <c r="P27" s="118"/>
      <c r="Q27" s="118"/>
      <c r="R27" s="54"/>
      <c r="S27" s="117" t="s">
        <v>64</v>
      </c>
      <c r="T27" s="117"/>
      <c r="U27" s="121">
        <f>'[9]Salary Bench Chart'!C31</f>
        <v>1.0633805350099574E-2</v>
      </c>
      <c r="V27" s="118"/>
      <c r="W27" s="118"/>
      <c r="X27" s="63"/>
      <c r="Y27" s="63"/>
      <c r="Z27" s="637"/>
      <c r="AA27" s="58"/>
      <c r="AB27" s="717" t="s">
        <v>115</v>
      </c>
      <c r="AC27" s="717"/>
      <c r="AD27" s="717"/>
      <c r="AE27" s="718"/>
    </row>
    <row r="28" spans="1:34" s="73" customFormat="1" ht="13.5" thickBot="1" x14ac:dyDescent="0.25">
      <c r="A28" s="122" t="s">
        <v>116</v>
      </c>
      <c r="B28" s="123"/>
      <c r="C28" s="124">
        <v>0.9</v>
      </c>
      <c r="D28" s="103"/>
      <c r="E28" s="128">
        <f t="shared" ref="E28:E36" si="0">E$24*($C$27+1)/(E$3*C28)</f>
        <v>513.1489583040094</v>
      </c>
      <c r="F28" s="54"/>
      <c r="G28" s="122" t="s">
        <v>116</v>
      </c>
      <c r="H28" s="123"/>
      <c r="I28" s="124">
        <v>0.9</v>
      </c>
      <c r="J28" s="103"/>
      <c r="K28" s="125">
        <f t="shared" ref="K28:K36" si="1">$K$24*($I$27+1)/($K$3*I28)</f>
        <v>433.49080333765068</v>
      </c>
      <c r="L28" s="58"/>
      <c r="M28" s="122" t="s">
        <v>116</v>
      </c>
      <c r="N28" s="123"/>
      <c r="O28" s="124">
        <v>0.9</v>
      </c>
      <c r="P28" s="103"/>
      <c r="Q28" s="125">
        <f t="shared" ref="Q28:Q36" si="2">Q$24*(O$27+1)/(Q$3*O28)</f>
        <v>356.37449179943599</v>
      </c>
      <c r="R28" s="58"/>
      <c r="S28" s="122" t="s">
        <v>116</v>
      </c>
      <c r="T28" s="123"/>
      <c r="U28" s="124">
        <v>0.9</v>
      </c>
      <c r="V28" s="103"/>
      <c r="W28" s="125">
        <f t="shared" ref="W28:W36" si="3">W$24*(U$27+1)/(W$3*U28)</f>
        <v>325.69915861662372</v>
      </c>
      <c r="X28" s="63"/>
      <c r="Y28" s="63"/>
      <c r="Z28" s="637"/>
      <c r="AA28" s="641" t="s">
        <v>105</v>
      </c>
      <c r="AB28" s="642" t="s">
        <v>76</v>
      </c>
      <c r="AC28" s="643" t="s">
        <v>78</v>
      </c>
      <c r="AD28" s="644" t="s">
        <v>79</v>
      </c>
      <c r="AE28" s="645" t="s">
        <v>106</v>
      </c>
      <c r="AG28" s="116"/>
    </row>
    <row r="29" spans="1:34" s="120" customFormat="1" ht="13.15" customHeight="1" thickBot="1" x14ac:dyDescent="0.25">
      <c r="A29" s="126"/>
      <c r="B29" s="54"/>
      <c r="C29" s="127">
        <v>0.85</v>
      </c>
      <c r="D29" s="58"/>
      <c r="E29" s="128">
        <f t="shared" si="0"/>
        <v>543.33419114542176</v>
      </c>
      <c r="F29" s="54"/>
      <c r="G29" s="126"/>
      <c r="H29" s="54"/>
      <c r="I29" s="127">
        <v>0.85</v>
      </c>
      <c r="J29" s="58"/>
      <c r="K29" s="125">
        <f t="shared" si="1"/>
        <v>458.99026235751251</v>
      </c>
      <c r="L29" s="58"/>
      <c r="M29" s="126"/>
      <c r="N29" s="54"/>
      <c r="O29" s="127">
        <v>0.85</v>
      </c>
      <c r="P29" s="58"/>
      <c r="Q29" s="125">
        <f t="shared" si="2"/>
        <v>377.33769719940284</v>
      </c>
      <c r="R29" s="58"/>
      <c r="S29" s="126"/>
      <c r="T29" s="54"/>
      <c r="U29" s="127">
        <v>0.85</v>
      </c>
      <c r="V29" s="58"/>
      <c r="W29" s="125">
        <f t="shared" si="3"/>
        <v>344.85793265289567</v>
      </c>
      <c r="Z29" s="638" t="s">
        <v>117</v>
      </c>
      <c r="AA29" s="58"/>
      <c r="AB29" s="112">
        <v>0.57999999999999996</v>
      </c>
      <c r="AC29" s="112">
        <v>0.69099999999999995</v>
      </c>
      <c r="AD29" s="112">
        <v>0.89149999999999996</v>
      </c>
      <c r="AE29" s="160">
        <v>1.0349999999999999</v>
      </c>
    </row>
    <row r="30" spans="1:34" s="120" customFormat="1" ht="13.5" thickBot="1" x14ac:dyDescent="0.25">
      <c r="A30" s="126"/>
      <c r="B30" s="54"/>
      <c r="C30" s="127">
        <v>0.8</v>
      </c>
      <c r="D30" s="58"/>
      <c r="E30" s="128">
        <f t="shared" si="0"/>
        <v>577.29257809201067</v>
      </c>
      <c r="F30" s="54"/>
      <c r="G30" s="126"/>
      <c r="H30" s="54"/>
      <c r="I30" s="127">
        <v>0.8</v>
      </c>
      <c r="J30" s="58"/>
      <c r="K30" s="125">
        <f t="shared" si="1"/>
        <v>487.67715375485704</v>
      </c>
      <c r="L30" s="58"/>
      <c r="M30" s="126"/>
      <c r="N30" s="54"/>
      <c r="O30" s="127">
        <v>0.8</v>
      </c>
      <c r="P30" s="58"/>
      <c r="Q30" s="125">
        <f t="shared" si="2"/>
        <v>400.92130327436553</v>
      </c>
      <c r="R30" s="58"/>
      <c r="S30" s="126"/>
      <c r="T30" s="54"/>
      <c r="U30" s="127">
        <v>0.8</v>
      </c>
      <c r="V30" s="58"/>
      <c r="W30" s="125">
        <f t="shared" si="3"/>
        <v>366.41155344370168</v>
      </c>
      <c r="X30" s="54"/>
      <c r="Y30" s="54"/>
      <c r="Z30" s="638"/>
      <c r="AA30" s="58"/>
      <c r="AB30" s="112"/>
      <c r="AC30" s="112"/>
      <c r="AD30" s="112"/>
      <c r="AE30" s="160"/>
      <c r="AH30" s="120" t="s">
        <v>118</v>
      </c>
    </row>
    <row r="31" spans="1:34" ht="13.5" thickBot="1" x14ac:dyDescent="0.25">
      <c r="A31" s="126"/>
      <c r="B31" s="54"/>
      <c r="C31" s="127">
        <v>0.75</v>
      </c>
      <c r="D31" s="58"/>
      <c r="E31" s="128">
        <f t="shared" si="0"/>
        <v>615.77874996481137</v>
      </c>
      <c r="G31" s="126"/>
      <c r="I31" s="127">
        <v>0.75</v>
      </c>
      <c r="J31" s="58"/>
      <c r="K31" s="125">
        <f t="shared" si="1"/>
        <v>520.18896400518088</v>
      </c>
      <c r="M31" s="126"/>
      <c r="N31" s="54"/>
      <c r="O31" s="127">
        <v>0.75</v>
      </c>
      <c r="P31" s="58"/>
      <c r="Q31" s="125">
        <f t="shared" si="2"/>
        <v>427.64939015932322</v>
      </c>
      <c r="R31" s="58"/>
      <c r="S31" s="126"/>
      <c r="T31" s="54"/>
      <c r="U31" s="127">
        <v>0.75</v>
      </c>
      <c r="V31" s="58"/>
      <c r="W31" s="125">
        <f t="shared" si="3"/>
        <v>390.83899033994845</v>
      </c>
      <c r="X31" s="118"/>
      <c r="Y31" s="118"/>
      <c r="Z31" s="129" t="s">
        <v>98</v>
      </c>
      <c r="AA31" s="54"/>
      <c r="AC31" s="54"/>
      <c r="AD31" s="54"/>
      <c r="AE31" s="163"/>
    </row>
    <row r="32" spans="1:34" ht="13.5" thickBot="1" x14ac:dyDescent="0.25">
      <c r="A32" s="126"/>
      <c r="B32" s="54"/>
      <c r="C32" s="127">
        <v>0.7</v>
      </c>
      <c r="D32" s="58"/>
      <c r="E32" s="128">
        <f t="shared" si="0"/>
        <v>659.76294639086927</v>
      </c>
      <c r="G32" s="126"/>
      <c r="I32" s="127">
        <v>0.7</v>
      </c>
      <c r="J32" s="58"/>
      <c r="K32" s="125">
        <f t="shared" si="1"/>
        <v>557.34531857697959</v>
      </c>
      <c r="M32" s="126"/>
      <c r="N32" s="54"/>
      <c r="O32" s="127">
        <v>0.7</v>
      </c>
      <c r="P32" s="58"/>
      <c r="Q32" s="125">
        <f t="shared" si="2"/>
        <v>458.19577517070343</v>
      </c>
      <c r="R32" s="58"/>
      <c r="S32" s="126"/>
      <c r="T32" s="54"/>
      <c r="U32" s="127">
        <v>0.7</v>
      </c>
      <c r="V32" s="58"/>
      <c r="W32" s="125">
        <f t="shared" si="3"/>
        <v>418.75606107851615</v>
      </c>
      <c r="X32" s="118"/>
      <c r="Y32" s="118"/>
      <c r="Z32" s="129" t="s">
        <v>101</v>
      </c>
      <c r="AA32" s="54"/>
      <c r="AB32" s="121">
        <f>'[9]Salary Bench Chart'!C30</f>
        <v>0.224</v>
      </c>
      <c r="AC32" s="121" t="s">
        <v>119</v>
      </c>
      <c r="AD32" s="54"/>
      <c r="AE32" s="163"/>
    </row>
    <row r="33" spans="1:31" ht="13.5" thickBot="1" x14ac:dyDescent="0.25">
      <c r="A33" s="126"/>
      <c r="B33" s="54"/>
      <c r="C33" s="127">
        <v>0.65</v>
      </c>
      <c r="D33" s="58"/>
      <c r="E33" s="128">
        <f t="shared" si="0"/>
        <v>710.51394226708999</v>
      </c>
      <c r="G33" s="126"/>
      <c r="I33" s="127">
        <v>0.65</v>
      </c>
      <c r="J33" s="58"/>
      <c r="K33" s="125">
        <f t="shared" si="1"/>
        <v>600.21803539059329</v>
      </c>
      <c r="M33" s="126"/>
      <c r="N33" s="54"/>
      <c r="O33" s="127">
        <v>0.65</v>
      </c>
      <c r="P33" s="58"/>
      <c r="Q33" s="125">
        <f t="shared" si="2"/>
        <v>493.4416040299883</v>
      </c>
      <c r="R33" s="58"/>
      <c r="S33" s="126"/>
      <c r="T33" s="54"/>
      <c r="U33" s="127">
        <v>0.65</v>
      </c>
      <c r="V33" s="58"/>
      <c r="W33" s="125">
        <f t="shared" si="3"/>
        <v>450.96806577686357</v>
      </c>
      <c r="X33" s="118"/>
      <c r="Y33" s="118"/>
      <c r="Z33" s="129"/>
      <c r="AA33" s="54"/>
      <c r="AC33" s="226"/>
      <c r="AD33" s="54"/>
      <c r="AE33" s="163"/>
    </row>
    <row r="34" spans="1:31" ht="13.5" thickBot="1" x14ac:dyDescent="0.25">
      <c r="A34" s="126"/>
      <c r="B34" s="54"/>
      <c r="C34" s="127">
        <v>0.6</v>
      </c>
      <c r="D34" s="58"/>
      <c r="E34" s="128">
        <f t="shared" si="0"/>
        <v>769.72343745601415</v>
      </c>
      <c r="G34" s="126"/>
      <c r="I34" s="127">
        <v>0.6</v>
      </c>
      <c r="J34" s="58"/>
      <c r="K34" s="125">
        <f t="shared" si="1"/>
        <v>650.2362050064761</v>
      </c>
      <c r="M34" s="126"/>
      <c r="N34" s="54"/>
      <c r="O34" s="127">
        <v>0.6</v>
      </c>
      <c r="P34" s="58"/>
      <c r="Q34" s="125">
        <f t="shared" si="2"/>
        <v>534.56173769915404</v>
      </c>
      <c r="R34" s="58"/>
      <c r="S34" s="126"/>
      <c r="T34" s="54"/>
      <c r="U34" s="127">
        <v>0.6</v>
      </c>
      <c r="V34" s="58"/>
      <c r="W34" s="125">
        <f t="shared" si="3"/>
        <v>488.54873792493555</v>
      </c>
      <c r="X34" s="118"/>
      <c r="Y34" s="118"/>
      <c r="Z34" s="129" t="s">
        <v>120</v>
      </c>
      <c r="AA34" s="54"/>
      <c r="AB34" s="130">
        <f>'FY20 UFR Data'!M29</f>
        <v>42.238306545565408</v>
      </c>
      <c r="AC34" s="54" t="s">
        <v>121</v>
      </c>
      <c r="AD34" s="54"/>
      <c r="AE34" s="163"/>
    </row>
    <row r="35" spans="1:31" ht="13.5" thickBot="1" x14ac:dyDescent="0.25">
      <c r="A35" s="126"/>
      <c r="B35" s="54"/>
      <c r="C35" s="127">
        <v>0.55000000000000004</v>
      </c>
      <c r="D35" s="58"/>
      <c r="E35" s="128">
        <f t="shared" si="0"/>
        <v>839.69829540656087</v>
      </c>
      <c r="G35" s="126"/>
      <c r="I35" s="127">
        <v>0.55000000000000004</v>
      </c>
      <c r="J35" s="58"/>
      <c r="K35" s="125">
        <f t="shared" si="1"/>
        <v>709.3485872797919</v>
      </c>
      <c r="M35" s="126"/>
      <c r="N35" s="54"/>
      <c r="O35" s="127">
        <v>0.55000000000000004</v>
      </c>
      <c r="P35" s="58"/>
      <c r="Q35" s="125">
        <f t="shared" si="2"/>
        <v>583.158259308168</v>
      </c>
      <c r="R35" s="58"/>
      <c r="S35" s="126"/>
      <c r="T35" s="54"/>
      <c r="U35" s="127">
        <v>0.55000000000000004</v>
      </c>
      <c r="V35" s="58"/>
      <c r="W35" s="125">
        <f t="shared" si="3"/>
        <v>532.96225955447517</v>
      </c>
      <c r="X35" s="118"/>
      <c r="Y35" s="118"/>
      <c r="Z35" s="129" t="s">
        <v>122</v>
      </c>
      <c r="AA35" s="54"/>
      <c r="AB35" s="130">
        <f>'FY20 UFR Data'!M30</f>
        <v>21.119153272782704</v>
      </c>
      <c r="AC35" s="54" t="s">
        <v>121</v>
      </c>
      <c r="AD35" s="54"/>
      <c r="AE35" s="163"/>
    </row>
    <row r="36" spans="1:31" ht="13.5" thickBot="1" x14ac:dyDescent="0.25">
      <c r="A36" s="131"/>
      <c r="B36" s="132"/>
      <c r="C36" s="133">
        <v>0.5</v>
      </c>
      <c r="D36" s="134"/>
      <c r="E36" s="128">
        <f t="shared" si="0"/>
        <v>923.66812494721705</v>
      </c>
      <c r="G36" s="131"/>
      <c r="H36" s="132"/>
      <c r="I36" s="133">
        <v>0.5</v>
      </c>
      <c r="J36" s="134"/>
      <c r="K36" s="135">
        <f t="shared" si="1"/>
        <v>780.28344600777132</v>
      </c>
      <c r="M36" s="131"/>
      <c r="N36" s="132"/>
      <c r="O36" s="133">
        <v>0.5</v>
      </c>
      <c r="P36" s="134"/>
      <c r="Q36" s="135">
        <f t="shared" si="2"/>
        <v>641.4740852389848</v>
      </c>
      <c r="R36" s="58"/>
      <c r="S36" s="131"/>
      <c r="T36" s="132"/>
      <c r="U36" s="133">
        <v>0.5</v>
      </c>
      <c r="V36" s="134"/>
      <c r="W36" s="135">
        <f t="shared" si="3"/>
        <v>586.25848550992271</v>
      </c>
      <c r="X36" s="118"/>
      <c r="Y36" s="118"/>
      <c r="Z36" s="129" t="s">
        <v>123</v>
      </c>
      <c r="AA36" s="54"/>
      <c r="AB36" s="130">
        <f>'FY20 UFR Data'!M31</f>
        <v>7.0397177575942358</v>
      </c>
      <c r="AC36" s="54" t="s">
        <v>121</v>
      </c>
      <c r="AD36" s="54"/>
      <c r="AE36" s="136"/>
    </row>
    <row r="37" spans="1:31" x14ac:dyDescent="0.2">
      <c r="H37" s="59"/>
      <c r="I37" s="59"/>
      <c r="J37" s="59"/>
      <c r="K37" s="59"/>
      <c r="M37" s="59"/>
      <c r="N37" s="59"/>
      <c r="O37" s="59"/>
      <c r="P37" s="59"/>
      <c r="Q37" s="59"/>
      <c r="S37" s="59"/>
      <c r="T37" s="59"/>
      <c r="U37" s="59"/>
      <c r="V37" s="59"/>
      <c r="W37" s="59"/>
      <c r="X37" s="118"/>
      <c r="Y37" s="118"/>
      <c r="Z37" s="129" t="s">
        <v>107</v>
      </c>
      <c r="AA37" s="54"/>
      <c r="AB37" s="130">
        <f>'FY20 UFR Data'!O28</f>
        <v>26.875662441773173</v>
      </c>
      <c r="AC37" s="54" t="s">
        <v>121</v>
      </c>
      <c r="AD37" s="54"/>
      <c r="AE37" s="136"/>
    </row>
    <row r="38" spans="1:31" x14ac:dyDescent="0.2">
      <c r="E38" s="105"/>
      <c r="H38" s="59"/>
      <c r="I38" s="59"/>
      <c r="J38" s="59"/>
      <c r="K38" s="59"/>
      <c r="M38" s="59"/>
      <c r="N38" s="59"/>
      <c r="O38" s="59"/>
      <c r="P38" s="59"/>
      <c r="Q38" s="59"/>
      <c r="S38" s="59"/>
      <c r="T38" s="59"/>
      <c r="U38" s="59"/>
      <c r="V38" s="59"/>
      <c r="W38" s="59"/>
      <c r="X38" s="59"/>
      <c r="Y38" s="59"/>
      <c r="Z38" s="646"/>
      <c r="AA38" s="647"/>
      <c r="AB38" s="137"/>
      <c r="AC38" s="110"/>
      <c r="AD38" s="54"/>
      <c r="AE38" s="163"/>
    </row>
    <row r="39" spans="1:31" ht="13.5" thickBot="1" x14ac:dyDescent="0.25">
      <c r="X39" s="59"/>
      <c r="Y39" s="59"/>
      <c r="Z39" s="640"/>
      <c r="AA39" s="54"/>
      <c r="AB39" s="110"/>
      <c r="AC39" s="110"/>
      <c r="AD39" s="54"/>
      <c r="AE39" s="163"/>
    </row>
    <row r="40" spans="1:31" ht="13.5" thickBot="1" x14ac:dyDescent="0.25">
      <c r="A40" s="624" t="s">
        <v>124</v>
      </c>
      <c r="X40" s="59"/>
      <c r="Y40" s="59"/>
      <c r="Z40" s="640"/>
      <c r="AA40" s="54"/>
      <c r="AB40" s="110"/>
      <c r="AC40" s="110"/>
      <c r="AD40" s="54"/>
      <c r="AE40" s="163"/>
    </row>
    <row r="41" spans="1:31" x14ac:dyDescent="0.2">
      <c r="B41" s="54"/>
      <c r="C41" s="60" t="s">
        <v>68</v>
      </c>
      <c r="D41" s="61"/>
      <c r="E41" s="62"/>
      <c r="F41" s="63"/>
      <c r="I41" s="60" t="s">
        <v>69</v>
      </c>
      <c r="J41" s="61"/>
      <c r="K41" s="62"/>
      <c r="M41" s="59"/>
      <c r="N41" s="54"/>
      <c r="O41" s="60" t="s">
        <v>70</v>
      </c>
      <c r="P41" s="61"/>
      <c r="Q41" s="62"/>
      <c r="R41" s="63"/>
      <c r="S41" s="59"/>
      <c r="T41" s="54"/>
      <c r="U41" s="60" t="s">
        <v>71</v>
      </c>
      <c r="V41" s="61"/>
      <c r="W41" s="62"/>
      <c r="X41" s="59"/>
      <c r="Y41" s="59"/>
      <c r="Z41" s="640"/>
      <c r="AA41" s="54"/>
      <c r="AB41" s="110"/>
      <c r="AC41" s="110"/>
      <c r="AD41" s="54"/>
      <c r="AE41" s="163"/>
    </row>
    <row r="42" spans="1:31" x14ac:dyDescent="0.2">
      <c r="A42" s="66" t="s">
        <v>75</v>
      </c>
      <c r="B42" s="67" t="s">
        <v>76</v>
      </c>
      <c r="C42" s="68" t="s">
        <v>77</v>
      </c>
      <c r="D42" s="69">
        <v>365</v>
      </c>
      <c r="E42" s="70">
        <f>D42*B43</f>
        <v>4380</v>
      </c>
      <c r="F42" s="71"/>
      <c r="G42" s="66" t="s">
        <v>75</v>
      </c>
      <c r="H42" s="72" t="s">
        <v>78</v>
      </c>
      <c r="I42" s="68" t="s">
        <v>77</v>
      </c>
      <c r="J42" s="69">
        <v>365</v>
      </c>
      <c r="K42" s="70">
        <f>H43*J42</f>
        <v>5657.5</v>
      </c>
      <c r="L42" s="73"/>
      <c r="M42" s="66" t="s">
        <v>75</v>
      </c>
      <c r="N42" s="74" t="s">
        <v>79</v>
      </c>
      <c r="O42" s="68" t="s">
        <v>77</v>
      </c>
      <c r="P42" s="69">
        <v>365</v>
      </c>
      <c r="Q42" s="70">
        <f>N43*P42</f>
        <v>7300</v>
      </c>
      <c r="R42" s="71"/>
      <c r="S42" s="66" t="s">
        <v>75</v>
      </c>
      <c r="T42" s="74" t="s">
        <v>80</v>
      </c>
      <c r="U42" s="68" t="s">
        <v>77</v>
      </c>
      <c r="V42" s="69">
        <v>365</v>
      </c>
      <c r="W42" s="70">
        <f>T43*V42</f>
        <v>9125</v>
      </c>
      <c r="Z42" s="648" t="s">
        <v>125</v>
      </c>
      <c r="AA42" s="74"/>
      <c r="AB42" s="138">
        <f>'[9]Salary Bench Chart'!C32</f>
        <v>3.7000000000000002E-3</v>
      </c>
      <c r="AC42" s="104"/>
      <c r="AD42" s="74"/>
      <c r="AE42" s="163"/>
    </row>
    <row r="43" spans="1:31" x14ac:dyDescent="0.2">
      <c r="A43" s="66"/>
      <c r="B43" s="74">
        <v>12</v>
      </c>
      <c r="C43" s="68"/>
      <c r="D43" s="69"/>
      <c r="E43" s="70"/>
      <c r="F43" s="71"/>
      <c r="G43" s="66"/>
      <c r="H43" s="74">
        <v>15.5</v>
      </c>
      <c r="I43" s="68"/>
      <c r="J43" s="69"/>
      <c r="K43" s="70"/>
      <c r="L43" s="73"/>
      <c r="M43" s="66"/>
      <c r="N43" s="74">
        <v>20</v>
      </c>
      <c r="O43" s="68"/>
      <c r="P43" s="69"/>
      <c r="Q43" s="70"/>
      <c r="R43" s="71"/>
      <c r="S43" s="66"/>
      <c r="T43" s="74">
        <v>25</v>
      </c>
      <c r="U43" s="68"/>
      <c r="V43" s="69"/>
      <c r="W43" s="70"/>
      <c r="X43" s="73"/>
      <c r="Y43" s="73"/>
      <c r="Z43" s="129" t="s">
        <v>110</v>
      </c>
      <c r="AA43" s="54"/>
      <c r="AB43" s="141">
        <f>'[9]Salary Bench Chart'!C33</f>
        <v>0.12</v>
      </c>
      <c r="AC43" s="121"/>
      <c r="AD43" s="74"/>
      <c r="AE43" s="163"/>
    </row>
    <row r="44" spans="1:31" ht="13.5" thickBot="1" x14ac:dyDescent="0.25">
      <c r="A44" s="66"/>
      <c r="B44" s="74"/>
      <c r="C44" s="78"/>
      <c r="D44" s="69"/>
      <c r="E44" s="70"/>
      <c r="F44" s="71"/>
      <c r="G44" s="66"/>
      <c r="H44" s="74"/>
      <c r="I44" s="68"/>
      <c r="J44" s="69"/>
      <c r="K44" s="70"/>
      <c r="L44" s="73"/>
      <c r="M44" s="66"/>
      <c r="N44" s="74"/>
      <c r="O44" s="68"/>
      <c r="P44" s="69"/>
      <c r="Q44" s="70"/>
      <c r="R44" s="71"/>
      <c r="S44" s="66"/>
      <c r="T44" s="74"/>
      <c r="U44" s="68"/>
      <c r="V44" s="69"/>
      <c r="W44" s="70"/>
      <c r="X44" s="63"/>
      <c r="Y44" s="57"/>
      <c r="Z44" s="649" t="s">
        <v>64</v>
      </c>
      <c r="AA44" s="650"/>
      <c r="AB44" s="144">
        <f>'[9]Salary Bench Chart'!C31</f>
        <v>1.0633805350099574E-2</v>
      </c>
      <c r="AC44" s="145"/>
      <c r="AD44" s="146"/>
      <c r="AE44" s="651"/>
    </row>
    <row r="45" spans="1:31" ht="38.25" x14ac:dyDescent="0.2">
      <c r="A45" s="79"/>
      <c r="B45" s="80" t="s">
        <v>84</v>
      </c>
      <c r="C45" s="60" t="s">
        <v>85</v>
      </c>
      <c r="D45" s="81" t="s">
        <v>86</v>
      </c>
      <c r="E45" s="60" t="s">
        <v>87</v>
      </c>
      <c r="F45" s="82"/>
      <c r="G45" s="79"/>
      <c r="H45" s="80" t="s">
        <v>84</v>
      </c>
      <c r="I45" s="60" t="s">
        <v>85</v>
      </c>
      <c r="J45" s="81" t="s">
        <v>86</v>
      </c>
      <c r="K45" s="60" t="s">
        <v>87</v>
      </c>
      <c r="L45" s="79"/>
      <c r="M45" s="79"/>
      <c r="N45" s="80" t="s">
        <v>84</v>
      </c>
      <c r="O45" s="60" t="s">
        <v>85</v>
      </c>
      <c r="P45" s="81" t="s">
        <v>86</v>
      </c>
      <c r="Q45" s="60" t="s">
        <v>87</v>
      </c>
      <c r="R45" s="82"/>
      <c r="S45" s="79"/>
      <c r="T45" s="80" t="s">
        <v>84</v>
      </c>
      <c r="U45" s="60" t="s">
        <v>85</v>
      </c>
      <c r="V45" s="81" t="s">
        <v>86</v>
      </c>
      <c r="W45" s="60" t="s">
        <v>87</v>
      </c>
      <c r="X45" s="71"/>
      <c r="Y45" s="73"/>
      <c r="Z45" s="73"/>
      <c r="AA45" s="73"/>
      <c r="AB45" s="73"/>
      <c r="AC45" s="73"/>
      <c r="AD45" s="73"/>
      <c r="AE45" s="73"/>
    </row>
    <row r="46" spans="1:31" x14ac:dyDescent="0.2">
      <c r="A46" s="86" t="s">
        <v>89</v>
      </c>
      <c r="B46" s="87"/>
      <c r="C46" s="56">
        <f>$AC$12</f>
        <v>69600</v>
      </c>
      <c r="D46" s="88">
        <f>AB20</f>
        <v>2.15</v>
      </c>
      <c r="E46" s="56">
        <f>C46*D46</f>
        <v>149640</v>
      </c>
      <c r="F46" s="58"/>
      <c r="G46" s="86" t="s">
        <v>89</v>
      </c>
      <c r="H46" s="87"/>
      <c r="I46" s="56">
        <f>$AC$12</f>
        <v>69600</v>
      </c>
      <c r="J46" s="88">
        <f>AC20</f>
        <v>2.15</v>
      </c>
      <c r="K46" s="56">
        <f>I46*J46</f>
        <v>149640</v>
      </c>
      <c r="L46" s="56"/>
      <c r="M46" s="86" t="s">
        <v>89</v>
      </c>
      <c r="N46" s="87"/>
      <c r="O46" s="56">
        <f>$AC$12</f>
        <v>69600</v>
      </c>
      <c r="P46" s="88">
        <f>AD20</f>
        <v>2.15</v>
      </c>
      <c r="Q46" s="56">
        <f>O46*P46</f>
        <v>149640</v>
      </c>
      <c r="R46" s="58"/>
      <c r="S46" s="86" t="s">
        <v>89</v>
      </c>
      <c r="T46" s="87"/>
      <c r="U46" s="56">
        <f>$AC$12</f>
        <v>69600</v>
      </c>
      <c r="V46" s="88">
        <f>AE20</f>
        <v>2.15</v>
      </c>
      <c r="W46" s="56">
        <f>U46*V46</f>
        <v>149640</v>
      </c>
      <c r="X46" s="71"/>
      <c r="Y46" s="73"/>
      <c r="Z46" s="73"/>
      <c r="AA46" s="73"/>
      <c r="AB46" s="73"/>
      <c r="AC46" s="73"/>
      <c r="AD46" s="73"/>
      <c r="AE46" s="73"/>
    </row>
    <row r="47" spans="1:31" s="73" customFormat="1" x14ac:dyDescent="0.2">
      <c r="A47" s="86" t="str">
        <f>Z13</f>
        <v>Clinical Director</v>
      </c>
      <c r="B47" s="87"/>
      <c r="C47" s="56">
        <f>AC13</f>
        <v>84385.600000000006</v>
      </c>
      <c r="D47" s="88">
        <v>1</v>
      </c>
      <c r="E47" s="56">
        <f>C47*D47</f>
        <v>84385.600000000006</v>
      </c>
      <c r="F47" s="58"/>
      <c r="G47" s="86" t="str">
        <f>Z13</f>
        <v>Clinical Director</v>
      </c>
      <c r="H47" s="87"/>
      <c r="I47" s="56">
        <f>AC13</f>
        <v>84385.600000000006</v>
      </c>
      <c r="J47" s="88">
        <v>1</v>
      </c>
      <c r="K47" s="56">
        <f>I47*J47</f>
        <v>84385.600000000006</v>
      </c>
      <c r="L47" s="56"/>
      <c r="M47" s="86" t="str">
        <f>Z13</f>
        <v>Clinical Director</v>
      </c>
      <c r="N47" s="87"/>
      <c r="O47" s="56">
        <f>AC13</f>
        <v>84385.600000000006</v>
      </c>
      <c r="P47" s="88">
        <v>1</v>
      </c>
      <c r="Q47" s="56">
        <f>O47*P47</f>
        <v>84385.600000000006</v>
      </c>
      <c r="R47" s="58"/>
      <c r="S47" s="86" t="str">
        <f>Z13</f>
        <v>Clinical Director</v>
      </c>
      <c r="T47" s="87"/>
      <c r="U47" s="56">
        <f>AC13</f>
        <v>84385.600000000006</v>
      </c>
      <c r="V47" s="88">
        <v>1.5</v>
      </c>
      <c r="W47" s="56">
        <f>U47*V47</f>
        <v>126578.40000000001</v>
      </c>
      <c r="X47" s="71"/>
      <c r="Y47" s="74"/>
      <c r="Z47" s="69"/>
      <c r="AA47" s="74"/>
      <c r="AB47" s="74"/>
      <c r="AC47" s="74"/>
    </row>
    <row r="48" spans="1:31" s="73" customFormat="1" x14ac:dyDescent="0.2">
      <c r="A48" s="86" t="str">
        <f>Z14</f>
        <v>Clinical (LICSW)</v>
      </c>
      <c r="B48" s="87"/>
      <c r="C48" s="56">
        <f>AC14</f>
        <v>63627.199999999997</v>
      </c>
      <c r="D48" s="88">
        <v>2</v>
      </c>
      <c r="E48" s="56">
        <f>C48*D48</f>
        <v>127254.39999999999</v>
      </c>
      <c r="F48" s="58"/>
      <c r="G48" s="86" t="str">
        <f>Z14</f>
        <v>Clinical (LICSW)</v>
      </c>
      <c r="H48" s="87"/>
      <c r="I48" s="56">
        <f>AC14</f>
        <v>63627.199999999997</v>
      </c>
      <c r="J48" s="88">
        <v>2</v>
      </c>
      <c r="K48" s="56">
        <f>I48*J48</f>
        <v>127254.39999999999</v>
      </c>
      <c r="L48" s="56"/>
      <c r="M48" s="86" t="str">
        <f>Z14</f>
        <v>Clinical (LICSW)</v>
      </c>
      <c r="N48" s="87"/>
      <c r="O48" s="56">
        <f>AC14</f>
        <v>63627.199999999997</v>
      </c>
      <c r="P48" s="88">
        <v>2</v>
      </c>
      <c r="Q48" s="56">
        <f>O48*P48</f>
        <v>127254.39999999999</v>
      </c>
      <c r="R48" s="58"/>
      <c r="S48" s="86" t="str">
        <f>Z14</f>
        <v>Clinical (LICSW)</v>
      </c>
      <c r="T48" s="87"/>
      <c r="U48" s="56">
        <f>AC14</f>
        <v>63627.199999999997</v>
      </c>
      <c r="V48" s="88">
        <v>2</v>
      </c>
      <c r="W48" s="56">
        <f>U48*V48</f>
        <v>127254.39999999999</v>
      </c>
      <c r="X48" s="71"/>
      <c r="Y48" s="74"/>
      <c r="Z48" s="82"/>
      <c r="AA48" s="82"/>
      <c r="AB48" s="82"/>
      <c r="AC48" s="631"/>
      <c r="AD48" s="79"/>
      <c r="AE48" s="79"/>
    </row>
    <row r="49" spans="1:31" s="73" customFormat="1" x14ac:dyDescent="0.2">
      <c r="A49" s="95" t="s">
        <v>92</v>
      </c>
      <c r="B49" s="88">
        <v>0.57999999999999996</v>
      </c>
      <c r="C49" s="56">
        <f>AC15</f>
        <v>34927.359999999993</v>
      </c>
      <c r="D49" s="88">
        <v>20.69</v>
      </c>
      <c r="E49" s="56">
        <f>C49*D49</f>
        <v>722647.07839999988</v>
      </c>
      <c r="F49" s="58"/>
      <c r="G49" s="95" t="s">
        <v>92</v>
      </c>
      <c r="H49" s="88">
        <v>0.69</v>
      </c>
      <c r="I49" s="56">
        <f>AC15</f>
        <v>34927.359999999993</v>
      </c>
      <c r="J49" s="88">
        <v>22.43</v>
      </c>
      <c r="K49" s="56">
        <f>I49*J49</f>
        <v>783420.68479999981</v>
      </c>
      <c r="L49" s="97"/>
      <c r="M49" s="95" t="s">
        <v>92</v>
      </c>
      <c r="N49" s="88">
        <v>0.89</v>
      </c>
      <c r="O49" s="56">
        <f>AC15</f>
        <v>34927.359999999993</v>
      </c>
      <c r="P49" s="88">
        <v>22.43</v>
      </c>
      <c r="Q49" s="56">
        <f>O49*P49</f>
        <v>783420.68479999981</v>
      </c>
      <c r="R49" s="58"/>
      <c r="S49" s="95" t="s">
        <v>92</v>
      </c>
      <c r="T49" s="88">
        <v>1.04</v>
      </c>
      <c r="U49" s="56">
        <f>AC15</f>
        <v>34927.359999999993</v>
      </c>
      <c r="V49" s="88">
        <v>24.15</v>
      </c>
      <c r="W49" s="56">
        <f>U49*V49</f>
        <v>843495.74399999983</v>
      </c>
      <c r="X49" s="82"/>
      <c r="Y49" s="82"/>
      <c r="Z49" s="58"/>
      <c r="AA49" s="58"/>
      <c r="AB49" s="58"/>
      <c r="AC49" s="58"/>
      <c r="AD49" s="56"/>
      <c r="AE49" s="56"/>
    </row>
    <row r="50" spans="1:31" s="73" customFormat="1" x14ac:dyDescent="0.2">
      <c r="A50" s="86" t="s">
        <v>94</v>
      </c>
      <c r="B50" s="88"/>
      <c r="C50" s="56">
        <f t="shared" ref="C50" si="4">AC16</f>
        <v>34927.359999999993</v>
      </c>
      <c r="D50" s="88">
        <f>AB24</f>
        <v>3</v>
      </c>
      <c r="E50" s="56">
        <f>C50*D50</f>
        <v>104782.07999999999</v>
      </c>
      <c r="F50" s="58"/>
      <c r="G50" s="86" t="s">
        <v>94</v>
      </c>
      <c r="H50" s="88"/>
      <c r="I50" s="56">
        <f t="shared" ref="I50" si="5">AC16</f>
        <v>34927.359999999993</v>
      </c>
      <c r="J50" s="88">
        <f>AC24</f>
        <v>3</v>
      </c>
      <c r="K50" s="56">
        <f>I50*J50</f>
        <v>104782.07999999999</v>
      </c>
      <c r="L50" s="56"/>
      <c r="M50" s="86" t="s">
        <v>94</v>
      </c>
      <c r="N50" s="88"/>
      <c r="O50" s="56">
        <f t="shared" ref="O50" si="6">AC16</f>
        <v>34927.359999999993</v>
      </c>
      <c r="P50" s="88">
        <f>AD24</f>
        <v>3</v>
      </c>
      <c r="Q50" s="56">
        <f>O50*P50</f>
        <v>104782.07999999999</v>
      </c>
      <c r="R50" s="58"/>
      <c r="S50" s="86" t="s">
        <v>94</v>
      </c>
      <c r="T50" s="88"/>
      <c r="U50" s="56">
        <f t="shared" ref="U50" si="7">AC16</f>
        <v>34927.359999999993</v>
      </c>
      <c r="V50" s="88">
        <f>AE24</f>
        <v>4</v>
      </c>
      <c r="W50" s="56">
        <f>U50*V50</f>
        <v>139709.43999999997</v>
      </c>
      <c r="X50" s="58"/>
      <c r="Y50" s="76"/>
      <c r="Z50" s="76"/>
      <c r="AA50" s="58"/>
      <c r="AB50" s="58"/>
      <c r="AC50" s="58"/>
      <c r="AD50" s="56"/>
      <c r="AE50" s="56"/>
    </row>
    <row r="51" spans="1:31" s="79" customFormat="1" ht="28.5" customHeight="1" x14ac:dyDescent="0.2">
      <c r="A51" s="100" t="s">
        <v>95</v>
      </c>
      <c r="B51" s="100"/>
      <c r="C51" s="101"/>
      <c r="D51" s="102">
        <f>SUM(D46:D50)</f>
        <v>28.840000000000003</v>
      </c>
      <c r="E51" s="101">
        <f>SUM(E46:E50)</f>
        <v>1188709.1584000001</v>
      </c>
      <c r="F51" s="63"/>
      <c r="G51" s="100" t="s">
        <v>95</v>
      </c>
      <c r="H51" s="100"/>
      <c r="I51" s="101"/>
      <c r="J51" s="102">
        <f>SUM(J46:J50)</f>
        <v>30.58</v>
      </c>
      <c r="K51" s="101">
        <f>SUM(K46:K50)</f>
        <v>1249482.7648</v>
      </c>
      <c r="L51" s="73"/>
      <c r="M51" s="100" t="s">
        <v>95</v>
      </c>
      <c r="N51" s="100"/>
      <c r="O51" s="101"/>
      <c r="P51" s="102">
        <f>SUM(P46:P50)</f>
        <v>30.58</v>
      </c>
      <c r="Q51" s="101">
        <f>SUM(Q46:Q50)</f>
        <v>1249482.7648</v>
      </c>
      <c r="R51" s="63"/>
      <c r="S51" s="100" t="s">
        <v>95</v>
      </c>
      <c r="T51" s="100"/>
      <c r="U51" s="101"/>
      <c r="V51" s="102">
        <f>SUM(V46:V50)</f>
        <v>33.799999999999997</v>
      </c>
      <c r="W51" s="101">
        <f>SUM(W46:W50)</f>
        <v>1386677.9839999997</v>
      </c>
      <c r="X51" s="58"/>
      <c r="Y51" s="82"/>
      <c r="Z51" s="76"/>
      <c r="AA51" s="58"/>
      <c r="AB51" s="58"/>
      <c r="AC51" s="58"/>
      <c r="AD51" s="56"/>
      <c r="AE51" s="56"/>
    </row>
    <row r="52" spans="1:31" s="56" customFormat="1" x14ac:dyDescent="0.2">
      <c r="A52" s="74"/>
      <c r="B52" s="74"/>
      <c r="C52" s="63"/>
      <c r="D52" s="104"/>
      <c r="E52" s="63"/>
      <c r="F52" s="63"/>
      <c r="G52" s="74"/>
      <c r="H52" s="74"/>
      <c r="I52" s="63"/>
      <c r="J52" s="104"/>
      <c r="K52" s="63"/>
      <c r="L52" s="73"/>
      <c r="M52" s="74"/>
      <c r="N52" s="74"/>
      <c r="O52" s="63"/>
      <c r="P52" s="104"/>
      <c r="Q52" s="63"/>
      <c r="R52" s="63"/>
      <c r="S52" s="74"/>
      <c r="T52" s="74"/>
      <c r="U52" s="63"/>
      <c r="V52" s="104"/>
      <c r="W52" s="63"/>
      <c r="X52" s="58"/>
      <c r="Y52" s="75"/>
      <c r="Z52" s="76"/>
      <c r="AA52" s="628"/>
      <c r="AB52" s="628"/>
      <c r="AC52" s="628"/>
      <c r="AD52" s="97"/>
      <c r="AE52" s="97"/>
    </row>
    <row r="53" spans="1:31" s="56" customFormat="1" x14ac:dyDescent="0.2">
      <c r="A53" s="73" t="s">
        <v>98</v>
      </c>
      <c r="B53" s="73"/>
      <c r="C53" s="62"/>
      <c r="D53" s="61" t="s">
        <v>99</v>
      </c>
      <c r="E53" s="62"/>
      <c r="F53" s="63"/>
      <c r="G53" s="73" t="s">
        <v>98</v>
      </c>
      <c r="H53" s="73"/>
      <c r="I53" s="62"/>
      <c r="J53" s="61" t="s">
        <v>99</v>
      </c>
      <c r="K53" s="62"/>
      <c r="L53" s="73"/>
      <c r="M53" s="73" t="s">
        <v>98</v>
      </c>
      <c r="N53" s="73"/>
      <c r="O53" s="62"/>
      <c r="P53" s="61" t="s">
        <v>99</v>
      </c>
      <c r="Q53" s="62"/>
      <c r="R53" s="63"/>
      <c r="S53" s="73" t="s">
        <v>98</v>
      </c>
      <c r="T53" s="73"/>
      <c r="U53" s="62"/>
      <c r="V53" s="61" t="s">
        <v>99</v>
      </c>
      <c r="W53" s="62"/>
      <c r="X53" s="58"/>
      <c r="Y53" s="75"/>
      <c r="Z53" s="76"/>
      <c r="AA53" s="628"/>
      <c r="AB53" s="628"/>
      <c r="AC53" s="628"/>
      <c r="AD53" s="97"/>
      <c r="AE53" s="97"/>
    </row>
    <row r="54" spans="1:31" s="97" customFormat="1" x14ac:dyDescent="0.2">
      <c r="A54" s="59" t="s">
        <v>61</v>
      </c>
      <c r="B54" s="59"/>
      <c r="C54" s="106">
        <f>AB42</f>
        <v>3.7000000000000002E-3</v>
      </c>
      <c r="D54" s="57"/>
      <c r="E54" s="56">
        <f>E51*C54</f>
        <v>4398.2238860800007</v>
      </c>
      <c r="F54" s="58"/>
      <c r="G54" s="59" t="s">
        <v>61</v>
      </c>
      <c r="H54" s="59"/>
      <c r="I54" s="106">
        <f>AB42</f>
        <v>3.7000000000000002E-3</v>
      </c>
      <c r="J54" s="57"/>
      <c r="K54" s="56">
        <f>K51*I54</f>
        <v>4623.0862297600006</v>
      </c>
      <c r="L54" s="59"/>
      <c r="M54" s="59" t="s">
        <v>61</v>
      </c>
      <c r="N54" s="59"/>
      <c r="O54" s="106">
        <f>AB42</f>
        <v>3.7000000000000002E-3</v>
      </c>
      <c r="P54" s="57"/>
      <c r="Q54" s="56">
        <f>Q51*O54</f>
        <v>4623.0862297600006</v>
      </c>
      <c r="R54" s="58"/>
      <c r="S54" s="59" t="s">
        <v>61</v>
      </c>
      <c r="T54" s="59"/>
      <c r="U54" s="106">
        <f>AB42</f>
        <v>3.7000000000000002E-3</v>
      </c>
      <c r="V54" s="57"/>
      <c r="W54" s="56">
        <f>W51*U54</f>
        <v>5130.7085407999994</v>
      </c>
      <c r="X54" s="58"/>
      <c r="Y54" s="75"/>
      <c r="Z54" s="76"/>
      <c r="AA54" s="628"/>
      <c r="AB54" s="628"/>
      <c r="AC54" s="628"/>
    </row>
    <row r="55" spans="1:31" s="97" customFormat="1" x14ac:dyDescent="0.2">
      <c r="A55" s="59" t="s">
        <v>101</v>
      </c>
      <c r="B55" s="59"/>
      <c r="C55" s="106">
        <f>'[9]Salary Bench Chart'!C30</f>
        <v>0.224</v>
      </c>
      <c r="D55" s="57"/>
      <c r="E55" s="56">
        <f>C55*E51</f>
        <v>266270.85148160002</v>
      </c>
      <c r="F55" s="58"/>
      <c r="G55" s="59" t="s">
        <v>101</v>
      </c>
      <c r="H55" s="59"/>
      <c r="I55" s="106">
        <f>'[9]Salary Bench Chart'!C30</f>
        <v>0.224</v>
      </c>
      <c r="J55" s="57"/>
      <c r="K55" s="56">
        <f>I55*K51</f>
        <v>279884.13931519998</v>
      </c>
      <c r="L55" s="59"/>
      <c r="M55" s="59" t="s">
        <v>101</v>
      </c>
      <c r="N55" s="59"/>
      <c r="O55" s="106">
        <f>'[9]Salary Bench Chart'!C30</f>
        <v>0.224</v>
      </c>
      <c r="P55" s="57"/>
      <c r="Q55" s="56">
        <f>O55*Q51</f>
        <v>279884.13931519998</v>
      </c>
      <c r="R55" s="58"/>
      <c r="S55" s="59" t="s">
        <v>101</v>
      </c>
      <c r="T55" s="59"/>
      <c r="U55" s="106">
        <f>'[9]Salary Bench Chart'!C30</f>
        <v>0.224</v>
      </c>
      <c r="V55" s="57"/>
      <c r="W55" s="56">
        <f>U55*W51</f>
        <v>310615.86841599992</v>
      </c>
      <c r="X55" s="58"/>
      <c r="Y55" s="75"/>
      <c r="Z55" s="76"/>
      <c r="AA55" s="58"/>
      <c r="AB55" s="58"/>
      <c r="AC55" s="58"/>
      <c r="AD55" s="56"/>
      <c r="AE55" s="56"/>
    </row>
    <row r="56" spans="1:31" s="97" customFormat="1" x14ac:dyDescent="0.2">
      <c r="A56" s="107" t="s">
        <v>102</v>
      </c>
      <c r="B56" s="107"/>
      <c r="C56" s="108"/>
      <c r="D56" s="109">
        <f>E56/E42</f>
        <v>333.19137757252969</v>
      </c>
      <c r="E56" s="101">
        <f>E55+E51+E54</f>
        <v>1459378.2337676801</v>
      </c>
      <c r="F56" s="58"/>
      <c r="G56" s="107" t="s">
        <v>102</v>
      </c>
      <c r="H56" s="107"/>
      <c r="I56" s="108"/>
      <c r="J56" s="109">
        <f>K56/K42</f>
        <v>271.14272918161026</v>
      </c>
      <c r="K56" s="101">
        <f>K55+K51+K54</f>
        <v>1533989.99034496</v>
      </c>
      <c r="L56" s="58"/>
      <c r="M56" s="107" t="s">
        <v>102</v>
      </c>
      <c r="N56" s="107"/>
      <c r="O56" s="108"/>
      <c r="P56" s="109">
        <f>Q56/Q42</f>
        <v>210.13561511574795</v>
      </c>
      <c r="Q56" s="101">
        <f>Q55+Q51+Q54</f>
        <v>1533989.99034496</v>
      </c>
      <c r="R56" s="63"/>
      <c r="S56" s="107" t="s">
        <v>102</v>
      </c>
      <c r="T56" s="107"/>
      <c r="U56" s="108"/>
      <c r="V56" s="109">
        <f>W56/W42</f>
        <v>186.56707517334792</v>
      </c>
      <c r="W56" s="101">
        <f>W55+W51+W54</f>
        <v>1702424.5609567997</v>
      </c>
      <c r="X56" s="63"/>
      <c r="Y56" s="75"/>
      <c r="Z56" s="147"/>
      <c r="AA56" s="54"/>
      <c r="AB56" s="54"/>
      <c r="AC56" s="54"/>
      <c r="AD56" s="59"/>
      <c r="AE56" s="59"/>
    </row>
    <row r="57" spans="1:31" s="56" customFormat="1" x14ac:dyDescent="0.2">
      <c r="A57" s="59" t="s">
        <v>103</v>
      </c>
      <c r="B57" s="59"/>
      <c r="D57" s="57"/>
      <c r="E57" s="56">
        <v>25000</v>
      </c>
      <c r="F57" s="58"/>
      <c r="G57" s="59" t="s">
        <v>103</v>
      </c>
      <c r="H57" s="59"/>
      <c r="J57" s="57"/>
      <c r="K57" s="56">
        <v>25000</v>
      </c>
      <c r="L57" s="58"/>
      <c r="M57" s="59" t="s">
        <v>103</v>
      </c>
      <c r="N57" s="59"/>
      <c r="P57" s="57"/>
      <c r="Q57" s="56">
        <v>30000</v>
      </c>
      <c r="R57" s="58"/>
      <c r="S57" s="59" t="s">
        <v>103</v>
      </c>
      <c r="T57" s="59"/>
      <c r="V57" s="57"/>
      <c r="W57" s="56">
        <v>30000</v>
      </c>
      <c r="X57" s="63"/>
      <c r="Y57" s="75"/>
      <c r="Z57" s="76"/>
      <c r="AA57" s="74"/>
      <c r="AB57" s="74"/>
      <c r="AC57" s="74"/>
      <c r="AD57" s="73"/>
      <c r="AE57" s="73"/>
    </row>
    <row r="58" spans="1:31" s="73" customFormat="1" x14ac:dyDescent="0.2">
      <c r="A58" s="59" t="s">
        <v>104</v>
      </c>
      <c r="B58" s="59"/>
      <c r="C58" s="56"/>
      <c r="D58" s="88">
        <f>AB35</f>
        <v>21.119153272782704</v>
      </c>
      <c r="E58" s="56">
        <f>D58*E$42</f>
        <v>92501.891334788248</v>
      </c>
      <c r="F58" s="58"/>
      <c r="G58" s="59" t="s">
        <v>104</v>
      </c>
      <c r="H58" s="59"/>
      <c r="I58" s="56"/>
      <c r="J58" s="88">
        <f>$AB$35</f>
        <v>21.119153272782704</v>
      </c>
      <c r="K58" s="56">
        <f>J58*K$42</f>
        <v>119481.60964076815</v>
      </c>
      <c r="L58" s="58"/>
      <c r="M58" s="59" t="s">
        <v>104</v>
      </c>
      <c r="N58" s="59"/>
      <c r="O58" s="56"/>
      <c r="P58" s="88">
        <f>$AB$35</f>
        <v>21.119153272782704</v>
      </c>
      <c r="Q58" s="56">
        <f>P58*Q$42</f>
        <v>154169.81889131374</v>
      </c>
      <c r="R58" s="58"/>
      <c r="S58" s="59" t="s">
        <v>104</v>
      </c>
      <c r="T58" s="59"/>
      <c r="U58" s="56"/>
      <c r="V58" s="88">
        <f>$AB$35</f>
        <v>21.119153272782704</v>
      </c>
      <c r="W58" s="56">
        <f>V58*W$42</f>
        <v>192712.27361414218</v>
      </c>
      <c r="X58" s="63"/>
      <c r="Y58" s="75"/>
      <c r="Z58" s="76"/>
      <c r="AA58" s="74"/>
      <c r="AB58" s="74"/>
      <c r="AC58" s="74"/>
    </row>
    <row r="59" spans="1:31" s="73" customFormat="1" x14ac:dyDescent="0.2">
      <c r="A59" s="59" t="s">
        <v>107</v>
      </c>
      <c r="B59" s="59"/>
      <c r="C59" s="56"/>
      <c r="D59" s="110">
        <f>$AB$37</f>
        <v>26.875662441773173</v>
      </c>
      <c r="E59" s="56">
        <f>D59*E$42</f>
        <v>117715.4014949665</v>
      </c>
      <c r="F59" s="58"/>
      <c r="G59" s="59" t="s">
        <v>107</v>
      </c>
      <c r="H59" s="59"/>
      <c r="I59" s="56"/>
      <c r="J59" s="110">
        <f>$AB$37</f>
        <v>26.875662441773173</v>
      </c>
      <c r="K59" s="56">
        <f>J59*K$42</f>
        <v>152049.06026433173</v>
      </c>
      <c r="L59" s="58"/>
      <c r="M59" s="59" t="s">
        <v>107</v>
      </c>
      <c r="N59" s="59"/>
      <c r="O59" s="56"/>
      <c r="P59" s="110">
        <f>$AB$37</f>
        <v>26.875662441773173</v>
      </c>
      <c r="Q59" s="56">
        <f>P59*Q$42</f>
        <v>196192.33582494417</v>
      </c>
      <c r="R59" s="58"/>
      <c r="S59" s="59" t="s">
        <v>107</v>
      </c>
      <c r="T59" s="59"/>
      <c r="U59" s="56"/>
      <c r="V59" s="110">
        <f>$AB$37</f>
        <v>26.875662441773173</v>
      </c>
      <c r="W59" s="56">
        <f>V59*W$42</f>
        <v>245240.41978118022</v>
      </c>
      <c r="X59" s="63"/>
      <c r="Y59" s="94"/>
      <c r="Z59" s="76"/>
      <c r="AA59" s="74"/>
      <c r="AB59" s="74"/>
      <c r="AC59" s="74"/>
    </row>
    <row r="60" spans="1:31" s="73" customFormat="1" x14ac:dyDescent="0.2">
      <c r="A60" s="100" t="s">
        <v>109</v>
      </c>
      <c r="B60" s="100"/>
      <c r="C60" s="101"/>
      <c r="D60" s="102"/>
      <c r="E60" s="101">
        <f>SUM(E56:E59)</f>
        <v>1694595.5265974349</v>
      </c>
      <c r="F60" s="63"/>
      <c r="G60" s="100" t="s">
        <v>109</v>
      </c>
      <c r="H60" s="100"/>
      <c r="I60" s="101"/>
      <c r="J60" s="102"/>
      <c r="K60" s="101">
        <f>SUM(K56:K59)</f>
        <v>1830520.6602500598</v>
      </c>
      <c r="L60" s="58"/>
      <c r="M60" s="100" t="s">
        <v>109</v>
      </c>
      <c r="N60" s="100"/>
      <c r="O60" s="101"/>
      <c r="P60" s="102"/>
      <c r="Q60" s="101">
        <f>SUM(Q56:Q59)</f>
        <v>1914352.1450612177</v>
      </c>
      <c r="R60" s="63"/>
      <c r="S60" s="100" t="s">
        <v>109</v>
      </c>
      <c r="T60" s="100"/>
      <c r="U60" s="101"/>
      <c r="V60" s="102"/>
      <c r="W60" s="101">
        <f>SUM(W56:W59)</f>
        <v>2170377.2543521221</v>
      </c>
      <c r="X60" s="58"/>
      <c r="Y60" s="98"/>
      <c r="Z60" s="76"/>
      <c r="AA60" s="54"/>
      <c r="AB60" s="54"/>
      <c r="AC60" s="54"/>
      <c r="AD60" s="59"/>
      <c r="AE60" s="59"/>
    </row>
    <row r="61" spans="1:31" s="73" customFormat="1" x14ac:dyDescent="0.2">
      <c r="A61" s="59" t="s">
        <v>110</v>
      </c>
      <c r="B61" s="59"/>
      <c r="C61" s="106">
        <f>'[9]Salary Bench Chart'!C33</f>
        <v>0.12</v>
      </c>
      <c r="D61" s="88"/>
      <c r="E61" s="56">
        <f>C61*E60</f>
        <v>203351.46319169219</v>
      </c>
      <c r="F61" s="58"/>
      <c r="G61" s="59" t="s">
        <v>110</v>
      </c>
      <c r="H61" s="59"/>
      <c r="I61" s="106">
        <f>'[9]Salary Bench Chart'!C33</f>
        <v>0.12</v>
      </c>
      <c r="J61" s="88"/>
      <c r="K61" s="56">
        <f>I61*K60</f>
        <v>219662.47923000716</v>
      </c>
      <c r="L61" s="58"/>
      <c r="M61" s="59" t="s">
        <v>110</v>
      </c>
      <c r="N61" s="59"/>
      <c r="O61" s="106">
        <f>'[9]Salary Bench Chart'!C33</f>
        <v>0.12</v>
      </c>
      <c r="P61" s="88"/>
      <c r="Q61" s="56">
        <f>O61*Q60</f>
        <v>229722.25740734613</v>
      </c>
      <c r="R61" s="58"/>
      <c r="S61" s="59" t="s">
        <v>110</v>
      </c>
      <c r="T61" s="59"/>
      <c r="U61" s="106">
        <f>'[9]Salary Bench Chart'!C33</f>
        <v>0.12</v>
      </c>
      <c r="V61" s="88"/>
      <c r="W61" s="56">
        <f>U61*W60</f>
        <v>260445.27052225464</v>
      </c>
      <c r="X61" s="63"/>
      <c r="Y61" s="54"/>
      <c r="Z61" s="54"/>
      <c r="AA61" s="54"/>
      <c r="AB61" s="54"/>
      <c r="AC61" s="54"/>
      <c r="AD61" s="59"/>
      <c r="AE61" s="59"/>
    </row>
    <row r="62" spans="1:31" x14ac:dyDescent="0.2">
      <c r="A62" s="56"/>
      <c r="C62" s="106"/>
      <c r="D62" s="88"/>
      <c r="E62" s="56"/>
      <c r="F62" s="58"/>
      <c r="G62" s="56"/>
      <c r="H62" s="59"/>
      <c r="I62" s="106"/>
      <c r="J62" s="88"/>
      <c r="M62" s="56"/>
      <c r="N62" s="59"/>
      <c r="O62" s="106"/>
      <c r="P62" s="88"/>
      <c r="Q62" s="56"/>
      <c r="R62" s="58"/>
      <c r="S62" s="56"/>
      <c r="T62" s="59"/>
      <c r="U62" s="106"/>
      <c r="V62" s="88"/>
      <c r="W62" s="56"/>
      <c r="Y62" s="82"/>
      <c r="Z62" s="54"/>
      <c r="AA62" s="54"/>
      <c r="AB62" s="54"/>
      <c r="AC62" s="54"/>
      <c r="AD62" s="59"/>
      <c r="AE62" s="59"/>
    </row>
    <row r="63" spans="1:31" ht="13.5" thickBot="1" x14ac:dyDescent="0.25">
      <c r="A63" s="113" t="s">
        <v>112</v>
      </c>
      <c r="B63" s="113"/>
      <c r="C63" s="114"/>
      <c r="D63" s="115"/>
      <c r="E63" s="114">
        <f>ROUND(SUM(E60:E62),2)</f>
        <v>1897946.99</v>
      </c>
      <c r="F63" s="63"/>
      <c r="G63" s="113" t="s">
        <v>112</v>
      </c>
      <c r="H63" s="113"/>
      <c r="I63" s="114"/>
      <c r="J63" s="115"/>
      <c r="K63" s="114">
        <f>ROUND(SUM(K60:K62),2)</f>
        <v>2050183.14</v>
      </c>
      <c r="L63" s="73"/>
      <c r="M63" s="113" t="s">
        <v>112</v>
      </c>
      <c r="N63" s="113"/>
      <c r="O63" s="114"/>
      <c r="P63" s="115"/>
      <c r="Q63" s="114">
        <f>ROUND(SUM(Q60:Q62),2)</f>
        <v>2144074.4</v>
      </c>
      <c r="R63" s="63"/>
      <c r="S63" s="113" t="s">
        <v>112</v>
      </c>
      <c r="T63" s="113"/>
      <c r="U63" s="114"/>
      <c r="V63" s="115"/>
      <c r="W63" s="114">
        <f>ROUND(SUM(W60:W62),2)</f>
        <v>2430822.52</v>
      </c>
      <c r="Y63" s="63"/>
      <c r="Z63" s="54"/>
      <c r="AA63" s="54"/>
      <c r="AB63" s="54"/>
      <c r="AC63" s="54"/>
      <c r="AD63" s="59"/>
      <c r="AE63" s="63"/>
    </row>
    <row r="64" spans="1:31" ht="13.5" thickTop="1" x14ac:dyDescent="0.2">
      <c r="A64" s="73"/>
      <c r="B64" s="73"/>
      <c r="C64" s="62"/>
      <c r="D64" s="116"/>
      <c r="E64" s="62"/>
      <c r="F64" s="63"/>
      <c r="G64" s="73"/>
      <c r="H64" s="73"/>
      <c r="I64" s="62"/>
      <c r="J64" s="116"/>
      <c r="K64" s="62"/>
      <c r="L64" s="73"/>
      <c r="M64" s="73"/>
      <c r="N64" s="73"/>
      <c r="O64" s="62"/>
      <c r="P64" s="116"/>
      <c r="Q64" s="62"/>
      <c r="R64" s="63"/>
      <c r="S64" s="73"/>
      <c r="T64" s="73"/>
      <c r="U64" s="62"/>
      <c r="V64" s="116"/>
      <c r="W64" s="62"/>
      <c r="Y64" s="63"/>
      <c r="Z64" s="54"/>
      <c r="AA64" s="54"/>
      <c r="AB64" s="54"/>
      <c r="AC64" s="54"/>
      <c r="AD64" s="59"/>
      <c r="AE64" s="63"/>
    </row>
    <row r="65" spans="1:31" x14ac:dyDescent="0.2">
      <c r="A65" s="117" t="s">
        <v>114</v>
      </c>
      <c r="B65" s="117"/>
      <c r="C65" s="118"/>
      <c r="D65" s="118"/>
      <c r="E65" s="118">
        <f>E63/E42</f>
        <v>433.32123059360731</v>
      </c>
      <c r="F65" s="119"/>
      <c r="G65" s="117" t="s">
        <v>114</v>
      </c>
      <c r="H65" s="117"/>
      <c r="I65" s="118"/>
      <c r="J65" s="118"/>
      <c r="K65" s="118">
        <f>K63/K42</f>
        <v>362.38323287671233</v>
      </c>
      <c r="L65" s="120"/>
      <c r="M65" s="117" t="s">
        <v>114</v>
      </c>
      <c r="N65" s="117"/>
      <c r="O65" s="118"/>
      <c r="P65" s="118"/>
      <c r="Q65" s="118">
        <f>Q63/Q42</f>
        <v>293.70882191780822</v>
      </c>
      <c r="R65" s="120"/>
      <c r="S65" s="117" t="s">
        <v>114</v>
      </c>
      <c r="T65" s="117"/>
      <c r="U65" s="118"/>
      <c r="V65" s="118"/>
      <c r="W65" s="118">
        <f>W63/W42</f>
        <v>266.3915090410959</v>
      </c>
      <c r="Y65" s="63"/>
      <c r="Z65" s="54"/>
      <c r="AA65" s="54"/>
      <c r="AB65" s="54"/>
      <c r="AC65" s="54"/>
      <c r="AD65" s="59"/>
      <c r="AE65" s="59"/>
    </row>
    <row r="66" spans="1:31" ht="13.5" thickBot="1" x14ac:dyDescent="0.25">
      <c r="A66" s="117" t="s">
        <v>64</v>
      </c>
      <c r="B66" s="117"/>
      <c r="C66" s="121">
        <f>'[9]Salary Bench Chart'!C31</f>
        <v>1.0633805350099574E-2</v>
      </c>
      <c r="D66" s="118"/>
      <c r="E66" s="118"/>
      <c r="F66" s="119"/>
      <c r="G66" s="117" t="s">
        <v>64</v>
      </c>
      <c r="H66" s="117"/>
      <c r="I66" s="121">
        <f>'[9]Salary Bench Chart'!C31</f>
        <v>1.0633805350099574E-2</v>
      </c>
      <c r="J66" s="118"/>
      <c r="K66" s="118"/>
      <c r="L66" s="120"/>
      <c r="M66" s="117" t="s">
        <v>64</v>
      </c>
      <c r="N66" s="117"/>
      <c r="O66" s="121">
        <f>'[9]Salary Bench Chart'!C31</f>
        <v>1.0633805350099574E-2</v>
      </c>
      <c r="P66" s="118"/>
      <c r="Q66" s="118"/>
      <c r="R66" s="54"/>
      <c r="S66" s="117" t="s">
        <v>64</v>
      </c>
      <c r="T66" s="117"/>
      <c r="U66" s="121">
        <f>'[9]Salary Bench Chart'!C31</f>
        <v>1.0633805350099574E-2</v>
      </c>
      <c r="V66" s="118"/>
      <c r="W66" s="118"/>
      <c r="Y66" s="63"/>
      <c r="Z66" s="54"/>
      <c r="AA66" s="54"/>
      <c r="AB66" s="54"/>
      <c r="AC66" s="54"/>
      <c r="AD66" s="59"/>
      <c r="AE66" s="59"/>
    </row>
    <row r="67" spans="1:31" ht="13.5" thickBot="1" x14ac:dyDescent="0.25">
      <c r="A67" s="122" t="s">
        <v>116</v>
      </c>
      <c r="B67" s="123"/>
      <c r="C67" s="124">
        <v>0.9</v>
      </c>
      <c r="D67" s="103"/>
      <c r="E67" s="125">
        <f>E$63*(C$66+1)/(E$42*C67)</f>
        <v>486.58787134867265</v>
      </c>
      <c r="G67" s="122" t="s">
        <v>116</v>
      </c>
      <c r="H67" s="123"/>
      <c r="I67" s="124">
        <v>0.9</v>
      </c>
      <c r="J67" s="103"/>
      <c r="K67" s="125">
        <f t="shared" ref="K67:K75" si="8">K$63*(I$66+1)/(K$42*I67)</f>
        <v>406.92971737473675</v>
      </c>
      <c r="M67" s="122" t="s">
        <v>116</v>
      </c>
      <c r="N67" s="123"/>
      <c r="O67" s="124">
        <v>0.9</v>
      </c>
      <c r="P67" s="103"/>
      <c r="Q67" s="125">
        <f t="shared" ref="Q67:Q75" si="9">Q$63*(O$66+1)/(Q$42*O67)</f>
        <v>329.81340484409918</v>
      </c>
      <c r="R67" s="58"/>
      <c r="S67" s="122" t="s">
        <v>116</v>
      </c>
      <c r="T67" s="123"/>
      <c r="U67" s="124">
        <v>0.9</v>
      </c>
      <c r="V67" s="103"/>
      <c r="W67" s="125">
        <f t="shared" ref="W67:W75" si="10">W$63*(U$66+1)/(W$42*U67)</f>
        <v>299.13807166128686</v>
      </c>
      <c r="X67" s="63"/>
      <c r="Y67" s="63"/>
      <c r="Z67" s="54"/>
      <c r="AA67" s="54"/>
      <c r="AB67" s="54"/>
      <c r="AC67" s="54"/>
      <c r="AD67" s="59"/>
      <c r="AE67" s="59"/>
    </row>
    <row r="68" spans="1:31" ht="13.5" thickBot="1" x14ac:dyDescent="0.25">
      <c r="A68" s="126"/>
      <c r="B68" s="54"/>
      <c r="C68" s="127">
        <v>0.85</v>
      </c>
      <c r="D68" s="58"/>
      <c r="E68" s="125">
        <f t="shared" ref="E68:E75" si="11">E$63*(C$66+1)/(E$42*C68)</f>
        <v>515.21068731035928</v>
      </c>
      <c r="G68" s="126"/>
      <c r="I68" s="127">
        <v>0.85</v>
      </c>
      <c r="J68" s="58"/>
      <c r="K68" s="125">
        <f t="shared" si="8"/>
        <v>430.8667595732507</v>
      </c>
      <c r="M68" s="126"/>
      <c r="N68" s="54"/>
      <c r="O68" s="127">
        <v>0.85</v>
      </c>
      <c r="P68" s="58"/>
      <c r="Q68" s="125">
        <f t="shared" si="9"/>
        <v>349.2141933643403</v>
      </c>
      <c r="R68" s="58"/>
      <c r="S68" s="126"/>
      <c r="T68" s="54"/>
      <c r="U68" s="127">
        <v>0.85</v>
      </c>
      <c r="V68" s="58"/>
      <c r="W68" s="125">
        <f t="shared" si="10"/>
        <v>316.73442881783313</v>
      </c>
      <c r="Y68" s="652"/>
      <c r="Z68" s="652"/>
      <c r="AA68" s="652"/>
      <c r="AB68" s="652"/>
      <c r="AC68" s="54"/>
      <c r="AD68" s="59"/>
      <c r="AE68" s="59"/>
    </row>
    <row r="69" spans="1:31" ht="13.5" thickBot="1" x14ac:dyDescent="0.25">
      <c r="A69" s="126"/>
      <c r="B69" s="54"/>
      <c r="C69" s="127">
        <v>0.8</v>
      </c>
      <c r="D69" s="58"/>
      <c r="E69" s="125">
        <f t="shared" si="11"/>
        <v>547.41135526725668</v>
      </c>
      <c r="G69" s="126"/>
      <c r="I69" s="127">
        <v>0.8</v>
      </c>
      <c r="J69" s="58"/>
      <c r="K69" s="125">
        <f t="shared" si="8"/>
        <v>457.79593204657886</v>
      </c>
      <c r="M69" s="126"/>
      <c r="N69" s="54"/>
      <c r="O69" s="127">
        <v>0.8</v>
      </c>
      <c r="P69" s="58"/>
      <c r="Q69" s="125">
        <f t="shared" si="9"/>
        <v>371.04008044961159</v>
      </c>
      <c r="R69" s="58"/>
      <c r="S69" s="126"/>
      <c r="T69" s="54"/>
      <c r="U69" s="127">
        <v>0.8</v>
      </c>
      <c r="V69" s="58"/>
      <c r="W69" s="125">
        <f t="shared" si="10"/>
        <v>336.53033061894774</v>
      </c>
      <c r="Y69" s="652"/>
      <c r="Z69" s="652"/>
      <c r="AA69" s="652"/>
      <c r="AB69" s="652"/>
      <c r="AC69" s="54"/>
      <c r="AD69" s="59"/>
      <c r="AE69" s="59"/>
    </row>
    <row r="70" spans="1:31" ht="13.5" thickBot="1" x14ac:dyDescent="0.25">
      <c r="A70" s="126"/>
      <c r="B70" s="54"/>
      <c r="C70" s="127">
        <v>0.75</v>
      </c>
      <c r="D70" s="58"/>
      <c r="E70" s="125">
        <f t="shared" si="11"/>
        <v>583.90544561840716</v>
      </c>
      <c r="G70" s="126"/>
      <c r="I70" s="127">
        <v>0.75</v>
      </c>
      <c r="J70" s="58"/>
      <c r="K70" s="125">
        <f t="shared" si="8"/>
        <v>488.31566084968415</v>
      </c>
      <c r="M70" s="126"/>
      <c r="N70" s="54"/>
      <c r="O70" s="127">
        <v>0.75</v>
      </c>
      <c r="P70" s="58"/>
      <c r="Q70" s="125">
        <f t="shared" si="9"/>
        <v>395.77608581291901</v>
      </c>
      <c r="R70" s="58"/>
      <c r="S70" s="126"/>
      <c r="T70" s="54"/>
      <c r="U70" s="127">
        <v>0.75</v>
      </c>
      <c r="V70" s="58"/>
      <c r="W70" s="125">
        <f t="shared" si="10"/>
        <v>358.96568599354424</v>
      </c>
      <c r="X70" s="63"/>
      <c r="Y70" s="653"/>
      <c r="Z70" s="654"/>
      <c r="AA70" s="655"/>
      <c r="AB70" s="654"/>
      <c r="AC70" s="74"/>
      <c r="AD70" s="73"/>
      <c r="AE70" s="73"/>
    </row>
    <row r="71" spans="1:31" ht="13.5" thickBot="1" x14ac:dyDescent="0.25">
      <c r="A71" s="126"/>
      <c r="B71" s="54"/>
      <c r="C71" s="127">
        <v>0.7</v>
      </c>
      <c r="D71" s="58"/>
      <c r="E71" s="125">
        <f t="shared" si="11"/>
        <v>625.61297744829335</v>
      </c>
      <c r="G71" s="126"/>
      <c r="I71" s="127">
        <v>0.7</v>
      </c>
      <c r="J71" s="58"/>
      <c r="K71" s="125">
        <f t="shared" si="8"/>
        <v>523.19535091037596</v>
      </c>
      <c r="M71" s="126"/>
      <c r="N71" s="54"/>
      <c r="O71" s="127">
        <v>0.7</v>
      </c>
      <c r="P71" s="58"/>
      <c r="Q71" s="125">
        <f t="shared" si="9"/>
        <v>424.0458062281275</v>
      </c>
      <c r="R71" s="58"/>
      <c r="S71" s="126"/>
      <c r="T71" s="54"/>
      <c r="U71" s="127">
        <v>0.7</v>
      </c>
      <c r="V71" s="58"/>
      <c r="W71" s="125">
        <f t="shared" si="10"/>
        <v>384.60609213594029</v>
      </c>
      <c r="X71" s="63"/>
      <c r="Y71" s="112"/>
      <c r="Z71" s="112"/>
      <c r="AA71" s="112"/>
      <c r="AB71" s="75"/>
      <c r="AC71" s="74"/>
      <c r="AD71" s="73"/>
      <c r="AE71" s="73"/>
    </row>
    <row r="72" spans="1:31" s="73" customFormat="1" ht="15" customHeight="1" thickBot="1" x14ac:dyDescent="0.25">
      <c r="A72" s="126"/>
      <c r="B72" s="54"/>
      <c r="C72" s="127">
        <v>0.65</v>
      </c>
      <c r="D72" s="58"/>
      <c r="E72" s="125">
        <f t="shared" si="11"/>
        <v>673.73705263662362</v>
      </c>
      <c r="F72" s="54"/>
      <c r="G72" s="126"/>
      <c r="H72" s="54"/>
      <c r="I72" s="127">
        <v>0.65</v>
      </c>
      <c r="J72" s="58"/>
      <c r="K72" s="125">
        <f t="shared" si="8"/>
        <v>563.44114713425097</v>
      </c>
      <c r="L72" s="58"/>
      <c r="M72" s="126"/>
      <c r="N72" s="54"/>
      <c r="O72" s="127">
        <v>0.65</v>
      </c>
      <c r="P72" s="58"/>
      <c r="Q72" s="125">
        <f t="shared" si="9"/>
        <v>456.66471439952198</v>
      </c>
      <c r="R72" s="58"/>
      <c r="S72" s="126"/>
      <c r="T72" s="54"/>
      <c r="U72" s="127">
        <v>0.65</v>
      </c>
      <c r="V72" s="58"/>
      <c r="W72" s="125">
        <f t="shared" si="10"/>
        <v>414.1911761463972</v>
      </c>
      <c r="X72" s="120"/>
      <c r="Y72" s="112"/>
      <c r="Z72" s="112"/>
      <c r="AA72" s="112"/>
      <c r="AB72" s="112"/>
      <c r="AC72" s="656"/>
      <c r="AD72" s="120"/>
      <c r="AE72" s="120"/>
    </row>
    <row r="73" spans="1:31" s="73" customFormat="1" ht="13.5" thickBot="1" x14ac:dyDescent="0.25">
      <c r="A73" s="126"/>
      <c r="B73" s="54"/>
      <c r="C73" s="127">
        <v>0.6</v>
      </c>
      <c r="D73" s="58"/>
      <c r="E73" s="125">
        <f t="shared" si="11"/>
        <v>729.88180702300895</v>
      </c>
      <c r="F73" s="54"/>
      <c r="G73" s="126"/>
      <c r="H73" s="54"/>
      <c r="I73" s="127">
        <v>0.6</v>
      </c>
      <c r="J73" s="58"/>
      <c r="K73" s="125">
        <f t="shared" si="8"/>
        <v>610.39457606210522</v>
      </c>
      <c r="L73" s="58"/>
      <c r="M73" s="126"/>
      <c r="N73" s="54"/>
      <c r="O73" s="127">
        <v>0.6</v>
      </c>
      <c r="P73" s="58"/>
      <c r="Q73" s="125">
        <f t="shared" si="9"/>
        <v>494.72010726614877</v>
      </c>
      <c r="R73" s="58"/>
      <c r="S73" s="126"/>
      <c r="T73" s="54"/>
      <c r="U73" s="127">
        <v>0.6</v>
      </c>
      <c r="V73" s="58"/>
      <c r="W73" s="125">
        <f t="shared" si="10"/>
        <v>448.70710749193029</v>
      </c>
      <c r="X73" s="54"/>
      <c r="Y73" s="112"/>
      <c r="Z73" s="112"/>
      <c r="AA73" s="112"/>
      <c r="AB73" s="112"/>
      <c r="AC73" s="656"/>
      <c r="AD73" s="120"/>
      <c r="AE73" s="120"/>
    </row>
    <row r="74" spans="1:31" s="120" customFormat="1" ht="13.15" customHeight="1" thickBot="1" x14ac:dyDescent="0.25">
      <c r="A74" s="126"/>
      <c r="B74" s="54"/>
      <c r="C74" s="127">
        <v>0.55000000000000004</v>
      </c>
      <c r="D74" s="58"/>
      <c r="E74" s="125">
        <f t="shared" si="11"/>
        <v>796.23469857055522</v>
      </c>
      <c r="F74" s="54"/>
      <c r="G74" s="126"/>
      <c r="H74" s="54"/>
      <c r="I74" s="127">
        <v>0.55000000000000004</v>
      </c>
      <c r="J74" s="58"/>
      <c r="K74" s="125">
        <f t="shared" si="8"/>
        <v>665.884992067751</v>
      </c>
      <c r="L74" s="58"/>
      <c r="M74" s="126"/>
      <c r="N74" s="54"/>
      <c r="O74" s="127">
        <v>0.55000000000000004</v>
      </c>
      <c r="P74" s="58"/>
      <c r="Q74" s="125">
        <f t="shared" si="9"/>
        <v>539.69466247216224</v>
      </c>
      <c r="R74" s="58"/>
      <c r="S74" s="126"/>
      <c r="T74" s="54"/>
      <c r="U74" s="127">
        <v>0.55000000000000004</v>
      </c>
      <c r="V74" s="58"/>
      <c r="W74" s="125">
        <f t="shared" si="10"/>
        <v>489.4986627184694</v>
      </c>
      <c r="X74" s="118"/>
      <c r="Y74" s="112"/>
      <c r="Z74" s="75"/>
      <c r="AA74" s="75"/>
      <c r="AB74" s="75"/>
      <c r="AC74" s="54"/>
      <c r="AD74" s="59"/>
      <c r="AE74" s="59"/>
    </row>
    <row r="75" spans="1:31" s="120" customFormat="1" ht="13.5" thickBot="1" x14ac:dyDescent="0.25">
      <c r="A75" s="131"/>
      <c r="B75" s="132"/>
      <c r="C75" s="133">
        <v>0.5</v>
      </c>
      <c r="D75" s="134"/>
      <c r="E75" s="135">
        <f t="shared" si="11"/>
        <v>875.85816842761074</v>
      </c>
      <c r="F75" s="54"/>
      <c r="G75" s="131"/>
      <c r="H75" s="132"/>
      <c r="I75" s="133">
        <v>0.5</v>
      </c>
      <c r="J75" s="134"/>
      <c r="K75" s="135">
        <f t="shared" si="8"/>
        <v>732.47349127452617</v>
      </c>
      <c r="L75" s="58"/>
      <c r="M75" s="131"/>
      <c r="N75" s="132"/>
      <c r="O75" s="133">
        <v>0.5</v>
      </c>
      <c r="P75" s="134"/>
      <c r="Q75" s="135">
        <f t="shared" si="9"/>
        <v>593.6641287193786</v>
      </c>
      <c r="R75" s="58"/>
      <c r="S75" s="131"/>
      <c r="T75" s="132"/>
      <c r="U75" s="133">
        <v>0.5</v>
      </c>
      <c r="V75" s="134"/>
      <c r="W75" s="135">
        <f t="shared" si="10"/>
        <v>538.44852899031639</v>
      </c>
      <c r="X75" s="118"/>
      <c r="Y75" s="657"/>
      <c r="Z75" s="657"/>
      <c r="AA75" s="657"/>
      <c r="AB75" s="657"/>
      <c r="AC75" s="54"/>
      <c r="AD75" s="59"/>
      <c r="AE75" s="59"/>
    </row>
    <row r="76" spans="1:31" x14ac:dyDescent="0.2">
      <c r="H76" s="59"/>
      <c r="I76" s="59"/>
      <c r="J76" s="59"/>
      <c r="K76" s="59"/>
      <c r="M76" s="59"/>
      <c r="N76" s="59"/>
      <c r="O76" s="59"/>
      <c r="P76" s="59"/>
      <c r="Q76" s="59"/>
      <c r="S76" s="59"/>
      <c r="T76" s="59"/>
      <c r="U76" s="59"/>
      <c r="V76" s="59"/>
      <c r="W76" s="59"/>
      <c r="X76" s="118"/>
      <c r="Y76" s="653"/>
      <c r="Z76" s="654"/>
      <c r="AA76" s="655"/>
      <c r="AB76" s="654"/>
      <c r="AC76" s="54"/>
      <c r="AD76" s="59"/>
      <c r="AE76" s="59"/>
    </row>
    <row r="77" spans="1:31" x14ac:dyDescent="0.2">
      <c r="H77" s="59"/>
      <c r="I77" s="59"/>
      <c r="J77" s="59"/>
      <c r="K77" s="59"/>
      <c r="M77" s="59"/>
      <c r="N77" s="59"/>
      <c r="O77" s="59"/>
      <c r="P77" s="59"/>
      <c r="Q77" s="59"/>
      <c r="S77" s="59"/>
      <c r="T77" s="59"/>
      <c r="U77" s="59"/>
      <c r="V77" s="59"/>
      <c r="W77" s="59"/>
      <c r="X77" s="118"/>
      <c r="Y77" s="112"/>
      <c r="Z77" s="112"/>
      <c r="AA77" s="112"/>
      <c r="AB77" s="112"/>
      <c r="AC77" s="54"/>
      <c r="AD77" s="59"/>
      <c r="AE77" s="59"/>
    </row>
    <row r="78" spans="1:31" ht="13.5" thickBot="1" x14ac:dyDescent="0.25">
      <c r="A78" s="58"/>
      <c r="C78" s="54"/>
      <c r="D78" s="56"/>
      <c r="E78" s="57"/>
      <c r="F78" s="58"/>
      <c r="G78" s="58"/>
      <c r="H78" s="59"/>
      <c r="I78" s="54"/>
      <c r="J78" s="56"/>
      <c r="K78" s="57"/>
      <c r="L78" s="54"/>
      <c r="M78" s="59"/>
      <c r="Q78" s="59"/>
      <c r="S78" s="59"/>
      <c r="W78" s="59"/>
      <c r="X78" s="118"/>
      <c r="Y78" s="112"/>
      <c r="Z78" s="112"/>
      <c r="AA78" s="112"/>
      <c r="AB78" s="112"/>
      <c r="AC78" s="54"/>
      <c r="AD78" s="59"/>
      <c r="AE78" s="59"/>
    </row>
    <row r="79" spans="1:31" ht="13.5" thickBot="1" x14ac:dyDescent="0.25">
      <c r="A79" s="711" t="s">
        <v>126</v>
      </c>
      <c r="B79" s="712"/>
      <c r="X79" s="118"/>
      <c r="Z79" s="54"/>
      <c r="AA79" s="54"/>
      <c r="AB79" s="54"/>
      <c r="AC79" s="54"/>
      <c r="AD79" s="59"/>
      <c r="AE79" s="59"/>
    </row>
    <row r="80" spans="1:31" x14ac:dyDescent="0.2">
      <c r="B80" s="54"/>
      <c r="C80" s="60" t="s">
        <v>68</v>
      </c>
      <c r="D80" s="61"/>
      <c r="E80" s="62"/>
      <c r="F80" s="63"/>
      <c r="I80" s="60" t="s">
        <v>69</v>
      </c>
      <c r="J80" s="61"/>
      <c r="K80" s="62"/>
      <c r="M80" s="59"/>
      <c r="N80" s="54"/>
      <c r="O80" s="60" t="s">
        <v>70</v>
      </c>
      <c r="P80" s="61"/>
      <c r="Q80" s="62"/>
      <c r="R80" s="63"/>
      <c r="S80" s="59"/>
      <c r="T80" s="54"/>
      <c r="U80" s="60" t="s">
        <v>71</v>
      </c>
      <c r="V80" s="61"/>
      <c r="W80" s="62"/>
      <c r="X80" s="118"/>
      <c r="Y80" s="141"/>
      <c r="Z80" s="121"/>
      <c r="AA80" s="54"/>
      <c r="AB80" s="54"/>
      <c r="AC80" s="54"/>
      <c r="AD80" s="59"/>
      <c r="AE80" s="59"/>
    </row>
    <row r="81" spans="1:31" x14ac:dyDescent="0.2">
      <c r="A81" s="66" t="s">
        <v>75</v>
      </c>
      <c r="B81" s="67" t="s">
        <v>76</v>
      </c>
      <c r="C81" s="68" t="s">
        <v>77</v>
      </c>
      <c r="D81" s="69">
        <v>365</v>
      </c>
      <c r="E81" s="70">
        <f>D81*B82</f>
        <v>4380</v>
      </c>
      <c r="F81" s="71"/>
      <c r="G81" s="66" t="s">
        <v>75</v>
      </c>
      <c r="H81" s="72" t="s">
        <v>78</v>
      </c>
      <c r="I81" s="68" t="s">
        <v>77</v>
      </c>
      <c r="J81" s="69">
        <v>365</v>
      </c>
      <c r="K81" s="70">
        <f>H82*J81</f>
        <v>5657.5</v>
      </c>
      <c r="L81" s="73"/>
      <c r="M81" s="66" t="s">
        <v>75</v>
      </c>
      <c r="N81" s="74" t="s">
        <v>79</v>
      </c>
      <c r="O81" s="68" t="s">
        <v>77</v>
      </c>
      <c r="P81" s="69">
        <v>365</v>
      </c>
      <c r="Q81" s="70">
        <f>N82*P81</f>
        <v>7300</v>
      </c>
      <c r="R81" s="71"/>
      <c r="S81" s="66" t="s">
        <v>75</v>
      </c>
      <c r="T81" s="74" t="s">
        <v>80</v>
      </c>
      <c r="U81" s="68" t="s">
        <v>77</v>
      </c>
      <c r="V81" s="69">
        <v>365</v>
      </c>
      <c r="W81" s="70">
        <f>T82*V81</f>
        <v>9125</v>
      </c>
      <c r="X81" s="59"/>
      <c r="Z81" s="110"/>
      <c r="AA81" s="54"/>
      <c r="AB81" s="74"/>
      <c r="AC81" s="74"/>
      <c r="AD81" s="73"/>
      <c r="AE81" s="73"/>
    </row>
    <row r="82" spans="1:31" x14ac:dyDescent="0.2">
      <c r="A82" s="66"/>
      <c r="B82" s="74">
        <v>12</v>
      </c>
      <c r="C82" s="68"/>
      <c r="D82" s="69"/>
      <c r="E82" s="70"/>
      <c r="F82" s="71"/>
      <c r="G82" s="66"/>
      <c r="H82" s="74">
        <v>15.5</v>
      </c>
      <c r="I82" s="68"/>
      <c r="J82" s="69"/>
      <c r="K82" s="70"/>
      <c r="L82" s="73"/>
      <c r="M82" s="66"/>
      <c r="N82" s="74">
        <v>20</v>
      </c>
      <c r="O82" s="68"/>
      <c r="P82" s="69"/>
      <c r="Q82" s="70"/>
      <c r="R82" s="71"/>
      <c r="S82" s="66"/>
      <c r="T82" s="74">
        <v>25</v>
      </c>
      <c r="U82" s="68"/>
      <c r="V82" s="69"/>
      <c r="W82" s="70"/>
      <c r="X82" s="59"/>
      <c r="Y82" s="104"/>
      <c r="Z82" s="110"/>
      <c r="AA82" s="54"/>
      <c r="AB82" s="54"/>
      <c r="AC82" s="74"/>
      <c r="AD82" s="73"/>
      <c r="AE82" s="73"/>
    </row>
    <row r="83" spans="1:31" x14ac:dyDescent="0.2">
      <c r="A83" s="66"/>
      <c r="B83" s="74"/>
      <c r="C83" s="78"/>
      <c r="D83" s="69"/>
      <c r="E83" s="70"/>
      <c r="F83" s="71"/>
      <c r="G83" s="66"/>
      <c r="H83" s="74"/>
      <c r="I83" s="68"/>
      <c r="J83" s="69"/>
      <c r="K83" s="70"/>
      <c r="L83" s="73"/>
      <c r="M83" s="66"/>
      <c r="N83" s="74"/>
      <c r="O83" s="68"/>
      <c r="P83" s="69"/>
      <c r="Q83" s="70"/>
      <c r="R83" s="71"/>
      <c r="S83" s="66"/>
      <c r="T83" s="74"/>
      <c r="U83" s="68"/>
      <c r="V83" s="69"/>
      <c r="W83" s="70"/>
      <c r="X83" s="59"/>
      <c r="Y83" s="104"/>
      <c r="Z83" s="104"/>
      <c r="AA83" s="74"/>
      <c r="AB83" s="54"/>
      <c r="AC83" s="54"/>
      <c r="AD83" s="59"/>
      <c r="AE83" s="59"/>
    </row>
    <row r="84" spans="1:31" ht="38.25" x14ac:dyDescent="0.2">
      <c r="A84" s="79"/>
      <c r="B84" s="80" t="s">
        <v>84</v>
      </c>
      <c r="C84" s="60" t="s">
        <v>85</v>
      </c>
      <c r="D84" s="81" t="s">
        <v>86</v>
      </c>
      <c r="E84" s="60" t="s">
        <v>87</v>
      </c>
      <c r="F84" s="82"/>
      <c r="G84" s="79"/>
      <c r="H84" s="80" t="s">
        <v>84</v>
      </c>
      <c r="I84" s="60" t="s">
        <v>85</v>
      </c>
      <c r="J84" s="81" t="s">
        <v>86</v>
      </c>
      <c r="K84" s="60" t="s">
        <v>87</v>
      </c>
      <c r="L84" s="79"/>
      <c r="M84" s="79"/>
      <c r="N84" s="80" t="s">
        <v>84</v>
      </c>
      <c r="O84" s="60" t="s">
        <v>85</v>
      </c>
      <c r="P84" s="81" t="s">
        <v>86</v>
      </c>
      <c r="Q84" s="60" t="s">
        <v>87</v>
      </c>
      <c r="R84" s="82"/>
      <c r="S84" s="79"/>
      <c r="T84" s="80" t="s">
        <v>84</v>
      </c>
      <c r="U84" s="60" t="s">
        <v>85</v>
      </c>
      <c r="V84" s="81" t="s">
        <v>86</v>
      </c>
      <c r="W84" s="60" t="s">
        <v>87</v>
      </c>
      <c r="X84" s="59"/>
      <c r="Y84" s="104"/>
      <c r="Z84" s="104"/>
      <c r="AA84" s="74"/>
      <c r="AB84" s="54"/>
      <c r="AC84" s="54"/>
      <c r="AD84" s="59"/>
      <c r="AE84" s="59"/>
    </row>
    <row r="85" spans="1:31" ht="15" customHeight="1" x14ac:dyDescent="0.2">
      <c r="A85" s="86" t="s">
        <v>89</v>
      </c>
      <c r="B85" s="87"/>
      <c r="C85" s="56">
        <f>$AC$12</f>
        <v>69600</v>
      </c>
      <c r="D85" s="88">
        <f>AB20</f>
        <v>2.15</v>
      </c>
      <c r="E85" s="56">
        <f>C85*D85</f>
        <v>149640</v>
      </c>
      <c r="F85" s="58"/>
      <c r="G85" s="86" t="s">
        <v>89</v>
      </c>
      <c r="H85" s="87"/>
      <c r="I85" s="56">
        <f>$AC$12</f>
        <v>69600</v>
      </c>
      <c r="J85" s="88">
        <f>AC20</f>
        <v>2.15</v>
      </c>
      <c r="K85" s="56">
        <f>I85*J85</f>
        <v>149640</v>
      </c>
      <c r="L85" s="56"/>
      <c r="M85" s="86" t="s">
        <v>89</v>
      </c>
      <c r="N85" s="87"/>
      <c r="O85" s="56">
        <f>$AC$12</f>
        <v>69600</v>
      </c>
      <c r="P85" s="88">
        <f>AD20</f>
        <v>2.15</v>
      </c>
      <c r="Q85" s="56">
        <f>O85*P85</f>
        <v>149640</v>
      </c>
      <c r="R85" s="58"/>
      <c r="S85" s="86" t="s">
        <v>89</v>
      </c>
      <c r="T85" s="87"/>
      <c r="U85" s="56">
        <f>$AC$12</f>
        <v>69600</v>
      </c>
      <c r="V85" s="88">
        <f>AE20</f>
        <v>2.15</v>
      </c>
      <c r="W85" s="56">
        <f>U85*V85</f>
        <v>149640</v>
      </c>
      <c r="X85" s="148"/>
      <c r="Y85" s="104"/>
      <c r="Z85" s="104"/>
      <c r="AA85" s="74"/>
      <c r="AB85" s="54"/>
      <c r="AC85" s="54"/>
      <c r="AD85" s="59"/>
      <c r="AE85" s="59"/>
    </row>
    <row r="86" spans="1:31" ht="15" customHeight="1" x14ac:dyDescent="0.2">
      <c r="A86" s="86" t="str">
        <f>Z13</f>
        <v>Clinical Director</v>
      </c>
      <c r="B86" s="87"/>
      <c r="C86" s="56">
        <f>AC13</f>
        <v>84385.600000000006</v>
      </c>
      <c r="D86" s="88">
        <v>1</v>
      </c>
      <c r="E86" s="56">
        <f>C86*D86</f>
        <v>84385.600000000006</v>
      </c>
      <c r="F86" s="58"/>
      <c r="G86" s="86" t="str">
        <f>Z13</f>
        <v>Clinical Director</v>
      </c>
      <c r="H86" s="87"/>
      <c r="I86" s="56">
        <f>AC13</f>
        <v>84385.600000000006</v>
      </c>
      <c r="J86" s="88">
        <v>1</v>
      </c>
      <c r="K86" s="56">
        <f>I86*J86</f>
        <v>84385.600000000006</v>
      </c>
      <c r="L86" s="56"/>
      <c r="M86" s="86" t="str">
        <f>Z13</f>
        <v>Clinical Director</v>
      </c>
      <c r="N86" s="87"/>
      <c r="O86" s="56">
        <f>AC13</f>
        <v>84385.600000000006</v>
      </c>
      <c r="P86" s="88">
        <v>1</v>
      </c>
      <c r="Q86" s="56">
        <f>O86*P86</f>
        <v>84385.600000000006</v>
      </c>
      <c r="R86" s="58"/>
      <c r="S86" s="86" t="str">
        <f>Z13</f>
        <v>Clinical Director</v>
      </c>
      <c r="T86" s="87"/>
      <c r="U86" s="56">
        <f>AC13</f>
        <v>84385.600000000006</v>
      </c>
      <c r="V86" s="88">
        <v>1.5</v>
      </c>
      <c r="W86" s="56">
        <f>U86*V86</f>
        <v>126578.40000000001</v>
      </c>
      <c r="Y86" s="104"/>
      <c r="Z86" s="104"/>
      <c r="AA86" s="74"/>
      <c r="AB86" s="54"/>
      <c r="AC86" s="54"/>
      <c r="AD86" s="59"/>
      <c r="AE86" s="59"/>
    </row>
    <row r="87" spans="1:31" ht="15" customHeight="1" x14ac:dyDescent="0.2">
      <c r="A87" s="86" t="str">
        <f>Z14</f>
        <v>Clinical (LICSW)</v>
      </c>
      <c r="B87" s="87"/>
      <c r="C87" s="56">
        <f>AC14</f>
        <v>63627.199999999997</v>
      </c>
      <c r="D87" s="88">
        <v>2</v>
      </c>
      <c r="E87" s="56">
        <f>C87*D87</f>
        <v>127254.39999999999</v>
      </c>
      <c r="F87" s="58"/>
      <c r="G87" s="86" t="str">
        <f>Z14</f>
        <v>Clinical (LICSW)</v>
      </c>
      <c r="H87" s="87"/>
      <c r="I87" s="56">
        <f>AC14</f>
        <v>63627.199999999997</v>
      </c>
      <c r="J87" s="88">
        <v>2</v>
      </c>
      <c r="K87" s="56">
        <f>I87*J87</f>
        <v>127254.39999999999</v>
      </c>
      <c r="L87" s="56"/>
      <c r="M87" s="86" t="str">
        <f>Z14</f>
        <v>Clinical (LICSW)</v>
      </c>
      <c r="N87" s="87"/>
      <c r="O87" s="56">
        <f>AC14</f>
        <v>63627.199999999997</v>
      </c>
      <c r="P87" s="88">
        <v>2</v>
      </c>
      <c r="Q87" s="56">
        <f>O87*P87</f>
        <v>127254.39999999999</v>
      </c>
      <c r="R87" s="58"/>
      <c r="S87" s="86" t="str">
        <f>Z14</f>
        <v>Clinical (LICSW)</v>
      </c>
      <c r="T87" s="87"/>
      <c r="U87" s="56">
        <f>AC14</f>
        <v>63627.199999999997</v>
      </c>
      <c r="V87" s="88">
        <v>2</v>
      </c>
      <c r="W87" s="56">
        <f>U87*V87</f>
        <v>127254.39999999999</v>
      </c>
      <c r="Y87" s="63"/>
      <c r="Z87" s="104"/>
      <c r="AA87" s="74"/>
      <c r="AB87" s="54"/>
      <c r="AC87" s="54"/>
      <c r="AD87" s="59"/>
      <c r="AE87" s="59"/>
    </row>
    <row r="88" spans="1:31" ht="15" customHeight="1" x14ac:dyDescent="0.2">
      <c r="A88" s="95" t="s">
        <v>92</v>
      </c>
      <c r="B88" s="88">
        <v>0.57999999999999996</v>
      </c>
      <c r="C88" s="56">
        <f>AC15</f>
        <v>34927.359999999993</v>
      </c>
      <c r="D88" s="88">
        <v>20.69</v>
      </c>
      <c r="E88" s="56">
        <f>C88*D88</f>
        <v>722647.07839999988</v>
      </c>
      <c r="F88" s="58"/>
      <c r="G88" s="95" t="s">
        <v>92</v>
      </c>
      <c r="H88" s="88">
        <v>0.69</v>
      </c>
      <c r="I88" s="56">
        <f>AC15</f>
        <v>34927.359999999993</v>
      </c>
      <c r="J88" s="88">
        <v>22.43</v>
      </c>
      <c r="K88" s="56">
        <f>I88*J88</f>
        <v>783420.68479999981</v>
      </c>
      <c r="L88" s="97"/>
      <c r="M88" s="95" t="s">
        <v>93</v>
      </c>
      <c r="N88" s="88">
        <v>0.89</v>
      </c>
      <c r="O88" s="56">
        <f>AC15</f>
        <v>34927.359999999993</v>
      </c>
      <c r="P88" s="88">
        <v>22.43</v>
      </c>
      <c r="Q88" s="56">
        <f>O88*P88</f>
        <v>783420.68479999981</v>
      </c>
      <c r="R88" s="58"/>
      <c r="S88" s="95" t="s">
        <v>92</v>
      </c>
      <c r="T88" s="88">
        <v>0.94</v>
      </c>
      <c r="U88" s="56">
        <f>AC15</f>
        <v>34927.359999999993</v>
      </c>
      <c r="V88" s="88">
        <v>26.73</v>
      </c>
      <c r="W88" s="56">
        <f>U88*V88</f>
        <v>933608.33279999986</v>
      </c>
      <c r="X88" s="71"/>
      <c r="AB88" s="226"/>
      <c r="AC88" s="58"/>
      <c r="AD88" s="59"/>
      <c r="AE88" s="59"/>
    </row>
    <row r="89" spans="1:31" x14ac:dyDescent="0.2">
      <c r="A89" s="86" t="s">
        <v>94</v>
      </c>
      <c r="B89" s="88"/>
      <c r="C89" s="56">
        <f>AC16</f>
        <v>34927.359999999993</v>
      </c>
      <c r="D89" s="88">
        <f>AB24</f>
        <v>3</v>
      </c>
      <c r="E89" s="56">
        <f>C89*D89</f>
        <v>104782.07999999999</v>
      </c>
      <c r="F89" s="58"/>
      <c r="G89" s="86" t="s">
        <v>94</v>
      </c>
      <c r="H89" s="88"/>
      <c r="I89" s="56">
        <f>AC16</f>
        <v>34927.359999999993</v>
      </c>
      <c r="J89" s="88">
        <f>AC24</f>
        <v>3</v>
      </c>
      <c r="K89" s="56">
        <f>I89*J89</f>
        <v>104782.07999999999</v>
      </c>
      <c r="L89" s="56"/>
      <c r="M89" s="86" t="s">
        <v>94</v>
      </c>
      <c r="N89" s="88"/>
      <c r="O89" s="56">
        <f>AC16</f>
        <v>34927.359999999993</v>
      </c>
      <c r="P89" s="88">
        <f>AD24</f>
        <v>3</v>
      </c>
      <c r="Q89" s="56">
        <f>O89*P89</f>
        <v>104782.07999999999</v>
      </c>
      <c r="R89" s="58"/>
      <c r="S89" s="86" t="s">
        <v>94</v>
      </c>
      <c r="T89" s="88"/>
      <c r="U89" s="56">
        <f>AC16</f>
        <v>34927.359999999993</v>
      </c>
      <c r="V89" s="88">
        <f>AE24</f>
        <v>4</v>
      </c>
      <c r="W89" s="56">
        <f>U89*V89</f>
        <v>139709.43999999997</v>
      </c>
      <c r="X89" s="71"/>
      <c r="AA89" s="54"/>
      <c r="AB89" s="54"/>
      <c r="AC89" s="54"/>
      <c r="AD89" s="59"/>
      <c r="AE89" s="59"/>
    </row>
    <row r="90" spans="1:31" x14ac:dyDescent="0.2">
      <c r="A90" s="100" t="s">
        <v>95</v>
      </c>
      <c r="B90" s="100"/>
      <c r="C90" s="101"/>
      <c r="D90" s="102">
        <f>SUM(D85:D89)</f>
        <v>28.840000000000003</v>
      </c>
      <c r="E90" s="101">
        <f>SUM(E85:E89)</f>
        <v>1188709.1584000001</v>
      </c>
      <c r="F90" s="63"/>
      <c r="G90" s="100" t="s">
        <v>95</v>
      </c>
      <c r="H90" s="100"/>
      <c r="I90" s="101"/>
      <c r="J90" s="102">
        <f>SUM(J85:J89)</f>
        <v>30.58</v>
      </c>
      <c r="K90" s="101">
        <f>SUM(K85:K89)</f>
        <v>1249482.7648</v>
      </c>
      <c r="L90" s="73"/>
      <c r="M90" s="100" t="s">
        <v>95</v>
      </c>
      <c r="N90" s="100"/>
      <c r="O90" s="101"/>
      <c r="P90" s="102">
        <f>SUM(P85:P89)</f>
        <v>30.58</v>
      </c>
      <c r="Q90" s="101">
        <f>SUM(Q85:Q89)</f>
        <v>1249482.7648</v>
      </c>
      <c r="R90" s="63"/>
      <c r="S90" s="100" t="s">
        <v>95</v>
      </c>
      <c r="T90" s="100"/>
      <c r="U90" s="101"/>
      <c r="V90" s="102">
        <f>SUM(V85:V89)</f>
        <v>36.380000000000003</v>
      </c>
      <c r="W90" s="101">
        <f>SUM(W85:W89)</f>
        <v>1476790.5727999997</v>
      </c>
      <c r="X90" s="71"/>
      <c r="Y90" s="74"/>
      <c r="Z90" s="74"/>
      <c r="AA90" s="74"/>
      <c r="AB90" s="74"/>
      <c r="AC90" s="74"/>
      <c r="AD90" s="73"/>
      <c r="AE90" s="73"/>
    </row>
    <row r="91" spans="1:31" x14ac:dyDescent="0.2">
      <c r="A91" s="73" t="s">
        <v>98</v>
      </c>
      <c r="B91" s="73"/>
      <c r="C91" s="62"/>
      <c r="D91" s="61" t="s">
        <v>99</v>
      </c>
      <c r="E91" s="62"/>
      <c r="F91" s="63"/>
      <c r="G91" s="73" t="s">
        <v>98</v>
      </c>
      <c r="H91" s="73"/>
      <c r="I91" s="62"/>
      <c r="J91" s="61" t="s">
        <v>99</v>
      </c>
      <c r="K91" s="62"/>
      <c r="L91" s="73"/>
      <c r="M91" s="73" t="s">
        <v>98</v>
      </c>
      <c r="N91" s="73"/>
      <c r="O91" s="62"/>
      <c r="P91" s="61" t="s">
        <v>99</v>
      </c>
      <c r="Q91" s="62"/>
      <c r="R91" s="63"/>
      <c r="S91" s="73" t="s">
        <v>98</v>
      </c>
      <c r="T91" s="73"/>
      <c r="U91" s="62"/>
      <c r="V91" s="61" t="s">
        <v>99</v>
      </c>
      <c r="W91" s="62"/>
      <c r="Y91" s="74"/>
      <c r="Z91" s="69"/>
      <c r="AA91" s="74"/>
      <c r="AB91" s="74"/>
      <c r="AC91" s="74"/>
      <c r="AD91" s="73"/>
      <c r="AE91" s="73"/>
    </row>
    <row r="92" spans="1:31" s="73" customFormat="1" x14ac:dyDescent="0.2">
      <c r="A92" s="59" t="s">
        <v>61</v>
      </c>
      <c r="B92" s="59"/>
      <c r="C92" s="106">
        <f>AB42</f>
        <v>3.7000000000000002E-3</v>
      </c>
      <c r="D92" s="57"/>
      <c r="E92" s="56">
        <f>E90*C92</f>
        <v>4398.2238860800007</v>
      </c>
      <c r="F92" s="58"/>
      <c r="G92" s="59" t="s">
        <v>61</v>
      </c>
      <c r="H92" s="59"/>
      <c r="I92" s="106">
        <f>AB42</f>
        <v>3.7000000000000002E-3</v>
      </c>
      <c r="J92" s="57"/>
      <c r="K92" s="56">
        <f>K90*I92</f>
        <v>4623.0862297600006</v>
      </c>
      <c r="L92" s="59"/>
      <c r="M92" s="59" t="s">
        <v>61</v>
      </c>
      <c r="N92" s="59"/>
      <c r="O92" s="106">
        <f>AB42</f>
        <v>3.7000000000000002E-3</v>
      </c>
      <c r="P92" s="57"/>
      <c r="Q92" s="56">
        <f>Q90*O92</f>
        <v>4623.0862297600006</v>
      </c>
      <c r="R92" s="58"/>
      <c r="S92" s="59" t="s">
        <v>61</v>
      </c>
      <c r="T92" s="59"/>
      <c r="U92" s="106">
        <f>AB42</f>
        <v>3.7000000000000002E-3</v>
      </c>
      <c r="V92" s="57"/>
      <c r="W92" s="56">
        <f>W90*U92</f>
        <v>5464.1251193599992</v>
      </c>
      <c r="X92" s="58"/>
      <c r="Y92" s="74"/>
      <c r="Z92" s="69"/>
      <c r="AA92" s="74"/>
      <c r="AB92" s="74"/>
      <c r="AC92" s="74"/>
    </row>
    <row r="93" spans="1:31" s="73" customFormat="1" x14ac:dyDescent="0.2">
      <c r="A93" s="59" t="s">
        <v>101</v>
      </c>
      <c r="B93" s="59"/>
      <c r="C93" s="106">
        <f>'[9]Salary Bench Chart'!C30</f>
        <v>0.224</v>
      </c>
      <c r="D93" s="57"/>
      <c r="E93" s="56">
        <f>C93*E90</f>
        <v>266270.85148160002</v>
      </c>
      <c r="F93" s="58"/>
      <c r="G93" s="59" t="s">
        <v>101</v>
      </c>
      <c r="H93" s="59"/>
      <c r="I93" s="106">
        <f>'[9]Salary Bench Chart'!C30</f>
        <v>0.224</v>
      </c>
      <c r="J93" s="57"/>
      <c r="K93" s="56">
        <f>I93*K90</f>
        <v>279884.13931519998</v>
      </c>
      <c r="L93" s="59"/>
      <c r="M93" s="59" t="s">
        <v>101</v>
      </c>
      <c r="N93" s="59"/>
      <c r="O93" s="106">
        <f>'[9]Salary Bench Chart'!C30</f>
        <v>0.224</v>
      </c>
      <c r="P93" s="57"/>
      <c r="Q93" s="56">
        <f>O93*Q90</f>
        <v>279884.13931519998</v>
      </c>
      <c r="R93" s="58"/>
      <c r="S93" s="59" t="s">
        <v>101</v>
      </c>
      <c r="T93" s="59"/>
      <c r="U93" s="106">
        <f>'[9]Salary Bench Chart'!C30</f>
        <v>0.224</v>
      </c>
      <c r="V93" s="57"/>
      <c r="W93" s="56">
        <f>U93*W90</f>
        <v>330801.08830719994</v>
      </c>
      <c r="X93" s="58"/>
      <c r="Y93" s="76"/>
      <c r="Z93" s="82"/>
      <c r="AA93" s="82"/>
      <c r="AB93" s="82"/>
      <c r="AC93" s="631"/>
      <c r="AD93" s="79"/>
      <c r="AE93" s="79"/>
    </row>
    <row r="94" spans="1:31" s="73" customFormat="1" x14ac:dyDescent="0.2">
      <c r="A94" s="107" t="s">
        <v>102</v>
      </c>
      <c r="B94" s="107"/>
      <c r="C94" s="108"/>
      <c r="D94" s="109">
        <f>E94/E81</f>
        <v>332.18721686794521</v>
      </c>
      <c r="E94" s="101">
        <f>E93+E90</f>
        <v>1454980.0098816</v>
      </c>
      <c r="F94" s="58"/>
      <c r="G94" s="107" t="s">
        <v>102</v>
      </c>
      <c r="H94" s="107"/>
      <c r="I94" s="108"/>
      <c r="J94" s="109">
        <f>K94/K81</f>
        <v>271.14272918161026</v>
      </c>
      <c r="K94" s="101">
        <f>K93+K90+K92</f>
        <v>1533989.99034496</v>
      </c>
      <c r="L94" s="58"/>
      <c r="M94" s="107" t="s">
        <v>102</v>
      </c>
      <c r="N94" s="107"/>
      <c r="O94" s="108"/>
      <c r="P94" s="109">
        <f>Q94/Q81</f>
        <v>210.13561511574795</v>
      </c>
      <c r="Q94" s="101">
        <f>Q93+Q90+Q92</f>
        <v>1533989.99034496</v>
      </c>
      <c r="R94" s="63"/>
      <c r="S94" s="107" t="s">
        <v>102</v>
      </c>
      <c r="T94" s="107"/>
      <c r="U94" s="108"/>
      <c r="V94" s="109">
        <f>W94/W81</f>
        <v>198.69104506592436</v>
      </c>
      <c r="W94" s="101">
        <f>W93+W90+W92</f>
        <v>1813055.7862265597</v>
      </c>
      <c r="X94" s="58"/>
      <c r="Y94" s="658"/>
      <c r="Z94" s="58"/>
      <c r="AA94" s="58"/>
      <c r="AB94" s="58"/>
      <c r="AC94" s="58"/>
      <c r="AD94" s="56"/>
      <c r="AE94" s="56"/>
    </row>
    <row r="95" spans="1:31" s="56" customFormat="1" x14ac:dyDescent="0.2">
      <c r="A95" s="59" t="s">
        <v>103</v>
      </c>
      <c r="B95" s="59"/>
      <c r="D95" s="57"/>
      <c r="E95" s="56">
        <v>25000</v>
      </c>
      <c r="F95" s="58"/>
      <c r="G95" s="59" t="s">
        <v>103</v>
      </c>
      <c r="H95" s="59"/>
      <c r="J95" s="57"/>
      <c r="K95" s="56">
        <v>25000</v>
      </c>
      <c r="L95" s="58"/>
      <c r="M95" s="59" t="s">
        <v>103</v>
      </c>
      <c r="N95" s="59"/>
      <c r="P95" s="57"/>
      <c r="Q95" s="56">
        <v>30000</v>
      </c>
      <c r="R95" s="58"/>
      <c r="S95" s="59" t="s">
        <v>103</v>
      </c>
      <c r="T95" s="59"/>
      <c r="V95" s="57"/>
      <c r="W95" s="56">
        <v>30000</v>
      </c>
      <c r="X95" s="58"/>
      <c r="Y95" s="82"/>
      <c r="Z95" s="76"/>
      <c r="AA95" s="58"/>
      <c r="AB95" s="58"/>
      <c r="AC95" s="58"/>
    </row>
    <row r="96" spans="1:31" s="56" customFormat="1" x14ac:dyDescent="0.2">
      <c r="A96" s="59" t="s">
        <v>104</v>
      </c>
      <c r="B96" s="59"/>
      <c r="D96" s="88">
        <f>$AB$36</f>
        <v>7.0397177575942358</v>
      </c>
      <c r="E96" s="56">
        <f>D96*E$81</f>
        <v>30833.963778262754</v>
      </c>
      <c r="F96" s="58"/>
      <c r="G96" s="59" t="s">
        <v>104</v>
      </c>
      <c r="H96" s="59"/>
      <c r="J96" s="88">
        <f>$AB$36</f>
        <v>7.0397177575942358</v>
      </c>
      <c r="K96" s="56">
        <f>J96*K$81</f>
        <v>39827.20321358939</v>
      </c>
      <c r="L96" s="58"/>
      <c r="M96" s="59" t="s">
        <v>104</v>
      </c>
      <c r="N96" s="59"/>
      <c r="P96" s="88">
        <f>$AB$36</f>
        <v>7.0397177575942358</v>
      </c>
      <c r="Q96" s="56">
        <f>P96*Q$81</f>
        <v>51389.939630437919</v>
      </c>
      <c r="R96" s="58"/>
      <c r="S96" s="59" t="s">
        <v>104</v>
      </c>
      <c r="T96" s="59"/>
      <c r="V96" s="88">
        <f>$AB$36</f>
        <v>7.0397177575942358</v>
      </c>
      <c r="W96" s="56">
        <f>V96*W$81</f>
        <v>64237.424538047402</v>
      </c>
      <c r="X96" s="58"/>
      <c r="Y96" s="75"/>
      <c r="Z96" s="147"/>
      <c r="AA96" s="628"/>
      <c r="AB96" s="628"/>
      <c r="AC96" s="628"/>
      <c r="AD96" s="97"/>
      <c r="AE96" s="97"/>
    </row>
    <row r="97" spans="1:31" s="56" customFormat="1" x14ac:dyDescent="0.2">
      <c r="A97" s="59" t="s">
        <v>107</v>
      </c>
      <c r="B97" s="59"/>
      <c r="D97" s="88">
        <f>$AB$37</f>
        <v>26.875662441773173</v>
      </c>
      <c r="E97" s="56">
        <f>D97*E$81</f>
        <v>117715.4014949665</v>
      </c>
      <c r="F97" s="58"/>
      <c r="G97" s="59" t="s">
        <v>107</v>
      </c>
      <c r="H97" s="59"/>
      <c r="J97" s="88">
        <f>$AB$37</f>
        <v>26.875662441773173</v>
      </c>
      <c r="K97" s="56">
        <f>J97*K$81</f>
        <v>152049.06026433173</v>
      </c>
      <c r="L97" s="58"/>
      <c r="M97" s="59" t="s">
        <v>107</v>
      </c>
      <c r="N97" s="59"/>
      <c r="P97" s="88">
        <f>$AB$37</f>
        <v>26.875662441773173</v>
      </c>
      <c r="Q97" s="56">
        <f>P97*Q$81</f>
        <v>196192.33582494417</v>
      </c>
      <c r="R97" s="58"/>
      <c r="S97" s="59" t="s">
        <v>107</v>
      </c>
      <c r="T97" s="59"/>
      <c r="V97" s="88">
        <f>$AB$37</f>
        <v>26.875662441773173</v>
      </c>
      <c r="W97" s="56">
        <f>V97*W$81</f>
        <v>245240.41978118022</v>
      </c>
      <c r="X97" s="63"/>
      <c r="Y97" s="75"/>
      <c r="Z97" s="76"/>
      <c r="AA97" s="628"/>
      <c r="AB97" s="628"/>
      <c r="AC97" s="628"/>
      <c r="AD97" s="97"/>
      <c r="AE97" s="97"/>
    </row>
    <row r="98" spans="1:31" s="97" customFormat="1" x14ac:dyDescent="0.2">
      <c r="A98" s="100" t="s">
        <v>109</v>
      </c>
      <c r="B98" s="100"/>
      <c r="C98" s="101"/>
      <c r="D98" s="102"/>
      <c r="E98" s="101">
        <f>SUM(E94:E97)</f>
        <v>1628529.3751548294</v>
      </c>
      <c r="F98" s="63"/>
      <c r="G98" s="100" t="s">
        <v>109</v>
      </c>
      <c r="H98" s="100"/>
      <c r="I98" s="101"/>
      <c r="J98" s="102"/>
      <c r="K98" s="101">
        <f>SUM(K94:K97)</f>
        <v>1750866.2538228813</v>
      </c>
      <c r="L98" s="58"/>
      <c r="M98" s="100" t="s">
        <v>109</v>
      </c>
      <c r="N98" s="100"/>
      <c r="O98" s="101"/>
      <c r="P98" s="102"/>
      <c r="Q98" s="101">
        <f>SUM(Q94:Q97)</f>
        <v>1811572.265800342</v>
      </c>
      <c r="R98" s="63"/>
      <c r="S98" s="100" t="s">
        <v>109</v>
      </c>
      <c r="T98" s="100"/>
      <c r="U98" s="101"/>
      <c r="V98" s="102"/>
      <c r="W98" s="101">
        <f>SUM(W94:W97)</f>
        <v>2152533.630545787</v>
      </c>
      <c r="X98" s="63"/>
      <c r="Y98" s="75"/>
      <c r="Z98" s="76"/>
      <c r="AA98" s="58"/>
      <c r="AB98" s="58"/>
      <c r="AC98" s="58"/>
      <c r="AD98" s="56"/>
      <c r="AE98" s="56"/>
    </row>
    <row r="99" spans="1:31" s="97" customFormat="1" x14ac:dyDescent="0.2">
      <c r="A99" s="59" t="s">
        <v>110</v>
      </c>
      <c r="B99" s="59"/>
      <c r="C99" s="106">
        <f>'[9]Salary Bench Chart'!C33</f>
        <v>0.12</v>
      </c>
      <c r="D99" s="88"/>
      <c r="E99" s="56">
        <f>C99*E98</f>
        <v>195423.5250185795</v>
      </c>
      <c r="F99" s="58"/>
      <c r="G99" s="59" t="s">
        <v>110</v>
      </c>
      <c r="H99" s="59"/>
      <c r="I99" s="106">
        <f>'[9]Salary Bench Chart'!C33</f>
        <v>0.12</v>
      </c>
      <c r="J99" s="88"/>
      <c r="K99" s="56">
        <f>I99*K98</f>
        <v>210103.95045874573</v>
      </c>
      <c r="L99" s="58"/>
      <c r="M99" s="59" t="s">
        <v>110</v>
      </c>
      <c r="N99" s="59"/>
      <c r="O99" s="106">
        <f>'[9]Salary Bench Chart'!C33</f>
        <v>0.12</v>
      </c>
      <c r="P99" s="88"/>
      <c r="Q99" s="56">
        <f>O99*Q98</f>
        <v>217388.67189604102</v>
      </c>
      <c r="R99" s="58"/>
      <c r="S99" s="59" t="s">
        <v>110</v>
      </c>
      <c r="T99" s="59"/>
      <c r="U99" s="106">
        <f>'[9]Salary Bench Chart'!C33</f>
        <v>0.12</v>
      </c>
      <c r="V99" s="88"/>
      <c r="W99" s="56">
        <f>U99*W98</f>
        <v>258304.03566549445</v>
      </c>
      <c r="X99" s="58"/>
      <c r="Y99" s="75"/>
      <c r="Z99" s="76"/>
      <c r="AA99" s="58"/>
      <c r="AB99" s="58"/>
      <c r="AC99" s="58"/>
      <c r="AD99" s="56"/>
      <c r="AE99" s="56"/>
    </row>
    <row r="100" spans="1:31" s="56" customFormat="1" ht="13.5" thickBot="1" x14ac:dyDescent="0.25">
      <c r="A100" s="113" t="s">
        <v>112</v>
      </c>
      <c r="B100" s="113"/>
      <c r="C100" s="114"/>
      <c r="D100" s="115"/>
      <c r="E100" s="114">
        <f>ROUND(SUM(E98:E99),2)</f>
        <v>1823952.9</v>
      </c>
      <c r="F100" s="63"/>
      <c r="G100" s="113" t="s">
        <v>112</v>
      </c>
      <c r="H100" s="113"/>
      <c r="I100" s="114"/>
      <c r="J100" s="115"/>
      <c r="K100" s="114">
        <f>ROUND(SUM(K98:K99),2)</f>
        <v>1960970.2</v>
      </c>
      <c r="L100" s="73"/>
      <c r="M100" s="113" t="s">
        <v>112</v>
      </c>
      <c r="N100" s="113"/>
      <c r="O100" s="114"/>
      <c r="P100" s="115"/>
      <c r="Q100" s="114">
        <f>ROUND(SUM(Q98:Q99),2)</f>
        <v>2028960.94</v>
      </c>
      <c r="R100" s="63"/>
      <c r="S100" s="113" t="s">
        <v>112</v>
      </c>
      <c r="T100" s="113"/>
      <c r="U100" s="114"/>
      <c r="V100" s="115"/>
      <c r="W100" s="114">
        <f>ROUND(SUM(W98:W99),2)</f>
        <v>2410837.67</v>
      </c>
      <c r="X100" s="58"/>
      <c r="Y100" s="94"/>
      <c r="Z100" s="76"/>
      <c r="AA100" s="74"/>
      <c r="AB100" s="74"/>
      <c r="AC100" s="74"/>
      <c r="AD100" s="73"/>
      <c r="AE100" s="73"/>
    </row>
    <row r="101" spans="1:31" s="73" customFormat="1" ht="13.5" thickTop="1" x14ac:dyDescent="0.2">
      <c r="A101" s="117" t="s">
        <v>114</v>
      </c>
      <c r="B101" s="117"/>
      <c r="C101" s="118"/>
      <c r="D101" s="118"/>
      <c r="E101" s="118">
        <f>E100/E81</f>
        <v>416.42760273972601</v>
      </c>
      <c r="F101" s="119"/>
      <c r="G101" s="117" t="s">
        <v>114</v>
      </c>
      <c r="H101" s="117"/>
      <c r="I101" s="118"/>
      <c r="J101" s="118"/>
      <c r="K101" s="118">
        <f>K100/K81</f>
        <v>346.61426425099427</v>
      </c>
      <c r="L101" s="120"/>
      <c r="M101" s="117" t="s">
        <v>114</v>
      </c>
      <c r="N101" s="117"/>
      <c r="O101" s="118"/>
      <c r="P101" s="118"/>
      <c r="Q101" s="118">
        <f>Q100/Q81</f>
        <v>277.93985479452056</v>
      </c>
      <c r="R101" s="120"/>
      <c r="S101" s="117" t="s">
        <v>114</v>
      </c>
      <c r="T101" s="117"/>
      <c r="U101" s="118"/>
      <c r="V101" s="118"/>
      <c r="W101" s="118">
        <f>W100/W81</f>
        <v>264.20138849315066</v>
      </c>
      <c r="X101" s="58"/>
      <c r="Y101" s="98"/>
      <c r="Z101" s="76"/>
      <c r="AA101" s="74"/>
      <c r="AB101" s="74"/>
      <c r="AC101" s="74"/>
    </row>
    <row r="102" spans="1:31" s="73" customFormat="1" ht="13.5" thickBot="1" x14ac:dyDescent="0.25">
      <c r="A102" s="117" t="s">
        <v>64</v>
      </c>
      <c r="B102" s="117"/>
      <c r="C102" s="121">
        <f>'[9]Salary Bench Chart'!C31</f>
        <v>1.0633805350099574E-2</v>
      </c>
      <c r="D102" s="118"/>
      <c r="E102" s="118"/>
      <c r="F102" s="119"/>
      <c r="G102" s="117" t="s">
        <v>64</v>
      </c>
      <c r="H102" s="117"/>
      <c r="I102" s="121">
        <f>'[9]Salary Bench Chart'!C31</f>
        <v>1.0633805350099574E-2</v>
      </c>
      <c r="J102" s="118"/>
      <c r="K102" s="118"/>
      <c r="L102" s="120"/>
      <c r="M102" s="117" t="s">
        <v>64</v>
      </c>
      <c r="N102" s="117"/>
      <c r="O102" s="121">
        <f>'[9]Salary Bench Chart'!C31</f>
        <v>1.0633805350099574E-2</v>
      </c>
      <c r="P102" s="118"/>
      <c r="Q102" s="118"/>
      <c r="R102" s="54"/>
      <c r="S102" s="117" t="s">
        <v>64</v>
      </c>
      <c r="T102" s="117"/>
      <c r="U102" s="121">
        <f>'[9]Salary Bench Chart'!C31</f>
        <v>1.0633805350099574E-2</v>
      </c>
      <c r="V102" s="118"/>
      <c r="W102" s="118"/>
      <c r="X102" s="58"/>
      <c r="Y102" s="82"/>
      <c r="Z102" s="54"/>
      <c r="AA102" s="54"/>
      <c r="AB102" s="54"/>
      <c r="AC102" s="54"/>
      <c r="AD102" s="59"/>
      <c r="AE102" s="59"/>
    </row>
    <row r="103" spans="1:31" ht="13.5" thickBot="1" x14ac:dyDescent="0.25">
      <c r="A103" s="122" t="s">
        <v>116</v>
      </c>
      <c r="B103" s="123"/>
      <c r="C103" s="124">
        <v>0.9</v>
      </c>
      <c r="D103" s="103"/>
      <c r="E103" s="125">
        <f t="shared" ref="E103:E111" si="12">E$100*(C$102+1)/(E$81*C103)</f>
        <v>467.61756978852094</v>
      </c>
      <c r="G103" s="122" t="s">
        <v>116</v>
      </c>
      <c r="H103" s="123"/>
      <c r="I103" s="124">
        <v>0.9</v>
      </c>
      <c r="J103" s="103"/>
      <c r="K103" s="125">
        <f t="shared" ref="K103:K111" si="13">K$100*(I$102+1)/(K$81*I103)</f>
        <v>389.22232540956367</v>
      </c>
      <c r="M103" s="122" t="s">
        <v>116</v>
      </c>
      <c r="N103" s="123"/>
      <c r="O103" s="124">
        <v>0.9</v>
      </c>
      <c r="P103" s="103"/>
      <c r="Q103" s="125">
        <f t="shared" ref="Q103:Q111" si="14">Q$100*(O$102+1)/(Q$81*O103)</f>
        <v>312.10601456604491</v>
      </c>
      <c r="R103" s="58"/>
      <c r="S103" s="122" t="s">
        <v>116</v>
      </c>
      <c r="T103" s="123"/>
      <c r="U103" s="124">
        <v>0.9</v>
      </c>
      <c r="V103" s="103"/>
      <c r="W103" s="125">
        <f t="shared" ref="W103:W111" si="15">W$100*(U$102+1)/(W$81*U103)</f>
        <v>296.67872736845874</v>
      </c>
      <c r="Y103" s="63"/>
      <c r="Z103" s="54"/>
      <c r="AA103" s="54"/>
      <c r="AB103" s="54"/>
      <c r="AC103" s="54"/>
      <c r="AD103" s="59"/>
      <c r="AE103" s="59"/>
    </row>
    <row r="104" spans="1:31" ht="13.5" thickBot="1" x14ac:dyDescent="0.25">
      <c r="A104" s="126"/>
      <c r="B104" s="54"/>
      <c r="C104" s="127">
        <v>0.85</v>
      </c>
      <c r="D104" s="58"/>
      <c r="E104" s="125">
        <f t="shared" si="12"/>
        <v>495.12448565843391</v>
      </c>
      <c r="G104" s="126"/>
      <c r="I104" s="127">
        <v>0.85</v>
      </c>
      <c r="J104" s="58"/>
      <c r="K104" s="125">
        <f t="shared" si="13"/>
        <v>412.11775631600864</v>
      </c>
      <c r="M104" s="126"/>
      <c r="N104" s="54"/>
      <c r="O104" s="127">
        <v>0.85</v>
      </c>
      <c r="P104" s="58"/>
      <c r="Q104" s="125">
        <f t="shared" si="14"/>
        <v>330.46519189345935</v>
      </c>
      <c r="R104" s="58"/>
      <c r="S104" s="126"/>
      <c r="T104" s="54"/>
      <c r="U104" s="127">
        <v>0.85</v>
      </c>
      <c r="V104" s="58"/>
      <c r="W104" s="125">
        <f t="shared" si="15"/>
        <v>314.13041721366221</v>
      </c>
      <c r="X104" s="63"/>
      <c r="Y104" s="63"/>
      <c r="Z104" s="54"/>
      <c r="AA104" s="54"/>
      <c r="AB104" s="54"/>
      <c r="AC104" s="54"/>
      <c r="AD104" s="59"/>
      <c r="AE104" s="59"/>
    </row>
    <row r="105" spans="1:31" ht="13.5" thickBot="1" x14ac:dyDescent="0.25">
      <c r="A105" s="126"/>
      <c r="B105" s="54"/>
      <c r="C105" s="127">
        <v>0.8</v>
      </c>
      <c r="D105" s="58"/>
      <c r="E105" s="125">
        <f t="shared" si="12"/>
        <v>526.06976601208601</v>
      </c>
      <c r="G105" s="126"/>
      <c r="I105" s="127">
        <v>0.8</v>
      </c>
      <c r="J105" s="58"/>
      <c r="K105" s="125">
        <f t="shared" si="13"/>
        <v>437.87511608575915</v>
      </c>
      <c r="M105" s="126"/>
      <c r="N105" s="54"/>
      <c r="O105" s="127">
        <v>0.8</v>
      </c>
      <c r="P105" s="58"/>
      <c r="Q105" s="125">
        <f t="shared" si="14"/>
        <v>351.11926638680052</v>
      </c>
      <c r="R105" s="58"/>
      <c r="S105" s="126"/>
      <c r="T105" s="54"/>
      <c r="U105" s="127">
        <v>0.8</v>
      </c>
      <c r="V105" s="58"/>
      <c r="W105" s="125">
        <f t="shared" si="15"/>
        <v>333.76356828951606</v>
      </c>
      <c r="Y105" s="63"/>
      <c r="Z105" s="54"/>
      <c r="AA105" s="54"/>
      <c r="AB105" s="54"/>
      <c r="AC105" s="54"/>
      <c r="AD105" s="59"/>
      <c r="AE105" s="59"/>
    </row>
    <row r="106" spans="1:31" ht="13.5" thickBot="1" x14ac:dyDescent="0.25">
      <c r="A106" s="126"/>
      <c r="B106" s="54"/>
      <c r="C106" s="127">
        <v>0.75</v>
      </c>
      <c r="D106" s="58"/>
      <c r="E106" s="125">
        <f t="shared" si="12"/>
        <v>561.14108374622515</v>
      </c>
      <c r="G106" s="126"/>
      <c r="I106" s="127">
        <v>0.75</v>
      </c>
      <c r="J106" s="58"/>
      <c r="K106" s="125">
        <f t="shared" si="13"/>
        <v>467.06679049147641</v>
      </c>
      <c r="M106" s="126"/>
      <c r="N106" s="54"/>
      <c r="O106" s="127">
        <v>0.75</v>
      </c>
      <c r="P106" s="58"/>
      <c r="Q106" s="125">
        <f t="shared" si="14"/>
        <v>374.52721747925392</v>
      </c>
      <c r="R106" s="58"/>
      <c r="S106" s="126"/>
      <c r="T106" s="54"/>
      <c r="U106" s="127">
        <v>0.75</v>
      </c>
      <c r="V106" s="58"/>
      <c r="W106" s="125">
        <f t="shared" si="15"/>
        <v>356.0144728421505</v>
      </c>
      <c r="Y106" s="63"/>
      <c r="Z106" s="54"/>
      <c r="AA106" s="54"/>
      <c r="AB106" s="54"/>
      <c r="AC106" s="54"/>
      <c r="AD106" s="59"/>
      <c r="AE106" s="59"/>
    </row>
    <row r="107" spans="1:31" ht="13.5" thickBot="1" x14ac:dyDescent="0.25">
      <c r="A107" s="126"/>
      <c r="B107" s="54"/>
      <c r="C107" s="127">
        <v>0.7</v>
      </c>
      <c r="D107" s="58"/>
      <c r="E107" s="125">
        <f t="shared" si="12"/>
        <v>601.22258972809834</v>
      </c>
      <c r="G107" s="126"/>
      <c r="I107" s="127">
        <v>0.7</v>
      </c>
      <c r="J107" s="58"/>
      <c r="K107" s="125">
        <f t="shared" si="13"/>
        <v>500.42870409801054</v>
      </c>
      <c r="M107" s="126"/>
      <c r="N107" s="54"/>
      <c r="O107" s="127">
        <v>0.7</v>
      </c>
      <c r="P107" s="58"/>
      <c r="Q107" s="125">
        <f t="shared" si="14"/>
        <v>401.2791615849149</v>
      </c>
      <c r="R107" s="58"/>
      <c r="S107" s="126"/>
      <c r="T107" s="54"/>
      <c r="U107" s="127">
        <v>0.7</v>
      </c>
      <c r="V107" s="58"/>
      <c r="W107" s="125">
        <f t="shared" si="15"/>
        <v>381.44407804516123</v>
      </c>
      <c r="X107" s="63"/>
      <c r="Y107" s="652"/>
      <c r="Z107" s="652"/>
      <c r="AA107" s="652"/>
      <c r="AB107" s="652"/>
      <c r="AC107" s="54"/>
      <c r="AD107" s="59"/>
      <c r="AE107" s="59"/>
    </row>
    <row r="108" spans="1:31" ht="13.5" thickBot="1" x14ac:dyDescent="0.25">
      <c r="A108" s="126"/>
      <c r="B108" s="54"/>
      <c r="C108" s="127">
        <v>0.65</v>
      </c>
      <c r="D108" s="58"/>
      <c r="E108" s="125">
        <f t="shared" si="12"/>
        <v>647.47048124564435</v>
      </c>
      <c r="G108" s="126"/>
      <c r="I108" s="127">
        <v>0.65</v>
      </c>
      <c r="J108" s="58"/>
      <c r="K108" s="125">
        <f t="shared" si="13"/>
        <v>538.92321979785743</v>
      </c>
      <c r="M108" s="126"/>
      <c r="N108" s="54"/>
      <c r="O108" s="127">
        <v>0.65</v>
      </c>
      <c r="P108" s="58"/>
      <c r="Q108" s="125">
        <f t="shared" si="14"/>
        <v>432.1467893991391</v>
      </c>
      <c r="R108" s="58"/>
      <c r="S108" s="126"/>
      <c r="T108" s="54"/>
      <c r="U108" s="127">
        <v>0.65</v>
      </c>
      <c r="V108" s="58"/>
      <c r="W108" s="125">
        <f t="shared" si="15"/>
        <v>410.78593020248132</v>
      </c>
      <c r="X108" s="63"/>
      <c r="Y108" s="652"/>
      <c r="Z108" s="652"/>
      <c r="AA108" s="652"/>
      <c r="AB108" s="652"/>
      <c r="AC108" s="54"/>
      <c r="AD108" s="59"/>
      <c r="AE108" s="59"/>
    </row>
    <row r="109" spans="1:31" ht="13.5" thickBot="1" x14ac:dyDescent="0.25">
      <c r="A109" s="126"/>
      <c r="B109" s="54"/>
      <c r="C109" s="127">
        <v>0.6</v>
      </c>
      <c r="D109" s="58"/>
      <c r="E109" s="125">
        <f t="shared" si="12"/>
        <v>701.42635468278138</v>
      </c>
      <c r="G109" s="126"/>
      <c r="I109" s="127">
        <v>0.6</v>
      </c>
      <c r="J109" s="58"/>
      <c r="K109" s="125">
        <f t="shared" si="13"/>
        <v>583.83348811434553</v>
      </c>
      <c r="M109" s="126"/>
      <c r="N109" s="54"/>
      <c r="O109" s="127">
        <v>0.6</v>
      </c>
      <c r="P109" s="58"/>
      <c r="Q109" s="125">
        <f t="shared" si="14"/>
        <v>468.15902184906736</v>
      </c>
      <c r="R109" s="58"/>
      <c r="S109" s="126"/>
      <c r="T109" s="54"/>
      <c r="U109" s="127">
        <v>0.6</v>
      </c>
      <c r="V109" s="58"/>
      <c r="W109" s="125">
        <f t="shared" si="15"/>
        <v>445.01809105268813</v>
      </c>
      <c r="X109" s="120"/>
      <c r="Y109" s="653"/>
      <c r="Z109" s="654"/>
      <c r="AA109" s="655"/>
      <c r="AB109" s="654"/>
      <c r="AC109" s="74"/>
      <c r="AD109" s="73"/>
      <c r="AE109" s="73"/>
    </row>
    <row r="110" spans="1:31" ht="13.5" thickBot="1" x14ac:dyDescent="0.25">
      <c r="A110" s="126"/>
      <c r="B110" s="54"/>
      <c r="C110" s="127">
        <v>0.55000000000000004</v>
      </c>
      <c r="D110" s="58"/>
      <c r="E110" s="125">
        <f t="shared" si="12"/>
        <v>765.19238692667068</v>
      </c>
      <c r="G110" s="126"/>
      <c r="I110" s="127">
        <v>0.55000000000000004</v>
      </c>
      <c r="J110" s="58"/>
      <c r="K110" s="125">
        <f t="shared" si="13"/>
        <v>636.90925976110418</v>
      </c>
      <c r="M110" s="126"/>
      <c r="N110" s="54"/>
      <c r="O110" s="127">
        <v>0.55000000000000004</v>
      </c>
      <c r="P110" s="58"/>
      <c r="Q110" s="125">
        <f t="shared" si="14"/>
        <v>510.71893292625526</v>
      </c>
      <c r="R110" s="58"/>
      <c r="S110" s="126"/>
      <c r="T110" s="54"/>
      <c r="U110" s="127">
        <v>0.55000000000000004</v>
      </c>
      <c r="V110" s="58"/>
      <c r="W110" s="125">
        <f t="shared" si="15"/>
        <v>485.47428114838704</v>
      </c>
      <c r="X110" s="54"/>
      <c r="Y110" s="112"/>
      <c r="Z110" s="112"/>
      <c r="AA110" s="112"/>
      <c r="AB110" s="75"/>
      <c r="AC110" s="74"/>
      <c r="AD110" s="73"/>
      <c r="AE110" s="73"/>
    </row>
    <row r="111" spans="1:31" s="73" customFormat="1" ht="15" customHeight="1" thickBot="1" x14ac:dyDescent="0.25">
      <c r="A111" s="131"/>
      <c r="B111" s="132"/>
      <c r="C111" s="133">
        <v>0.5</v>
      </c>
      <c r="D111" s="134"/>
      <c r="E111" s="135">
        <f t="shared" si="12"/>
        <v>841.71162561933772</v>
      </c>
      <c r="F111" s="54"/>
      <c r="G111" s="131"/>
      <c r="H111" s="132"/>
      <c r="I111" s="133">
        <v>0.5</v>
      </c>
      <c r="J111" s="134"/>
      <c r="K111" s="135">
        <f t="shared" si="13"/>
        <v>700.6001857372147</v>
      </c>
      <c r="L111" s="58"/>
      <c r="M111" s="131"/>
      <c r="N111" s="132"/>
      <c r="O111" s="133">
        <v>0.5</v>
      </c>
      <c r="P111" s="134"/>
      <c r="Q111" s="135">
        <f t="shared" si="14"/>
        <v>561.79082621888085</v>
      </c>
      <c r="R111" s="58"/>
      <c r="S111" s="131"/>
      <c r="T111" s="132"/>
      <c r="U111" s="133">
        <v>0.5</v>
      </c>
      <c r="V111" s="134"/>
      <c r="W111" s="135">
        <f t="shared" si="15"/>
        <v>534.02170926322572</v>
      </c>
      <c r="X111" s="118"/>
      <c r="Y111" s="112"/>
      <c r="Z111" s="112"/>
      <c r="AA111" s="112"/>
      <c r="AB111" s="112"/>
      <c r="AC111" s="656"/>
      <c r="AD111" s="120"/>
      <c r="AE111" s="120"/>
    </row>
    <row r="112" spans="1:31" s="73" customFormat="1" x14ac:dyDescent="0.2">
      <c r="A112" s="118"/>
      <c r="B112" s="54"/>
      <c r="C112" s="127"/>
      <c r="D112" s="58"/>
      <c r="E112" s="118"/>
      <c r="F112" s="54"/>
      <c r="G112" s="118"/>
      <c r="H112" s="54"/>
      <c r="I112" s="127"/>
      <c r="J112" s="58"/>
      <c r="K112" s="118"/>
      <c r="L112" s="58"/>
      <c r="M112" s="118"/>
      <c r="N112" s="54"/>
      <c r="O112" s="127"/>
      <c r="P112" s="58"/>
      <c r="Q112" s="118"/>
      <c r="R112" s="58"/>
      <c r="S112" s="118"/>
      <c r="T112" s="54"/>
      <c r="U112" s="127"/>
      <c r="V112" s="58"/>
      <c r="W112" s="118"/>
      <c r="X112" s="118"/>
      <c r="Y112" s="112"/>
      <c r="Z112" s="112"/>
      <c r="AA112" s="112"/>
      <c r="AB112" s="112"/>
      <c r="AC112" s="656"/>
      <c r="AD112" s="120"/>
      <c r="AE112" s="120"/>
    </row>
    <row r="113" spans="1:31" s="120" customFormat="1" ht="13.15" customHeight="1" x14ac:dyDescent="0.2">
      <c r="A113" s="118"/>
      <c r="B113" s="54"/>
      <c r="C113" s="127"/>
      <c r="D113" s="58"/>
      <c r="E113" s="118"/>
      <c r="F113" s="54"/>
      <c r="G113" s="118"/>
      <c r="H113" s="54"/>
      <c r="I113" s="127"/>
      <c r="J113" s="58"/>
      <c r="K113" s="118"/>
      <c r="L113" s="58"/>
      <c r="M113" s="118"/>
      <c r="N113" s="54"/>
      <c r="O113" s="127"/>
      <c r="P113" s="58"/>
      <c r="Q113" s="118"/>
      <c r="R113" s="58"/>
      <c r="S113" s="118"/>
      <c r="T113" s="54"/>
      <c r="U113" s="127"/>
      <c r="V113" s="58"/>
      <c r="W113" s="118"/>
      <c r="X113" s="118"/>
      <c r="Y113" s="653"/>
      <c r="Z113" s="75"/>
      <c r="AA113" s="75"/>
      <c r="AB113" s="75"/>
      <c r="AC113" s="54"/>
      <c r="AD113" s="59"/>
      <c r="AE113" s="59"/>
    </row>
    <row r="114" spans="1:31" s="120" customFormat="1" ht="13.5" thickBot="1" x14ac:dyDescent="0.25">
      <c r="A114" s="118"/>
      <c r="B114" s="54"/>
      <c r="C114" s="127"/>
      <c r="D114" s="58"/>
      <c r="E114" s="118"/>
      <c r="F114" s="54"/>
      <c r="G114" s="118"/>
      <c r="H114" s="54"/>
      <c r="I114" s="127"/>
      <c r="J114" s="58"/>
      <c r="K114" s="118"/>
      <c r="L114" s="58"/>
      <c r="M114" s="118"/>
      <c r="N114" s="54"/>
      <c r="O114" s="127"/>
      <c r="P114" s="58"/>
      <c r="Q114" s="118"/>
      <c r="R114" s="58"/>
      <c r="S114" s="118"/>
      <c r="T114" s="54"/>
      <c r="U114" s="127"/>
      <c r="V114" s="58"/>
      <c r="W114" s="118"/>
      <c r="X114" s="118"/>
      <c r="Y114" s="112"/>
      <c r="Z114" s="657"/>
      <c r="AA114" s="657"/>
      <c r="AB114" s="657"/>
      <c r="AC114" s="54"/>
      <c r="AD114" s="59"/>
      <c r="AE114" s="59"/>
    </row>
    <row r="115" spans="1:31" ht="13.5" thickBot="1" x14ac:dyDescent="0.25">
      <c r="A115" s="711" t="s">
        <v>127</v>
      </c>
      <c r="B115" s="712"/>
      <c r="X115" s="118"/>
      <c r="Y115" s="112"/>
      <c r="Z115" s="654"/>
      <c r="AA115" s="655"/>
      <c r="AB115" s="654"/>
      <c r="AC115" s="54"/>
      <c r="AD115" s="59"/>
      <c r="AE115" s="59"/>
    </row>
    <row r="116" spans="1:31" x14ac:dyDescent="0.2">
      <c r="B116" s="54"/>
      <c r="C116" s="60" t="s">
        <v>68</v>
      </c>
      <c r="D116" s="61"/>
      <c r="E116" s="62"/>
      <c r="F116" s="63"/>
      <c r="G116" s="713" t="s">
        <v>69</v>
      </c>
      <c r="H116" s="713"/>
      <c r="I116" s="713"/>
      <c r="J116" s="713"/>
      <c r="K116" s="713"/>
      <c r="M116" s="59"/>
      <c r="N116" s="54"/>
      <c r="O116" s="60" t="s">
        <v>70</v>
      </c>
      <c r="P116" s="61"/>
      <c r="Q116" s="62"/>
      <c r="R116" s="63"/>
      <c r="S116" s="59"/>
      <c r="T116" s="54"/>
      <c r="U116" s="60" t="s">
        <v>71</v>
      </c>
      <c r="V116" s="61"/>
      <c r="W116" s="62"/>
      <c r="X116" s="118"/>
      <c r="Z116" s="112"/>
      <c r="AA116" s="112"/>
      <c r="AB116" s="112"/>
      <c r="AC116" s="54"/>
      <c r="AD116" s="59"/>
      <c r="AE116" s="59"/>
    </row>
    <row r="117" spans="1:31" x14ac:dyDescent="0.2">
      <c r="A117" s="66" t="s">
        <v>75</v>
      </c>
      <c r="B117" s="67" t="s">
        <v>76</v>
      </c>
      <c r="C117" s="68" t="s">
        <v>77</v>
      </c>
      <c r="D117" s="69">
        <v>365</v>
      </c>
      <c r="E117" s="70">
        <f>D117*B118</f>
        <v>4380</v>
      </c>
      <c r="F117" s="71"/>
      <c r="G117" s="66" t="s">
        <v>75</v>
      </c>
      <c r="H117" s="72" t="s">
        <v>78</v>
      </c>
      <c r="I117" s="68" t="s">
        <v>77</v>
      </c>
      <c r="J117" s="69">
        <v>365</v>
      </c>
      <c r="K117" s="70">
        <f>H118*J117</f>
        <v>5657.5</v>
      </c>
      <c r="L117" s="73"/>
      <c r="M117" s="66" t="s">
        <v>75</v>
      </c>
      <c r="N117" s="74" t="s">
        <v>79</v>
      </c>
      <c r="O117" s="68" t="s">
        <v>77</v>
      </c>
      <c r="P117" s="69">
        <v>365</v>
      </c>
      <c r="Q117" s="70">
        <f>N118*P117</f>
        <v>7300</v>
      </c>
      <c r="R117" s="71"/>
      <c r="S117" s="66" t="s">
        <v>75</v>
      </c>
      <c r="T117" s="74" t="s">
        <v>80</v>
      </c>
      <c r="U117" s="68" t="s">
        <v>77</v>
      </c>
      <c r="V117" s="69">
        <v>365</v>
      </c>
      <c r="W117" s="70">
        <f>T118*V117</f>
        <v>9125</v>
      </c>
      <c r="X117" s="118"/>
      <c r="Y117" s="141"/>
      <c r="Z117" s="112"/>
      <c r="AA117" s="112"/>
      <c r="AB117" s="112"/>
      <c r="AC117" s="54"/>
      <c r="AD117" s="59"/>
      <c r="AE117" s="59"/>
    </row>
    <row r="118" spans="1:31" x14ac:dyDescent="0.2">
      <c r="A118" s="66"/>
      <c r="B118" s="74">
        <v>12</v>
      </c>
      <c r="C118" s="68"/>
      <c r="D118" s="69"/>
      <c r="E118" s="70"/>
      <c r="F118" s="71"/>
      <c r="G118" s="66"/>
      <c r="H118" s="74">
        <v>15.5</v>
      </c>
      <c r="I118" s="68"/>
      <c r="J118" s="69"/>
      <c r="K118" s="70"/>
      <c r="L118" s="73"/>
      <c r="M118" s="66"/>
      <c r="N118" s="74">
        <v>20</v>
      </c>
      <c r="O118" s="68"/>
      <c r="P118" s="69"/>
      <c r="Q118" s="70"/>
      <c r="R118" s="71"/>
      <c r="S118" s="66"/>
      <c r="T118" s="74">
        <v>25</v>
      </c>
      <c r="U118" s="68"/>
      <c r="V118" s="69"/>
      <c r="W118" s="70"/>
      <c r="X118" s="118"/>
      <c r="Y118" s="141"/>
      <c r="Z118" s="54"/>
      <c r="AA118" s="54"/>
      <c r="AB118" s="54"/>
      <c r="AC118" s="54"/>
      <c r="AD118" s="59"/>
      <c r="AE118" s="59"/>
    </row>
    <row r="119" spans="1:31" ht="38.25" x14ac:dyDescent="0.2">
      <c r="A119" s="79"/>
      <c r="B119" s="80" t="s">
        <v>84</v>
      </c>
      <c r="C119" s="60" t="s">
        <v>85</v>
      </c>
      <c r="D119" s="81" t="s">
        <v>86</v>
      </c>
      <c r="E119" s="60" t="s">
        <v>87</v>
      </c>
      <c r="F119" s="82"/>
      <c r="G119" s="79"/>
      <c r="H119" s="80" t="s">
        <v>84</v>
      </c>
      <c r="I119" s="60" t="s">
        <v>85</v>
      </c>
      <c r="J119" s="81" t="s">
        <v>86</v>
      </c>
      <c r="K119" s="60" t="s">
        <v>87</v>
      </c>
      <c r="L119" s="79"/>
      <c r="M119" s="79"/>
      <c r="N119" s="80" t="s">
        <v>84</v>
      </c>
      <c r="O119" s="60" t="s">
        <v>85</v>
      </c>
      <c r="P119" s="81" t="s">
        <v>86</v>
      </c>
      <c r="Q119" s="60" t="s">
        <v>87</v>
      </c>
      <c r="R119" s="82"/>
      <c r="S119" s="79"/>
      <c r="T119" s="80" t="s">
        <v>84</v>
      </c>
      <c r="U119" s="60" t="s">
        <v>85</v>
      </c>
      <c r="V119" s="81" t="s">
        <v>86</v>
      </c>
      <c r="W119" s="60" t="s">
        <v>87</v>
      </c>
      <c r="X119" s="118"/>
      <c r="Y119" s="141"/>
      <c r="Z119" s="54"/>
      <c r="AA119" s="54"/>
      <c r="AB119" s="54"/>
      <c r="AC119" s="54"/>
      <c r="AD119" s="59"/>
      <c r="AE119" s="59"/>
    </row>
    <row r="120" spans="1:31" x14ac:dyDescent="0.2">
      <c r="A120" s="86" t="s">
        <v>89</v>
      </c>
      <c r="B120" s="87"/>
      <c r="C120" s="56">
        <f>$AC$12</f>
        <v>69600</v>
      </c>
      <c r="D120" s="88">
        <f>AB20</f>
        <v>2.15</v>
      </c>
      <c r="E120" s="56">
        <f>C120*D120</f>
        <v>149640</v>
      </c>
      <c r="F120" s="58"/>
      <c r="G120" s="86" t="s">
        <v>89</v>
      </c>
      <c r="H120" s="87"/>
      <c r="I120" s="56">
        <f>$AC$12</f>
        <v>69600</v>
      </c>
      <c r="J120" s="88">
        <f>AB20</f>
        <v>2.15</v>
      </c>
      <c r="K120" s="56">
        <f>I120*J120</f>
        <v>149640</v>
      </c>
      <c r="L120" s="56"/>
      <c r="M120" s="86" t="s">
        <v>89</v>
      </c>
      <c r="N120" s="87"/>
      <c r="O120" s="56">
        <f>$AC$12</f>
        <v>69600</v>
      </c>
      <c r="P120" s="88">
        <f>AB20</f>
        <v>2.15</v>
      </c>
      <c r="Q120" s="56">
        <f>O120*P120</f>
        <v>149640</v>
      </c>
      <c r="R120" s="58"/>
      <c r="S120" s="86" t="s">
        <v>89</v>
      </c>
      <c r="T120" s="87"/>
      <c r="U120" s="56">
        <f>$AC$12</f>
        <v>69600</v>
      </c>
      <c r="V120" s="88">
        <f>AB20</f>
        <v>2.15</v>
      </c>
      <c r="W120" s="56">
        <f>U120*V120</f>
        <v>149640</v>
      </c>
      <c r="X120" s="118"/>
      <c r="Y120" s="141"/>
      <c r="Z120" s="54"/>
      <c r="AA120" s="54"/>
      <c r="AB120" s="54"/>
      <c r="AC120" s="54"/>
      <c r="AD120" s="59"/>
      <c r="AE120" s="59"/>
    </row>
    <row r="121" spans="1:31" x14ac:dyDescent="0.2">
      <c r="A121" s="86" t="str">
        <f>Z13</f>
        <v>Clinical Director</v>
      </c>
      <c r="B121" s="87"/>
      <c r="C121" s="56">
        <f>AC13</f>
        <v>84385.600000000006</v>
      </c>
      <c r="D121" s="88">
        <v>1</v>
      </c>
      <c r="E121" s="56">
        <f>C121*D121</f>
        <v>84385.600000000006</v>
      </c>
      <c r="F121" s="58"/>
      <c r="G121" s="86" t="str">
        <f>Z13</f>
        <v>Clinical Director</v>
      </c>
      <c r="H121" s="87"/>
      <c r="I121" s="56">
        <f>AC13</f>
        <v>84385.600000000006</v>
      </c>
      <c r="J121" s="88">
        <v>1</v>
      </c>
      <c r="K121" s="56">
        <f>I121*J121</f>
        <v>84385.600000000006</v>
      </c>
      <c r="L121" s="56"/>
      <c r="M121" s="86" t="str">
        <f>Z13</f>
        <v>Clinical Director</v>
      </c>
      <c r="N121" s="87"/>
      <c r="O121" s="56">
        <f>AC13</f>
        <v>84385.600000000006</v>
      </c>
      <c r="P121" s="88">
        <v>1</v>
      </c>
      <c r="Q121" s="56">
        <f>O121*P121</f>
        <v>84385.600000000006</v>
      </c>
      <c r="R121" s="58"/>
      <c r="S121" s="86" t="str">
        <f>Z13</f>
        <v>Clinical Director</v>
      </c>
      <c r="T121" s="87"/>
      <c r="U121" s="56">
        <f>AC13</f>
        <v>84385.600000000006</v>
      </c>
      <c r="V121" s="88">
        <v>1.5</v>
      </c>
      <c r="W121" s="56">
        <f>U121*V121</f>
        <v>126578.40000000001</v>
      </c>
      <c r="X121" s="118"/>
      <c r="Z121" s="54"/>
      <c r="AA121" s="54"/>
      <c r="AB121" s="54"/>
      <c r="AC121" s="54"/>
      <c r="AD121" s="59"/>
      <c r="AE121" s="59"/>
    </row>
    <row r="122" spans="1:31" x14ac:dyDescent="0.2">
      <c r="A122" s="86" t="str">
        <f>Z14</f>
        <v>Clinical (LICSW)</v>
      </c>
      <c r="B122" s="87"/>
      <c r="C122" s="56">
        <f>AC14</f>
        <v>63627.199999999997</v>
      </c>
      <c r="D122" s="88">
        <v>2</v>
      </c>
      <c r="E122" s="56">
        <f>C122*D122</f>
        <v>127254.39999999999</v>
      </c>
      <c r="F122" s="58"/>
      <c r="G122" s="86" t="str">
        <f>Z14</f>
        <v>Clinical (LICSW)</v>
      </c>
      <c r="H122" s="87"/>
      <c r="I122" s="56">
        <f>AC14</f>
        <v>63627.199999999997</v>
      </c>
      <c r="J122" s="88">
        <v>2</v>
      </c>
      <c r="K122" s="56">
        <f>I122*J122</f>
        <v>127254.39999999999</v>
      </c>
      <c r="L122" s="56"/>
      <c r="M122" s="86" t="str">
        <f>Z14</f>
        <v>Clinical (LICSW)</v>
      </c>
      <c r="N122" s="87"/>
      <c r="O122" s="56">
        <f>AC14</f>
        <v>63627.199999999997</v>
      </c>
      <c r="P122" s="88">
        <v>2</v>
      </c>
      <c r="Q122" s="56">
        <f>O122*P122</f>
        <v>127254.39999999999</v>
      </c>
      <c r="R122" s="58"/>
      <c r="S122" s="86" t="str">
        <f>Z14</f>
        <v>Clinical (LICSW)</v>
      </c>
      <c r="T122" s="87"/>
      <c r="U122" s="56">
        <f>AC14</f>
        <v>63627.199999999997</v>
      </c>
      <c r="V122" s="88">
        <v>2</v>
      </c>
      <c r="W122" s="56">
        <f>U122*V122</f>
        <v>127254.39999999999</v>
      </c>
      <c r="X122" s="118"/>
      <c r="Y122" s="104"/>
      <c r="Z122" s="54"/>
      <c r="AA122" s="54"/>
      <c r="AB122" s="54"/>
      <c r="AC122" s="54"/>
      <c r="AD122" s="59"/>
      <c r="AE122" s="59"/>
    </row>
    <row r="123" spans="1:31" x14ac:dyDescent="0.2">
      <c r="A123" s="95" t="s">
        <v>93</v>
      </c>
      <c r="B123" s="88">
        <v>0.57999999999999996</v>
      </c>
      <c r="C123" s="56">
        <f>AC15</f>
        <v>34927.359999999993</v>
      </c>
      <c r="D123" s="88">
        <v>20.69</v>
      </c>
      <c r="E123" s="56">
        <f>C123*D123</f>
        <v>722647.07839999988</v>
      </c>
      <c r="F123" s="58"/>
      <c r="G123" s="95" t="s">
        <v>92</v>
      </c>
      <c r="H123" s="88">
        <v>0.69</v>
      </c>
      <c r="I123" s="56">
        <f>AC15</f>
        <v>34927.359999999993</v>
      </c>
      <c r="J123" s="88">
        <v>22.43</v>
      </c>
      <c r="K123" s="56">
        <f>I123*J123</f>
        <v>783420.68479999981</v>
      </c>
      <c r="L123" s="97"/>
      <c r="M123" s="95" t="s">
        <v>92</v>
      </c>
      <c r="N123" s="88">
        <v>0.89</v>
      </c>
      <c r="O123" s="56">
        <f>AC15</f>
        <v>34927.359999999993</v>
      </c>
      <c r="P123" s="88">
        <v>22.43</v>
      </c>
      <c r="Q123" s="56">
        <f>O123*P123</f>
        <v>783420.68479999981</v>
      </c>
      <c r="R123" s="58"/>
      <c r="S123" s="95" t="s">
        <v>92</v>
      </c>
      <c r="T123" s="88">
        <v>0.94</v>
      </c>
      <c r="U123" s="56">
        <f>AC15</f>
        <v>34927.359999999993</v>
      </c>
      <c r="V123" s="88">
        <v>26.73</v>
      </c>
      <c r="W123" s="56">
        <f>U123*V123</f>
        <v>933608.33279999986</v>
      </c>
      <c r="X123" s="63"/>
      <c r="Y123" s="104"/>
      <c r="Z123" s="54"/>
      <c r="AA123" s="54"/>
      <c r="AB123" s="54"/>
      <c r="AC123" s="54"/>
      <c r="AD123" s="59"/>
      <c r="AE123" s="59"/>
    </row>
    <row r="124" spans="1:31" x14ac:dyDescent="0.2">
      <c r="A124" s="86" t="s">
        <v>94</v>
      </c>
      <c r="B124" s="88"/>
      <c r="C124" s="56">
        <f>AC16</f>
        <v>34927.359999999993</v>
      </c>
      <c r="D124" s="88">
        <f>AB23</f>
        <v>0.75</v>
      </c>
      <c r="E124" s="56">
        <f>C124*D124</f>
        <v>26195.519999999997</v>
      </c>
      <c r="F124" s="58"/>
      <c r="G124" s="86" t="s">
        <v>94</v>
      </c>
      <c r="H124" s="88"/>
      <c r="I124" s="56">
        <f>AC16</f>
        <v>34927.359999999993</v>
      </c>
      <c r="J124" s="88">
        <f>AC23</f>
        <v>0.9</v>
      </c>
      <c r="K124" s="56">
        <f>I124*J124</f>
        <v>31434.623999999996</v>
      </c>
      <c r="L124" s="56"/>
      <c r="M124" s="86" t="s">
        <v>94</v>
      </c>
      <c r="N124" s="88"/>
      <c r="O124" s="56">
        <f>AC16</f>
        <v>34927.359999999993</v>
      </c>
      <c r="P124" s="88">
        <f>AD23</f>
        <v>1</v>
      </c>
      <c r="Q124" s="56">
        <f>O124*P124</f>
        <v>34927.359999999993</v>
      </c>
      <c r="R124" s="58"/>
      <c r="S124" s="86" t="s">
        <v>94</v>
      </c>
      <c r="T124" s="88"/>
      <c r="U124" s="56">
        <f>AC16</f>
        <v>34927.359999999993</v>
      </c>
      <c r="V124" s="88">
        <f>$AE$23</f>
        <v>1.5</v>
      </c>
      <c r="W124" s="56">
        <f>U124*V124</f>
        <v>52391.039999999994</v>
      </c>
      <c r="X124" s="71"/>
      <c r="Y124" s="104"/>
      <c r="Z124" s="110"/>
      <c r="AA124" s="54"/>
      <c r="AB124" s="54"/>
      <c r="AC124" s="74"/>
      <c r="AD124" s="73"/>
      <c r="AE124" s="73"/>
    </row>
    <row r="125" spans="1:31" x14ac:dyDescent="0.2">
      <c r="A125" s="100" t="s">
        <v>95</v>
      </c>
      <c r="B125" s="100"/>
      <c r="C125" s="101"/>
      <c r="D125" s="102">
        <f>SUM(D120:D124)</f>
        <v>26.590000000000003</v>
      </c>
      <c r="E125" s="101">
        <f>SUM(E120:E124)</f>
        <v>1110122.5984</v>
      </c>
      <c r="F125" s="63"/>
      <c r="G125" s="100" t="s">
        <v>95</v>
      </c>
      <c r="H125" s="100"/>
      <c r="I125" s="101"/>
      <c r="J125" s="102">
        <f>SUM(J120:J124)</f>
        <v>28.479999999999997</v>
      </c>
      <c r="K125" s="101">
        <f>SUM(K120:K124)</f>
        <v>1176135.3088</v>
      </c>
      <c r="L125" s="73"/>
      <c r="M125" s="100" t="s">
        <v>95</v>
      </c>
      <c r="N125" s="100"/>
      <c r="O125" s="101"/>
      <c r="P125" s="102">
        <f>SUM(P120:P124)</f>
        <v>28.58</v>
      </c>
      <c r="Q125" s="101">
        <f>SUM(Q120:Q124)</f>
        <v>1179628.0448</v>
      </c>
      <c r="R125" s="63"/>
      <c r="S125" s="100" t="s">
        <v>95</v>
      </c>
      <c r="T125" s="100"/>
      <c r="U125" s="101"/>
      <c r="V125" s="102">
        <f>SUM(V120:V124)</f>
        <v>33.880000000000003</v>
      </c>
      <c r="W125" s="101">
        <f>SUM(W120:W124)</f>
        <v>1389472.1727999998</v>
      </c>
      <c r="X125" s="71"/>
      <c r="Y125" s="226"/>
      <c r="Z125" s="104"/>
      <c r="AA125" s="74"/>
      <c r="AB125" s="54"/>
      <c r="AC125" s="54"/>
      <c r="AD125" s="59"/>
      <c r="AE125" s="59"/>
    </row>
    <row r="126" spans="1:31" x14ac:dyDescent="0.2">
      <c r="A126" s="73" t="s">
        <v>98</v>
      </c>
      <c r="B126" s="73"/>
      <c r="C126" s="62"/>
      <c r="D126" s="61" t="s">
        <v>99</v>
      </c>
      <c r="E126" s="62"/>
      <c r="F126" s="63"/>
      <c r="G126" s="73" t="s">
        <v>98</v>
      </c>
      <c r="H126" s="73"/>
      <c r="I126" s="62"/>
      <c r="J126" s="61" t="s">
        <v>99</v>
      </c>
      <c r="K126" s="62"/>
      <c r="L126" s="73"/>
      <c r="M126" s="73" t="s">
        <v>98</v>
      </c>
      <c r="N126" s="73"/>
      <c r="O126" s="62"/>
      <c r="P126" s="61" t="s">
        <v>99</v>
      </c>
      <c r="Q126" s="62"/>
      <c r="R126" s="63"/>
      <c r="S126" s="73" t="s">
        <v>98</v>
      </c>
      <c r="T126" s="73"/>
      <c r="U126" s="62"/>
      <c r="V126" s="61" t="s">
        <v>99</v>
      </c>
      <c r="W126" s="62"/>
      <c r="X126" s="82"/>
      <c r="Y126" s="74"/>
      <c r="AB126" s="226"/>
      <c r="AC126" s="58"/>
      <c r="AD126" s="59"/>
      <c r="AE126" s="59"/>
    </row>
    <row r="127" spans="1:31" x14ac:dyDescent="0.2">
      <c r="A127" s="59" t="s">
        <v>61</v>
      </c>
      <c r="C127" s="106">
        <f>AB42</f>
        <v>3.7000000000000002E-3</v>
      </c>
      <c r="D127" s="57"/>
      <c r="E127" s="56">
        <f>C127*E125</f>
        <v>4107.4536140800001</v>
      </c>
      <c r="F127" s="58"/>
      <c r="G127" s="59" t="s">
        <v>61</v>
      </c>
      <c r="H127" s="59"/>
      <c r="I127" s="106">
        <f>AB42</f>
        <v>3.7000000000000002E-3</v>
      </c>
      <c r="K127" s="56">
        <f>K125*I127</f>
        <v>4351.7006425600002</v>
      </c>
      <c r="L127" s="59"/>
      <c r="M127" s="59" t="s">
        <v>61</v>
      </c>
      <c r="N127" s="59"/>
      <c r="O127" s="106">
        <f>AB42</f>
        <v>3.7000000000000002E-3</v>
      </c>
      <c r="P127" s="57"/>
      <c r="Q127" s="56">
        <f>Q125*O127</f>
        <v>4364.6237657600004</v>
      </c>
      <c r="R127" s="58"/>
      <c r="S127" s="59" t="s">
        <v>61</v>
      </c>
      <c r="T127" s="59"/>
      <c r="U127" s="106">
        <f>AB42</f>
        <v>3.7000000000000002E-3</v>
      </c>
      <c r="V127" s="57"/>
      <c r="W127" s="56">
        <f>W125*U127</f>
        <v>5141.0470393599999</v>
      </c>
      <c r="Y127" s="74"/>
      <c r="AA127" s="54"/>
      <c r="AB127" s="54"/>
      <c r="AC127" s="54"/>
      <c r="AD127" s="59"/>
      <c r="AE127" s="59"/>
    </row>
    <row r="128" spans="1:31" x14ac:dyDescent="0.2">
      <c r="A128" s="59" t="s">
        <v>101</v>
      </c>
      <c r="C128" s="106">
        <f>'[9]Salary Bench Chart'!C30</f>
        <v>0.224</v>
      </c>
      <c r="D128" s="57"/>
      <c r="E128" s="56">
        <f>C128*E125</f>
        <v>248667.4620416</v>
      </c>
      <c r="F128" s="58"/>
      <c r="G128" s="59" t="s">
        <v>101</v>
      </c>
      <c r="H128" s="59"/>
      <c r="I128" s="106">
        <f>'[9]Salary Bench Chart'!C30</f>
        <v>0.224</v>
      </c>
      <c r="K128" s="56">
        <f>I128*K125</f>
        <v>263454.30917120003</v>
      </c>
      <c r="L128" s="59"/>
      <c r="M128" s="59" t="s">
        <v>101</v>
      </c>
      <c r="N128" s="59"/>
      <c r="O128" s="106">
        <f>'[9]Salary Bench Chart'!C30</f>
        <v>0.224</v>
      </c>
      <c r="P128" s="57"/>
      <c r="Q128" s="56">
        <f>O128*Q125</f>
        <v>264236.68203520001</v>
      </c>
      <c r="R128" s="58"/>
      <c r="S128" s="59" t="s">
        <v>101</v>
      </c>
      <c r="T128" s="59"/>
      <c r="U128" s="106">
        <f>'[9]Salary Bench Chart'!C30</f>
        <v>0.224</v>
      </c>
      <c r="V128" s="57"/>
      <c r="W128" s="56">
        <f>U128*W125</f>
        <v>311241.76670719997</v>
      </c>
      <c r="Y128" s="82"/>
      <c r="Z128" s="74"/>
      <c r="AA128" s="74"/>
      <c r="AB128" s="74"/>
      <c r="AC128" s="74"/>
      <c r="AD128" s="73"/>
      <c r="AE128" s="73"/>
    </row>
    <row r="129" spans="1:31" ht="14.25" customHeight="1" x14ac:dyDescent="0.2">
      <c r="A129" s="107" t="s">
        <v>102</v>
      </c>
      <c r="B129" s="107"/>
      <c r="C129" s="108"/>
      <c r="D129" s="109">
        <f>E129/E117</f>
        <v>311.16381599444748</v>
      </c>
      <c r="E129" s="101">
        <f>E128+E125+E127</f>
        <v>1362897.51405568</v>
      </c>
      <c r="F129" s="58"/>
      <c r="G129" s="107" t="s">
        <v>102</v>
      </c>
      <c r="H129" s="107"/>
      <c r="I129" s="108"/>
      <c r="J129" s="109">
        <f>K129/K117</f>
        <v>255.22603952518955</v>
      </c>
      <c r="K129" s="101">
        <f>K128+K125+K127</f>
        <v>1443941.3186137599</v>
      </c>
      <c r="M129" s="107" t="s">
        <v>102</v>
      </c>
      <c r="N129" s="107"/>
      <c r="O129" s="108"/>
      <c r="P129" s="109">
        <f>Q129/Q117</f>
        <v>198.38758227410415</v>
      </c>
      <c r="Q129" s="101">
        <f>Q128+Q125+Q127</f>
        <v>1448229.3506009602</v>
      </c>
      <c r="R129" s="63"/>
      <c r="S129" s="107" t="s">
        <v>102</v>
      </c>
      <c r="T129" s="107"/>
      <c r="U129" s="108"/>
      <c r="V129" s="109">
        <f>W129/W117</f>
        <v>186.94301222428055</v>
      </c>
      <c r="W129" s="101">
        <f>W128+W125+W127</f>
        <v>1705854.98654656</v>
      </c>
      <c r="Y129" s="147"/>
      <c r="Z129" s="74"/>
      <c r="AA129" s="74"/>
      <c r="AB129" s="74"/>
      <c r="AC129" s="74"/>
      <c r="AD129" s="73"/>
      <c r="AE129" s="73"/>
    </row>
    <row r="130" spans="1:31" s="73" customFormat="1" x14ac:dyDescent="0.2">
      <c r="A130" s="59" t="s">
        <v>103</v>
      </c>
      <c r="B130" s="59"/>
      <c r="C130" s="56"/>
      <c r="D130" s="57"/>
      <c r="E130" s="56">
        <v>25000</v>
      </c>
      <c r="F130" s="58"/>
      <c r="G130" s="59" t="s">
        <v>103</v>
      </c>
      <c r="H130" s="59"/>
      <c r="I130" s="56"/>
      <c r="J130" s="57"/>
      <c r="K130" s="56">
        <v>25000</v>
      </c>
      <c r="L130" s="58"/>
      <c r="M130" s="59" t="s">
        <v>103</v>
      </c>
      <c r="N130" s="59"/>
      <c r="O130" s="56"/>
      <c r="P130" s="57"/>
      <c r="Q130" s="56">
        <v>30000</v>
      </c>
      <c r="R130" s="58"/>
      <c r="S130" s="59" t="s">
        <v>103</v>
      </c>
      <c r="T130" s="59"/>
      <c r="U130" s="56"/>
      <c r="V130" s="57"/>
      <c r="W130" s="56">
        <v>30000</v>
      </c>
      <c r="X130" s="58"/>
      <c r="Y130" s="76"/>
      <c r="Z130" s="69"/>
      <c r="AA130" s="74"/>
      <c r="AB130" s="74"/>
      <c r="AC130" s="74"/>
    </row>
    <row r="131" spans="1:31" s="73" customFormat="1" x14ac:dyDescent="0.2">
      <c r="A131" s="59" t="s">
        <v>104</v>
      </c>
      <c r="B131" s="59"/>
      <c r="C131" s="56"/>
      <c r="D131" s="88">
        <f>$AB$36</f>
        <v>7.0397177575942358</v>
      </c>
      <c r="E131" s="56">
        <f>D131*E$81</f>
        <v>30833.963778262754</v>
      </c>
      <c r="F131" s="58"/>
      <c r="G131" s="59" t="s">
        <v>104</v>
      </c>
      <c r="H131" s="59"/>
      <c r="I131" s="56"/>
      <c r="J131" s="88">
        <f>$AB$36</f>
        <v>7.0397177575942358</v>
      </c>
      <c r="K131" s="56">
        <f>J131*K$81</f>
        <v>39827.20321358939</v>
      </c>
      <c r="L131" s="58"/>
      <c r="M131" s="59" t="s">
        <v>104</v>
      </c>
      <c r="N131" s="59"/>
      <c r="O131" s="56"/>
      <c r="P131" s="88">
        <f>$AB$36</f>
        <v>7.0397177575942358</v>
      </c>
      <c r="Q131" s="56">
        <f>P131*Q$81</f>
        <v>51389.939630437919</v>
      </c>
      <c r="R131" s="58"/>
      <c r="S131" s="59" t="s">
        <v>104</v>
      </c>
      <c r="T131" s="59"/>
      <c r="U131" s="56"/>
      <c r="V131" s="88">
        <f>$AB$36</f>
        <v>7.0397177575942358</v>
      </c>
      <c r="W131" s="56">
        <f>V131*W$81</f>
        <v>64237.424538047402</v>
      </c>
      <c r="X131" s="58"/>
      <c r="Y131" s="82"/>
      <c r="Z131" s="82"/>
      <c r="AA131" s="82"/>
      <c r="AB131" s="82"/>
      <c r="AC131" s="631"/>
      <c r="AD131" s="79"/>
      <c r="AE131" s="79"/>
    </row>
    <row r="132" spans="1:31" s="79" customFormat="1" ht="28.5" customHeight="1" x14ac:dyDescent="0.2">
      <c r="A132" s="59" t="s">
        <v>107</v>
      </c>
      <c r="B132" s="59"/>
      <c r="C132" s="56"/>
      <c r="D132" s="88">
        <f>$AB$37</f>
        <v>26.875662441773173</v>
      </c>
      <c r="E132" s="56">
        <f>D132*E$81</f>
        <v>117715.4014949665</v>
      </c>
      <c r="F132" s="58"/>
      <c r="G132" s="59" t="s">
        <v>107</v>
      </c>
      <c r="H132" s="59"/>
      <c r="I132" s="56"/>
      <c r="J132" s="88">
        <f>$AB$37</f>
        <v>26.875662441773173</v>
      </c>
      <c r="K132" s="56">
        <f>J132*K$81</f>
        <v>152049.06026433173</v>
      </c>
      <c r="L132" s="58"/>
      <c r="M132" s="59" t="s">
        <v>107</v>
      </c>
      <c r="N132" s="59"/>
      <c r="O132" s="56"/>
      <c r="P132" s="88">
        <f>$AB$37</f>
        <v>26.875662441773173</v>
      </c>
      <c r="Q132" s="56">
        <f>P132*Q$81</f>
        <v>196192.33582494417</v>
      </c>
      <c r="R132" s="58"/>
      <c r="S132" s="59" t="s">
        <v>107</v>
      </c>
      <c r="T132" s="59"/>
      <c r="U132" s="56"/>
      <c r="V132" s="88">
        <f>$AB$37</f>
        <v>26.875662441773173</v>
      </c>
      <c r="W132" s="56">
        <f>V132*W$81</f>
        <v>245240.41978118022</v>
      </c>
      <c r="X132" s="58"/>
      <c r="Y132" s="75"/>
      <c r="Z132" s="58"/>
      <c r="AA132" s="58"/>
      <c r="AB132" s="58"/>
      <c r="AC132" s="58"/>
      <c r="AD132" s="56"/>
      <c r="AE132" s="56"/>
    </row>
    <row r="133" spans="1:31" s="56" customFormat="1" x14ac:dyDescent="0.2">
      <c r="A133" s="100" t="s">
        <v>109</v>
      </c>
      <c r="B133" s="100"/>
      <c r="C133" s="101"/>
      <c r="D133" s="102"/>
      <c r="E133" s="101">
        <f>SUM(E129:E132)</f>
        <v>1536446.8793289093</v>
      </c>
      <c r="F133" s="63"/>
      <c r="G133" s="100" t="s">
        <v>109</v>
      </c>
      <c r="H133" s="100"/>
      <c r="I133" s="101"/>
      <c r="J133" s="102"/>
      <c r="K133" s="101">
        <f>SUM(K129:K132)</f>
        <v>1660817.5820916812</v>
      </c>
      <c r="L133" s="58"/>
      <c r="M133" s="100" t="s">
        <v>109</v>
      </c>
      <c r="N133" s="100"/>
      <c r="O133" s="101"/>
      <c r="P133" s="102"/>
      <c r="Q133" s="101">
        <f>SUM(Q129:Q132)</f>
        <v>1725811.6260563422</v>
      </c>
      <c r="R133" s="63"/>
      <c r="S133" s="100" t="s">
        <v>109</v>
      </c>
      <c r="T133" s="100"/>
      <c r="U133" s="101"/>
      <c r="V133" s="102"/>
      <c r="W133" s="101">
        <f>SUM(W129:W132)</f>
        <v>2045332.8308657873</v>
      </c>
      <c r="X133" s="63"/>
      <c r="Y133" s="75"/>
      <c r="Z133" s="147"/>
      <c r="AA133" s="58"/>
      <c r="AB133" s="58"/>
      <c r="AC133" s="58"/>
    </row>
    <row r="134" spans="1:31" s="56" customFormat="1" x14ac:dyDescent="0.2">
      <c r="A134" s="59" t="s">
        <v>110</v>
      </c>
      <c r="B134" s="59"/>
      <c r="C134" s="106">
        <f>'[9]Salary Bench Chart'!C33</f>
        <v>0.12</v>
      </c>
      <c r="D134" s="88"/>
      <c r="E134" s="56">
        <f>C134*E133</f>
        <v>184373.62551946912</v>
      </c>
      <c r="F134" s="58"/>
      <c r="G134" s="59" t="s">
        <v>110</v>
      </c>
      <c r="H134" s="59"/>
      <c r="I134" s="106">
        <f>'[9]Salary Bench Chart'!C33</f>
        <v>0.12</v>
      </c>
      <c r="J134" s="88"/>
      <c r="K134" s="56">
        <f>I134*K133</f>
        <v>199298.10985100173</v>
      </c>
      <c r="L134" s="58"/>
      <c r="M134" s="59" t="s">
        <v>110</v>
      </c>
      <c r="N134" s="59"/>
      <c r="O134" s="106">
        <f>'[9]Salary Bench Chart'!C33</f>
        <v>0.12</v>
      </c>
      <c r="P134" s="88"/>
      <c r="Q134" s="56">
        <f>O134*Q133</f>
        <v>207097.39512676105</v>
      </c>
      <c r="R134" s="58"/>
      <c r="S134" s="59" t="s">
        <v>110</v>
      </c>
      <c r="T134" s="59"/>
      <c r="U134" s="106">
        <f>'[9]Salary Bench Chart'!C33</f>
        <v>0.12</v>
      </c>
      <c r="V134" s="88"/>
      <c r="W134" s="56">
        <f>U134*W133</f>
        <v>245439.93970389446</v>
      </c>
      <c r="X134" s="63"/>
      <c r="Y134" s="75"/>
      <c r="Z134" s="76"/>
      <c r="AA134" s="628"/>
      <c r="AB134" s="628"/>
      <c r="AC134" s="628"/>
      <c r="AD134" s="97"/>
      <c r="AE134" s="97"/>
    </row>
    <row r="135" spans="1:31" s="56" customFormat="1" ht="13.5" thickBot="1" x14ac:dyDescent="0.25">
      <c r="A135" s="113" t="s">
        <v>112</v>
      </c>
      <c r="B135" s="113"/>
      <c r="C135" s="114"/>
      <c r="D135" s="115"/>
      <c r="E135" s="114">
        <f>ROUND(SUM(E133:E134),2)</f>
        <v>1720820.5</v>
      </c>
      <c r="F135" s="63"/>
      <c r="G135" s="113" t="s">
        <v>112</v>
      </c>
      <c r="H135" s="113"/>
      <c r="I135" s="114"/>
      <c r="J135" s="115"/>
      <c r="K135" s="114">
        <f>ROUND(SUM(K133:K134),2)</f>
        <v>1860115.69</v>
      </c>
      <c r="L135" s="73"/>
      <c r="M135" s="113" t="s">
        <v>112</v>
      </c>
      <c r="N135" s="113"/>
      <c r="O135" s="114"/>
      <c r="P135" s="115"/>
      <c r="Q135" s="114">
        <f>ROUND(SUM(Q133:Q134),2)</f>
        <v>1932909.02</v>
      </c>
      <c r="R135" s="63"/>
      <c r="S135" s="113" t="s">
        <v>112</v>
      </c>
      <c r="T135" s="113"/>
      <c r="U135" s="114"/>
      <c r="V135" s="115"/>
      <c r="W135" s="114">
        <f>ROUND(SUM(W133:W134),2)</f>
        <v>2290772.77</v>
      </c>
      <c r="X135" s="63"/>
      <c r="Y135" s="75"/>
      <c r="Z135" s="76"/>
      <c r="AA135" s="628"/>
      <c r="AB135" s="628"/>
      <c r="AC135" s="628"/>
      <c r="AD135" s="97"/>
      <c r="AE135" s="97"/>
    </row>
    <row r="136" spans="1:31" s="97" customFormat="1" ht="13.5" thickTop="1" x14ac:dyDescent="0.2">
      <c r="A136" s="117" t="s">
        <v>114</v>
      </c>
      <c r="B136" s="117"/>
      <c r="C136" s="118"/>
      <c r="D136" s="118"/>
      <c r="E136" s="118">
        <f>E135/E117</f>
        <v>392.88139269406395</v>
      </c>
      <c r="F136" s="119"/>
      <c r="G136" s="117" t="s">
        <v>114</v>
      </c>
      <c r="H136" s="117"/>
      <c r="I136" s="118"/>
      <c r="J136" s="118"/>
      <c r="K136" s="118">
        <f>K135/K117</f>
        <v>328.78757224922668</v>
      </c>
      <c r="L136" s="120"/>
      <c r="M136" s="117" t="s">
        <v>114</v>
      </c>
      <c r="N136" s="117"/>
      <c r="O136" s="118"/>
      <c r="P136" s="118"/>
      <c r="Q136" s="118">
        <f>Q135/Q117</f>
        <v>264.78205753424658</v>
      </c>
      <c r="R136" s="120"/>
      <c r="S136" s="117" t="s">
        <v>114</v>
      </c>
      <c r="T136" s="117"/>
      <c r="U136" s="118"/>
      <c r="V136" s="118"/>
      <c r="W136" s="118">
        <f>W135/W117</f>
        <v>251.04359123287671</v>
      </c>
      <c r="X136" s="58"/>
      <c r="Y136" s="94"/>
      <c r="Z136" s="76"/>
      <c r="AA136" s="628"/>
      <c r="AB136" s="628"/>
      <c r="AC136" s="628"/>
    </row>
    <row r="137" spans="1:31" s="97" customFormat="1" ht="13.5" thickBot="1" x14ac:dyDescent="0.25">
      <c r="A137" s="117" t="s">
        <v>64</v>
      </c>
      <c r="B137" s="117"/>
      <c r="C137" s="121">
        <f>'[9]Salary Bench Chart'!C31</f>
        <v>1.0633805350099574E-2</v>
      </c>
      <c r="D137" s="118"/>
      <c r="E137" s="118"/>
      <c r="F137" s="119"/>
      <c r="G137" s="117" t="s">
        <v>64</v>
      </c>
      <c r="H137" s="117"/>
      <c r="I137" s="121">
        <f>'[9]Salary Bench Chart'!C31</f>
        <v>1.0633805350099574E-2</v>
      </c>
      <c r="J137" s="118"/>
      <c r="K137" s="117"/>
      <c r="L137" s="120"/>
      <c r="M137" s="117" t="s">
        <v>64</v>
      </c>
      <c r="N137" s="117"/>
      <c r="O137" s="121">
        <f>'[9]Salary Bench Chart'!C31</f>
        <v>1.0633805350099574E-2</v>
      </c>
      <c r="P137" s="118"/>
      <c r="Q137" s="118"/>
      <c r="R137" s="54"/>
      <c r="S137" s="117" t="s">
        <v>64</v>
      </c>
      <c r="T137" s="117"/>
      <c r="U137" s="121">
        <f>'[9]Salary Bench Chart'!C31</f>
        <v>1.0633805350099574E-2</v>
      </c>
      <c r="V137" s="118"/>
      <c r="W137" s="118"/>
      <c r="X137" s="58"/>
      <c r="Y137" s="54"/>
      <c r="Z137" s="76"/>
      <c r="AA137" s="58"/>
      <c r="AB137" s="58"/>
      <c r="AC137" s="58"/>
      <c r="AD137" s="56"/>
      <c r="AE137" s="56"/>
    </row>
    <row r="138" spans="1:31" s="56" customFormat="1" ht="13.5" thickBot="1" x14ac:dyDescent="0.25">
      <c r="A138" s="122" t="s">
        <v>116</v>
      </c>
      <c r="B138" s="123"/>
      <c r="C138" s="124">
        <v>0.9</v>
      </c>
      <c r="D138" s="103"/>
      <c r="E138" s="125">
        <f t="shared" ref="E138:E146" si="16">E$135*(C$137+1)/(E$117*C138)</f>
        <v>441.17690772183181</v>
      </c>
      <c r="F138" s="54"/>
      <c r="G138" s="122" t="s">
        <v>116</v>
      </c>
      <c r="H138" s="123"/>
      <c r="I138" s="124">
        <v>0.9</v>
      </c>
      <c r="J138" s="103"/>
      <c r="K138" s="125">
        <f t="shared" ref="K138:K146" si="17">K$135*(I$137+1)/(K$117*I138)</f>
        <v>369.20426143784084</v>
      </c>
      <c r="L138" s="58"/>
      <c r="M138" s="122" t="s">
        <v>116</v>
      </c>
      <c r="N138" s="123"/>
      <c r="O138" s="124">
        <v>0.9</v>
      </c>
      <c r="P138" s="103"/>
      <c r="Q138" s="125">
        <f t="shared" ref="Q138:Q146" si="18">Q$135*(O$137+1)/(Q$117*O138)</f>
        <v>297.33077599362736</v>
      </c>
      <c r="R138" s="58"/>
      <c r="S138" s="122" t="s">
        <v>116</v>
      </c>
      <c r="T138" s="123"/>
      <c r="U138" s="124">
        <v>0.9</v>
      </c>
      <c r="V138" s="103"/>
      <c r="W138" s="125">
        <f t="shared" ref="W138:W146" si="19">W$135*(U$137+1)/(W$117*U138)</f>
        <v>281.90348879604119</v>
      </c>
      <c r="X138" s="58"/>
      <c r="Y138" s="63"/>
      <c r="Z138" s="76"/>
      <c r="AA138" s="74"/>
      <c r="AB138" s="74"/>
      <c r="AC138" s="74"/>
      <c r="AD138" s="73"/>
      <c r="AE138" s="73"/>
    </row>
    <row r="139" spans="1:31" s="73" customFormat="1" ht="13.5" thickBot="1" x14ac:dyDescent="0.25">
      <c r="A139" s="126"/>
      <c r="B139" s="54"/>
      <c r="C139" s="127">
        <v>0.85</v>
      </c>
      <c r="D139" s="58"/>
      <c r="E139" s="125">
        <f t="shared" si="16"/>
        <v>467.12849052899838</v>
      </c>
      <c r="F139" s="54"/>
      <c r="G139" s="126"/>
      <c r="H139" s="54"/>
      <c r="I139" s="127">
        <v>0.85</v>
      </c>
      <c r="J139" s="58"/>
      <c r="K139" s="125">
        <f t="shared" si="17"/>
        <v>390.92215916947856</v>
      </c>
      <c r="L139" s="58"/>
      <c r="M139" s="126"/>
      <c r="N139" s="54"/>
      <c r="O139" s="127">
        <v>0.85</v>
      </c>
      <c r="P139" s="58"/>
      <c r="Q139" s="125">
        <f t="shared" si="18"/>
        <v>314.82082164031135</v>
      </c>
      <c r="R139" s="58"/>
      <c r="S139" s="126"/>
      <c r="T139" s="54"/>
      <c r="U139" s="127">
        <v>0.85</v>
      </c>
      <c r="V139" s="58"/>
      <c r="W139" s="125">
        <f t="shared" si="19"/>
        <v>298.48604696051422</v>
      </c>
      <c r="X139" s="58"/>
      <c r="Y139" s="63"/>
      <c r="Z139" s="76"/>
      <c r="AA139" s="54"/>
      <c r="AB139" s="54"/>
      <c r="AC139" s="54"/>
      <c r="AD139" s="59"/>
      <c r="AE139" s="59"/>
    </row>
    <row r="140" spans="1:31" s="73" customFormat="1" ht="13.5" thickBot="1" x14ac:dyDescent="0.25">
      <c r="A140" s="126"/>
      <c r="B140" s="54"/>
      <c r="C140" s="127">
        <v>0.8</v>
      </c>
      <c r="D140" s="58"/>
      <c r="E140" s="125">
        <f t="shared" si="16"/>
        <v>496.32402118706079</v>
      </c>
      <c r="F140" s="54"/>
      <c r="G140" s="126"/>
      <c r="H140" s="54"/>
      <c r="I140" s="127">
        <v>0.8</v>
      </c>
      <c r="J140" s="58"/>
      <c r="K140" s="125">
        <f t="shared" si="17"/>
        <v>415.35479411757092</v>
      </c>
      <c r="L140" s="58"/>
      <c r="M140" s="126"/>
      <c r="N140" s="54"/>
      <c r="O140" s="127">
        <v>0.8</v>
      </c>
      <c r="P140" s="58"/>
      <c r="Q140" s="125">
        <f t="shared" si="18"/>
        <v>334.49712299283078</v>
      </c>
      <c r="R140" s="58"/>
      <c r="S140" s="126"/>
      <c r="T140" s="54"/>
      <c r="U140" s="127">
        <v>0.8</v>
      </c>
      <c r="V140" s="58"/>
      <c r="W140" s="125">
        <f t="shared" si="19"/>
        <v>317.14142489554632</v>
      </c>
      <c r="X140" s="63"/>
      <c r="Y140" s="63"/>
      <c r="Z140" s="54"/>
      <c r="AA140" s="54"/>
      <c r="AB140" s="54"/>
      <c r="AC140" s="54"/>
      <c r="AD140" s="59"/>
      <c r="AE140" s="59"/>
    </row>
    <row r="141" spans="1:31" ht="13.5" thickBot="1" x14ac:dyDescent="0.25">
      <c r="A141" s="126"/>
      <c r="B141" s="54"/>
      <c r="C141" s="127">
        <v>0.75</v>
      </c>
      <c r="D141" s="58"/>
      <c r="E141" s="125">
        <f t="shared" si="16"/>
        <v>529.41228926619817</v>
      </c>
      <c r="G141" s="126"/>
      <c r="I141" s="127">
        <v>0.75</v>
      </c>
      <c r="J141" s="58"/>
      <c r="K141" s="125">
        <f t="shared" si="17"/>
        <v>443.04511372540901</v>
      </c>
      <c r="M141" s="126"/>
      <c r="N141" s="54"/>
      <c r="O141" s="127">
        <v>0.75</v>
      </c>
      <c r="P141" s="58"/>
      <c r="Q141" s="125">
        <f t="shared" si="18"/>
        <v>356.79693119235287</v>
      </c>
      <c r="R141" s="58"/>
      <c r="S141" s="126"/>
      <c r="T141" s="54"/>
      <c r="U141" s="127">
        <v>0.75</v>
      </c>
      <c r="V141" s="58"/>
      <c r="W141" s="125">
        <f t="shared" si="19"/>
        <v>338.28418655524945</v>
      </c>
      <c r="Y141" s="63"/>
      <c r="Z141" s="54"/>
      <c r="AA141" s="54"/>
      <c r="AB141" s="54"/>
      <c r="AC141" s="54"/>
      <c r="AD141" s="59"/>
      <c r="AE141" s="59"/>
    </row>
    <row r="142" spans="1:31" ht="13.5" thickBot="1" x14ac:dyDescent="0.25">
      <c r="A142" s="126"/>
      <c r="B142" s="54"/>
      <c r="C142" s="127">
        <v>0.7</v>
      </c>
      <c r="D142" s="58"/>
      <c r="E142" s="125">
        <f t="shared" si="16"/>
        <v>567.22745278521234</v>
      </c>
      <c r="G142" s="126"/>
      <c r="I142" s="127">
        <v>0.7</v>
      </c>
      <c r="J142" s="58"/>
      <c r="K142" s="125">
        <f t="shared" si="17"/>
        <v>474.69119327722399</v>
      </c>
      <c r="M142" s="126"/>
      <c r="N142" s="54"/>
      <c r="O142" s="127">
        <v>0.7</v>
      </c>
      <c r="P142" s="58"/>
      <c r="Q142" s="125">
        <f t="shared" si="18"/>
        <v>382.28242627752093</v>
      </c>
      <c r="R142" s="58"/>
      <c r="S142" s="126"/>
      <c r="T142" s="54"/>
      <c r="U142" s="127">
        <v>0.7</v>
      </c>
      <c r="V142" s="58"/>
      <c r="W142" s="125">
        <f t="shared" si="19"/>
        <v>362.44734273776726</v>
      </c>
      <c r="Y142" s="63"/>
      <c r="Z142" s="54"/>
      <c r="AA142" s="54"/>
      <c r="AB142" s="54"/>
      <c r="AC142" s="54"/>
      <c r="AD142" s="59"/>
      <c r="AE142" s="59"/>
    </row>
    <row r="143" spans="1:31" ht="13.5" thickBot="1" x14ac:dyDescent="0.25">
      <c r="A143" s="126"/>
      <c r="B143" s="54"/>
      <c r="C143" s="127">
        <v>0.65</v>
      </c>
      <c r="D143" s="58"/>
      <c r="E143" s="125">
        <f t="shared" si="16"/>
        <v>610.86033376869023</v>
      </c>
      <c r="G143" s="126"/>
      <c r="I143" s="127">
        <v>0.65</v>
      </c>
      <c r="J143" s="58"/>
      <c r="K143" s="125">
        <f t="shared" si="17"/>
        <v>511.20590045239499</v>
      </c>
      <c r="M143" s="126"/>
      <c r="N143" s="54"/>
      <c r="O143" s="127">
        <v>0.65</v>
      </c>
      <c r="P143" s="58"/>
      <c r="Q143" s="125">
        <f t="shared" si="18"/>
        <v>411.68876676040713</v>
      </c>
      <c r="R143" s="58"/>
      <c r="S143" s="126"/>
      <c r="T143" s="54"/>
      <c r="U143" s="127">
        <v>0.65</v>
      </c>
      <c r="V143" s="58"/>
      <c r="W143" s="125">
        <f t="shared" si="19"/>
        <v>390.32790756374936</v>
      </c>
      <c r="X143" s="63"/>
      <c r="Y143" s="652"/>
      <c r="Z143" s="54"/>
      <c r="AA143" s="54"/>
      <c r="AB143" s="54"/>
      <c r="AC143" s="54"/>
      <c r="AD143" s="59"/>
      <c r="AE143" s="59"/>
    </row>
    <row r="144" spans="1:31" ht="13.5" thickBot="1" x14ac:dyDescent="0.25">
      <c r="A144" s="126"/>
      <c r="B144" s="54"/>
      <c r="C144" s="127">
        <v>0.6</v>
      </c>
      <c r="D144" s="58"/>
      <c r="E144" s="125">
        <f t="shared" si="16"/>
        <v>661.7653615827478</v>
      </c>
      <c r="G144" s="126"/>
      <c r="I144" s="127">
        <v>0.6</v>
      </c>
      <c r="J144" s="58"/>
      <c r="K144" s="125">
        <f t="shared" si="17"/>
        <v>553.80639215676126</v>
      </c>
      <c r="M144" s="126"/>
      <c r="N144" s="54"/>
      <c r="O144" s="127">
        <v>0.6</v>
      </c>
      <c r="P144" s="58"/>
      <c r="Q144" s="125">
        <f t="shared" si="18"/>
        <v>445.99616399044106</v>
      </c>
      <c r="R144" s="58"/>
      <c r="S144" s="126"/>
      <c r="T144" s="54"/>
      <c r="U144" s="127">
        <v>0.6</v>
      </c>
      <c r="V144" s="58"/>
      <c r="W144" s="125">
        <f t="shared" si="19"/>
        <v>422.85523319406178</v>
      </c>
      <c r="X144" s="63"/>
      <c r="Y144" s="652"/>
      <c r="Z144" s="54"/>
      <c r="AA144" s="54"/>
      <c r="AB144" s="54"/>
      <c r="AC144" s="54"/>
      <c r="AD144" s="59"/>
      <c r="AE144" s="59"/>
    </row>
    <row r="145" spans="1:34" ht="13.5" thickBot="1" x14ac:dyDescent="0.25">
      <c r="A145" s="126"/>
      <c r="B145" s="54"/>
      <c r="C145" s="127">
        <v>0.55000000000000004</v>
      </c>
      <c r="D145" s="58"/>
      <c r="E145" s="125">
        <f t="shared" si="16"/>
        <v>721.92584899936116</v>
      </c>
      <c r="G145" s="126"/>
      <c r="I145" s="127">
        <v>0.55000000000000004</v>
      </c>
      <c r="J145" s="58"/>
      <c r="K145" s="125">
        <f t="shared" si="17"/>
        <v>604.15242780737583</v>
      </c>
      <c r="M145" s="126"/>
      <c r="N145" s="54"/>
      <c r="O145" s="127">
        <v>0.55000000000000004</v>
      </c>
      <c r="P145" s="58"/>
      <c r="Q145" s="125">
        <f t="shared" si="18"/>
        <v>486.54126980775385</v>
      </c>
      <c r="R145" s="58"/>
      <c r="S145" s="126"/>
      <c r="T145" s="54"/>
      <c r="U145" s="127">
        <v>0.55000000000000004</v>
      </c>
      <c r="V145" s="58"/>
      <c r="W145" s="125">
        <f t="shared" si="19"/>
        <v>461.29661802988562</v>
      </c>
      <c r="X145" s="120"/>
      <c r="Y145" s="653"/>
      <c r="Z145" s="652"/>
      <c r="AA145" s="652"/>
      <c r="AB145" s="652"/>
      <c r="AC145" s="54"/>
      <c r="AD145" s="59"/>
      <c r="AE145" s="59"/>
    </row>
    <row r="146" spans="1:34" ht="13.5" thickBot="1" x14ac:dyDescent="0.25">
      <c r="A146" s="131"/>
      <c r="B146" s="132"/>
      <c r="C146" s="133">
        <v>0.5</v>
      </c>
      <c r="D146" s="134"/>
      <c r="E146" s="135">
        <f t="shared" si="16"/>
        <v>794.11843389929732</v>
      </c>
      <c r="G146" s="131"/>
      <c r="H146" s="132"/>
      <c r="I146" s="133">
        <v>0.5</v>
      </c>
      <c r="J146" s="134"/>
      <c r="K146" s="135">
        <f t="shared" si="17"/>
        <v>664.56767058811351</v>
      </c>
      <c r="M146" s="131"/>
      <c r="N146" s="132"/>
      <c r="O146" s="133">
        <v>0.5</v>
      </c>
      <c r="P146" s="134"/>
      <c r="Q146" s="135">
        <f t="shared" si="18"/>
        <v>535.19539678852925</v>
      </c>
      <c r="R146" s="58"/>
      <c r="S146" s="131"/>
      <c r="T146" s="132"/>
      <c r="U146" s="133">
        <v>0.5</v>
      </c>
      <c r="V146" s="134"/>
      <c r="W146" s="135">
        <f t="shared" si="19"/>
        <v>507.42627983287417</v>
      </c>
      <c r="X146" s="54"/>
      <c r="Y146" s="112"/>
      <c r="Z146" s="652"/>
      <c r="AA146" s="652"/>
      <c r="AB146" s="652"/>
      <c r="AC146" s="54"/>
      <c r="AD146" s="59"/>
      <c r="AE146" s="59"/>
    </row>
    <row r="147" spans="1:34" x14ac:dyDescent="0.2">
      <c r="X147" s="118"/>
      <c r="Y147" s="112"/>
      <c r="Z147" s="654"/>
      <c r="AA147" s="655"/>
      <c r="AB147" s="654"/>
      <c r="AC147" s="74"/>
      <c r="AD147" s="73"/>
      <c r="AE147" s="73"/>
    </row>
    <row r="148" spans="1:34" s="120" customFormat="1" x14ac:dyDescent="0.2">
      <c r="A148" s="59"/>
      <c r="B148" s="59"/>
      <c r="C148" s="59"/>
      <c r="D148" s="59"/>
      <c r="E148" s="59"/>
      <c r="F148" s="54"/>
      <c r="G148" s="59"/>
      <c r="H148" s="54"/>
      <c r="I148" s="56"/>
      <c r="J148" s="57"/>
      <c r="K148" s="56"/>
      <c r="L148" s="58"/>
      <c r="M148" s="54"/>
      <c r="N148" s="56"/>
      <c r="O148" s="57"/>
      <c r="P148" s="56"/>
      <c r="Q148" s="58"/>
      <c r="R148" s="59"/>
      <c r="S148" s="54"/>
      <c r="T148" s="56"/>
      <c r="U148" s="57"/>
      <c r="V148" s="56"/>
      <c r="W148" s="58"/>
      <c r="X148" s="118"/>
      <c r="Y148" s="112"/>
      <c r="Z148" s="657"/>
      <c r="AA148" s="657"/>
      <c r="AB148" s="657"/>
      <c r="AC148" s="54"/>
      <c r="AD148" s="59"/>
      <c r="AE148" s="59"/>
    </row>
    <row r="149" spans="1:34" x14ac:dyDescent="0.2">
      <c r="X149" s="118"/>
      <c r="Y149" s="112"/>
      <c r="Z149" s="654"/>
      <c r="AA149" s="655"/>
      <c r="AB149" s="654"/>
      <c r="AC149" s="54"/>
      <c r="AD149" s="59"/>
      <c r="AE149" s="59"/>
    </row>
    <row r="150" spans="1:34" x14ac:dyDescent="0.2">
      <c r="X150" s="118"/>
      <c r="Z150" s="112"/>
      <c r="AA150" s="112"/>
      <c r="AB150" s="112"/>
      <c r="AC150" s="54"/>
      <c r="AD150" s="59"/>
      <c r="AE150" s="59"/>
    </row>
    <row r="151" spans="1:34" x14ac:dyDescent="0.2">
      <c r="X151" s="118"/>
      <c r="Y151" s="141"/>
      <c r="Z151" s="112"/>
      <c r="AA151" s="112"/>
      <c r="AB151" s="112"/>
      <c r="AC151" s="54"/>
      <c r="AD151" s="59"/>
      <c r="AE151" s="59"/>
    </row>
    <row r="152" spans="1:34" x14ac:dyDescent="0.2">
      <c r="Z152" s="54"/>
      <c r="AA152" s="54"/>
      <c r="AB152" s="54"/>
      <c r="AC152" s="54"/>
      <c r="AD152" s="59"/>
      <c r="AE152" s="59"/>
    </row>
    <row r="153" spans="1:34" x14ac:dyDescent="0.2">
      <c r="Y153" s="104"/>
      <c r="Z153" s="121"/>
      <c r="AA153" s="54"/>
      <c r="AB153" s="54"/>
      <c r="AC153" s="54"/>
      <c r="AD153" s="59"/>
      <c r="AE153" s="59"/>
    </row>
    <row r="154" spans="1:34" x14ac:dyDescent="0.2">
      <c r="Z154" s="73"/>
      <c r="AA154" s="73"/>
      <c r="AB154" s="59"/>
      <c r="AC154" s="59"/>
      <c r="AD154" s="59"/>
      <c r="AE154" s="59"/>
    </row>
    <row r="155" spans="1:34" x14ac:dyDescent="0.2">
      <c r="Z155" s="59"/>
      <c r="AA155" s="59"/>
      <c r="AB155" s="73"/>
      <c r="AC155" s="73"/>
      <c r="AD155" s="73"/>
      <c r="AE155" s="73"/>
    </row>
    <row r="157" spans="1:34" s="58" customFormat="1" x14ac:dyDescent="0.2">
      <c r="A157" s="59"/>
      <c r="B157" s="59"/>
      <c r="C157" s="59"/>
      <c r="D157" s="59"/>
      <c r="E157" s="59"/>
      <c r="F157" s="54"/>
      <c r="G157" s="59"/>
      <c r="H157" s="54"/>
      <c r="I157" s="56"/>
      <c r="J157" s="57"/>
      <c r="K157" s="56"/>
      <c r="M157" s="54"/>
      <c r="N157" s="56"/>
      <c r="O157" s="57"/>
      <c r="P157" s="56"/>
      <c r="R157" s="59"/>
      <c r="S157" s="54"/>
      <c r="T157" s="56"/>
      <c r="U157" s="57"/>
      <c r="V157" s="56"/>
      <c r="AC157" s="56"/>
      <c r="AD157" s="57"/>
      <c r="AE157" s="56"/>
      <c r="AF157" s="59"/>
      <c r="AG157" s="59"/>
      <c r="AH157" s="59"/>
    </row>
  </sheetData>
  <mergeCells count="7">
    <mergeCell ref="A79:B79"/>
    <mergeCell ref="A115:B115"/>
    <mergeCell ref="G116:K116"/>
    <mergeCell ref="Z1:AE1"/>
    <mergeCell ref="G2:K2"/>
    <mergeCell ref="AB18:AE18"/>
    <mergeCell ref="AB27:AE27"/>
  </mergeCells>
  <pageMargins left="0" right="0" top="0.5" bottom="0.64" header="0.2" footer="0.34"/>
  <pageSetup paperSize="5" scale="48" fitToHeight="2" orientation="landscape" r:id="rId1"/>
  <headerFooter alignWithMargins="0">
    <oddHeader>&amp;C&amp;20YOUTH INTERMEDIATE TERM RESIDENTIAL RATES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112"/>
  <sheetViews>
    <sheetView topLeftCell="A52" zoomScale="70" zoomScaleNormal="70" workbookViewId="0">
      <selection activeCell="S59" sqref="S59"/>
    </sheetView>
  </sheetViews>
  <sheetFormatPr defaultColWidth="8.25" defaultRowHeight="14.25" x14ac:dyDescent="0.2"/>
  <cols>
    <col min="1" max="1" width="27.75" style="158" customWidth="1"/>
    <col min="2" max="2" width="16.25" style="158" bestFit="1" customWidth="1"/>
    <col min="3" max="3" width="9" style="158" customWidth="1"/>
    <col min="4" max="4" width="8.25" style="158" customWidth="1"/>
    <col min="5" max="5" width="10.25" style="158" bestFit="1" customWidth="1"/>
    <col min="6" max="6" width="1.75" style="158" customWidth="1"/>
    <col min="7" max="7" width="27.75" style="158" customWidth="1"/>
    <col min="8" max="8" width="9.25" style="158" bestFit="1" customWidth="1"/>
    <col min="9" max="9" width="9" style="158" customWidth="1"/>
    <col min="10" max="10" width="8.25" style="158" customWidth="1"/>
    <col min="11" max="11" width="14.5" style="158" customWidth="1"/>
    <col min="12" max="12" width="2.75" style="158" customWidth="1"/>
    <col min="13" max="13" width="26.625" style="158" customWidth="1"/>
    <col min="14" max="14" width="9.25" style="158" bestFit="1" customWidth="1"/>
    <col min="15" max="15" width="9" style="158" customWidth="1"/>
    <col min="16" max="16" width="8.25" style="158" customWidth="1"/>
    <col min="17" max="17" width="13.125" style="158" customWidth="1"/>
    <col min="18" max="18" width="2.75" style="158" customWidth="1"/>
    <col min="19" max="19" width="26.625" style="158" customWidth="1"/>
    <col min="20" max="20" width="9.25" style="158" bestFit="1" customWidth="1"/>
    <col min="21" max="21" width="9" style="158" customWidth="1"/>
    <col min="22" max="22" width="8.25" style="158" customWidth="1"/>
    <col min="23" max="23" width="10.625" style="158" customWidth="1"/>
    <col min="24" max="24" width="2.75" style="158" customWidth="1"/>
    <col min="25" max="25" width="26.625" style="158" hidden="1" customWidth="1"/>
    <col min="26" max="26" width="9.25" style="158" hidden="1" customWidth="1"/>
    <col min="27" max="27" width="9" style="158" hidden="1" customWidth="1"/>
    <col min="28" max="28" width="8.25" style="158" hidden="1" customWidth="1"/>
    <col min="29" max="29" width="9.25" style="158" hidden="1" customWidth="1"/>
    <col min="30" max="30" width="2.5" style="158" customWidth="1"/>
    <col min="31" max="31" width="6" style="158" bestFit="1" customWidth="1"/>
    <col min="32" max="32" width="21.125" style="158" customWidth="1"/>
    <col min="33" max="33" width="11" style="158" customWidth="1"/>
    <col min="34" max="34" width="15" style="690" customWidth="1"/>
    <col min="35" max="35" width="6.625" style="158" customWidth="1"/>
    <col min="36" max="37" width="7.375" style="158" customWidth="1"/>
    <col min="38" max="38" width="7.25" style="158" customWidth="1"/>
    <col min="39" max="256" width="8.25" style="158"/>
    <col min="257" max="257" width="27.75" style="158" customWidth="1"/>
    <col min="258" max="258" width="9.25" style="158" bestFit="1" customWidth="1"/>
    <col min="259" max="259" width="9" style="158" customWidth="1"/>
    <col min="260" max="260" width="8.25" style="158" customWidth="1"/>
    <col min="261" max="261" width="10.25" style="158" bestFit="1" customWidth="1"/>
    <col min="262" max="262" width="1.75" style="158" customWidth="1"/>
    <col min="263" max="263" width="27.75" style="158" customWidth="1"/>
    <col min="264" max="264" width="9.25" style="158" bestFit="1" customWidth="1"/>
    <col min="265" max="265" width="9" style="158" customWidth="1"/>
    <col min="266" max="266" width="8.25" style="158" customWidth="1"/>
    <col min="267" max="267" width="9.25" style="158" bestFit="1" customWidth="1"/>
    <col min="268" max="268" width="2.75" style="158" customWidth="1"/>
    <col min="269" max="269" width="26.625" style="158" customWidth="1"/>
    <col min="270" max="270" width="9.25" style="158" bestFit="1" customWidth="1"/>
    <col min="271" max="271" width="9" style="158" customWidth="1"/>
    <col min="272" max="272" width="8.25" style="158" customWidth="1"/>
    <col min="273" max="273" width="9.25" style="158" bestFit="1" customWidth="1"/>
    <col min="274" max="274" width="2.75" style="158" customWidth="1"/>
    <col min="275" max="275" width="26.625" style="158" customWidth="1"/>
    <col min="276" max="276" width="9.25" style="158" bestFit="1" customWidth="1"/>
    <col min="277" max="277" width="9" style="158" customWidth="1"/>
    <col min="278" max="278" width="8.25" style="158" customWidth="1"/>
    <col min="279" max="279" width="9.25" style="158" bestFit="1" customWidth="1"/>
    <col min="280" max="280" width="2.75" style="158" customWidth="1"/>
    <col min="281" max="285" width="0" style="158" hidden="1" customWidth="1"/>
    <col min="286" max="286" width="2.5" style="158" customWidth="1"/>
    <col min="287" max="287" width="6" style="158" bestFit="1" customWidth="1"/>
    <col min="288" max="288" width="21.125" style="158" customWidth="1"/>
    <col min="289" max="289" width="11" style="158" customWidth="1"/>
    <col min="290" max="290" width="15" style="158" customWidth="1"/>
    <col min="291" max="291" width="6.625" style="158" customWidth="1"/>
    <col min="292" max="293" width="7.375" style="158" customWidth="1"/>
    <col min="294" max="294" width="7.25" style="158" customWidth="1"/>
    <col min="295" max="512" width="8.25" style="158"/>
    <col min="513" max="513" width="27.75" style="158" customWidth="1"/>
    <col min="514" max="514" width="9.25" style="158" bestFit="1" customWidth="1"/>
    <col min="515" max="515" width="9" style="158" customWidth="1"/>
    <col min="516" max="516" width="8.25" style="158" customWidth="1"/>
    <col min="517" max="517" width="10.25" style="158" bestFit="1" customWidth="1"/>
    <col min="518" max="518" width="1.75" style="158" customWidth="1"/>
    <col min="519" max="519" width="27.75" style="158" customWidth="1"/>
    <col min="520" max="520" width="9.25" style="158" bestFit="1" customWidth="1"/>
    <col min="521" max="521" width="9" style="158" customWidth="1"/>
    <col min="522" max="522" width="8.25" style="158" customWidth="1"/>
    <col min="523" max="523" width="9.25" style="158" bestFit="1" customWidth="1"/>
    <col min="524" max="524" width="2.75" style="158" customWidth="1"/>
    <col min="525" max="525" width="26.625" style="158" customWidth="1"/>
    <col min="526" max="526" width="9.25" style="158" bestFit="1" customWidth="1"/>
    <col min="527" max="527" width="9" style="158" customWidth="1"/>
    <col min="528" max="528" width="8.25" style="158" customWidth="1"/>
    <col min="529" max="529" width="9.25" style="158" bestFit="1" customWidth="1"/>
    <col min="530" max="530" width="2.75" style="158" customWidth="1"/>
    <col min="531" max="531" width="26.625" style="158" customWidth="1"/>
    <col min="532" max="532" width="9.25" style="158" bestFit="1" customWidth="1"/>
    <col min="533" max="533" width="9" style="158" customWidth="1"/>
    <col min="534" max="534" width="8.25" style="158" customWidth="1"/>
    <col min="535" max="535" width="9.25" style="158" bestFit="1" customWidth="1"/>
    <col min="536" max="536" width="2.75" style="158" customWidth="1"/>
    <col min="537" max="541" width="0" style="158" hidden="1" customWidth="1"/>
    <col min="542" max="542" width="2.5" style="158" customWidth="1"/>
    <col min="543" max="543" width="6" style="158" bestFit="1" customWidth="1"/>
    <col min="544" max="544" width="21.125" style="158" customWidth="1"/>
    <col min="545" max="545" width="11" style="158" customWidth="1"/>
    <col min="546" max="546" width="15" style="158" customWidth="1"/>
    <col min="547" max="547" width="6.625" style="158" customWidth="1"/>
    <col min="548" max="549" width="7.375" style="158" customWidth="1"/>
    <col min="550" max="550" width="7.25" style="158" customWidth="1"/>
    <col min="551" max="768" width="8.25" style="158"/>
    <col min="769" max="769" width="27.75" style="158" customWidth="1"/>
    <col min="770" max="770" width="9.25" style="158" bestFit="1" customWidth="1"/>
    <col min="771" max="771" width="9" style="158" customWidth="1"/>
    <col min="772" max="772" width="8.25" style="158" customWidth="1"/>
    <col min="773" max="773" width="10.25" style="158" bestFit="1" customWidth="1"/>
    <col min="774" max="774" width="1.75" style="158" customWidth="1"/>
    <col min="775" max="775" width="27.75" style="158" customWidth="1"/>
    <col min="776" max="776" width="9.25" style="158" bestFit="1" customWidth="1"/>
    <col min="777" max="777" width="9" style="158" customWidth="1"/>
    <col min="778" max="778" width="8.25" style="158" customWidth="1"/>
    <col min="779" max="779" width="9.25" style="158" bestFit="1" customWidth="1"/>
    <col min="780" max="780" width="2.75" style="158" customWidth="1"/>
    <col min="781" max="781" width="26.625" style="158" customWidth="1"/>
    <col min="782" max="782" width="9.25" style="158" bestFit="1" customWidth="1"/>
    <col min="783" max="783" width="9" style="158" customWidth="1"/>
    <col min="784" max="784" width="8.25" style="158" customWidth="1"/>
    <col min="785" max="785" width="9.25" style="158" bestFit="1" customWidth="1"/>
    <col min="786" max="786" width="2.75" style="158" customWidth="1"/>
    <col min="787" max="787" width="26.625" style="158" customWidth="1"/>
    <col min="788" max="788" width="9.25" style="158" bestFit="1" customWidth="1"/>
    <col min="789" max="789" width="9" style="158" customWidth="1"/>
    <col min="790" max="790" width="8.25" style="158" customWidth="1"/>
    <col min="791" max="791" width="9.25" style="158" bestFit="1" customWidth="1"/>
    <col min="792" max="792" width="2.75" style="158" customWidth="1"/>
    <col min="793" max="797" width="0" style="158" hidden="1" customWidth="1"/>
    <col min="798" max="798" width="2.5" style="158" customWidth="1"/>
    <col min="799" max="799" width="6" style="158" bestFit="1" customWidth="1"/>
    <col min="800" max="800" width="21.125" style="158" customWidth="1"/>
    <col min="801" max="801" width="11" style="158" customWidth="1"/>
    <col min="802" max="802" width="15" style="158" customWidth="1"/>
    <col min="803" max="803" width="6.625" style="158" customWidth="1"/>
    <col min="804" max="805" width="7.375" style="158" customWidth="1"/>
    <col min="806" max="806" width="7.25" style="158" customWidth="1"/>
    <col min="807" max="1024" width="8.25" style="158"/>
    <col min="1025" max="1025" width="27.75" style="158" customWidth="1"/>
    <col min="1026" max="1026" width="9.25" style="158" bestFit="1" customWidth="1"/>
    <col min="1027" max="1027" width="9" style="158" customWidth="1"/>
    <col min="1028" max="1028" width="8.25" style="158" customWidth="1"/>
    <col min="1029" max="1029" width="10.25" style="158" bestFit="1" customWidth="1"/>
    <col min="1030" max="1030" width="1.75" style="158" customWidth="1"/>
    <col min="1031" max="1031" width="27.75" style="158" customWidth="1"/>
    <col min="1032" max="1032" width="9.25" style="158" bestFit="1" customWidth="1"/>
    <col min="1033" max="1033" width="9" style="158" customWidth="1"/>
    <col min="1034" max="1034" width="8.25" style="158" customWidth="1"/>
    <col min="1035" max="1035" width="9.25" style="158" bestFit="1" customWidth="1"/>
    <col min="1036" max="1036" width="2.75" style="158" customWidth="1"/>
    <col min="1037" max="1037" width="26.625" style="158" customWidth="1"/>
    <col min="1038" max="1038" width="9.25" style="158" bestFit="1" customWidth="1"/>
    <col min="1039" max="1039" width="9" style="158" customWidth="1"/>
    <col min="1040" max="1040" width="8.25" style="158" customWidth="1"/>
    <col min="1041" max="1041" width="9.25" style="158" bestFit="1" customWidth="1"/>
    <col min="1042" max="1042" width="2.75" style="158" customWidth="1"/>
    <col min="1043" max="1043" width="26.625" style="158" customWidth="1"/>
    <col min="1044" max="1044" width="9.25" style="158" bestFit="1" customWidth="1"/>
    <col min="1045" max="1045" width="9" style="158" customWidth="1"/>
    <col min="1046" max="1046" width="8.25" style="158" customWidth="1"/>
    <col min="1047" max="1047" width="9.25" style="158" bestFit="1" customWidth="1"/>
    <col min="1048" max="1048" width="2.75" style="158" customWidth="1"/>
    <col min="1049" max="1053" width="0" style="158" hidden="1" customWidth="1"/>
    <col min="1054" max="1054" width="2.5" style="158" customWidth="1"/>
    <col min="1055" max="1055" width="6" style="158" bestFit="1" customWidth="1"/>
    <col min="1056" max="1056" width="21.125" style="158" customWidth="1"/>
    <col min="1057" max="1057" width="11" style="158" customWidth="1"/>
    <col min="1058" max="1058" width="15" style="158" customWidth="1"/>
    <col min="1059" max="1059" width="6.625" style="158" customWidth="1"/>
    <col min="1060" max="1061" width="7.375" style="158" customWidth="1"/>
    <col min="1062" max="1062" width="7.25" style="158" customWidth="1"/>
    <col min="1063" max="1280" width="8.25" style="158"/>
    <col min="1281" max="1281" width="27.75" style="158" customWidth="1"/>
    <col min="1282" max="1282" width="9.25" style="158" bestFit="1" customWidth="1"/>
    <col min="1283" max="1283" width="9" style="158" customWidth="1"/>
    <col min="1284" max="1284" width="8.25" style="158" customWidth="1"/>
    <col min="1285" max="1285" width="10.25" style="158" bestFit="1" customWidth="1"/>
    <col min="1286" max="1286" width="1.75" style="158" customWidth="1"/>
    <col min="1287" max="1287" width="27.75" style="158" customWidth="1"/>
    <col min="1288" max="1288" width="9.25" style="158" bestFit="1" customWidth="1"/>
    <col min="1289" max="1289" width="9" style="158" customWidth="1"/>
    <col min="1290" max="1290" width="8.25" style="158" customWidth="1"/>
    <col min="1291" max="1291" width="9.25" style="158" bestFit="1" customWidth="1"/>
    <col min="1292" max="1292" width="2.75" style="158" customWidth="1"/>
    <col min="1293" max="1293" width="26.625" style="158" customWidth="1"/>
    <col min="1294" max="1294" width="9.25" style="158" bestFit="1" customWidth="1"/>
    <col min="1295" max="1295" width="9" style="158" customWidth="1"/>
    <col min="1296" max="1296" width="8.25" style="158" customWidth="1"/>
    <col min="1297" max="1297" width="9.25" style="158" bestFit="1" customWidth="1"/>
    <col min="1298" max="1298" width="2.75" style="158" customWidth="1"/>
    <col min="1299" max="1299" width="26.625" style="158" customWidth="1"/>
    <col min="1300" max="1300" width="9.25" style="158" bestFit="1" customWidth="1"/>
    <col min="1301" max="1301" width="9" style="158" customWidth="1"/>
    <col min="1302" max="1302" width="8.25" style="158" customWidth="1"/>
    <col min="1303" max="1303" width="9.25" style="158" bestFit="1" customWidth="1"/>
    <col min="1304" max="1304" width="2.75" style="158" customWidth="1"/>
    <col min="1305" max="1309" width="0" style="158" hidden="1" customWidth="1"/>
    <col min="1310" max="1310" width="2.5" style="158" customWidth="1"/>
    <col min="1311" max="1311" width="6" style="158" bestFit="1" customWidth="1"/>
    <col min="1312" max="1312" width="21.125" style="158" customWidth="1"/>
    <col min="1313" max="1313" width="11" style="158" customWidth="1"/>
    <col min="1314" max="1314" width="15" style="158" customWidth="1"/>
    <col min="1315" max="1315" width="6.625" style="158" customWidth="1"/>
    <col min="1316" max="1317" width="7.375" style="158" customWidth="1"/>
    <col min="1318" max="1318" width="7.25" style="158" customWidth="1"/>
    <col min="1319" max="1536" width="8.25" style="158"/>
    <col min="1537" max="1537" width="27.75" style="158" customWidth="1"/>
    <col min="1538" max="1538" width="9.25" style="158" bestFit="1" customWidth="1"/>
    <col min="1539" max="1539" width="9" style="158" customWidth="1"/>
    <col min="1540" max="1540" width="8.25" style="158" customWidth="1"/>
    <col min="1541" max="1541" width="10.25" style="158" bestFit="1" customWidth="1"/>
    <col min="1542" max="1542" width="1.75" style="158" customWidth="1"/>
    <col min="1543" max="1543" width="27.75" style="158" customWidth="1"/>
    <col min="1544" max="1544" width="9.25" style="158" bestFit="1" customWidth="1"/>
    <col min="1545" max="1545" width="9" style="158" customWidth="1"/>
    <col min="1546" max="1546" width="8.25" style="158" customWidth="1"/>
    <col min="1547" max="1547" width="9.25" style="158" bestFit="1" customWidth="1"/>
    <col min="1548" max="1548" width="2.75" style="158" customWidth="1"/>
    <col min="1549" max="1549" width="26.625" style="158" customWidth="1"/>
    <col min="1550" max="1550" width="9.25" style="158" bestFit="1" customWidth="1"/>
    <col min="1551" max="1551" width="9" style="158" customWidth="1"/>
    <col min="1552" max="1552" width="8.25" style="158" customWidth="1"/>
    <col min="1553" max="1553" width="9.25" style="158" bestFit="1" customWidth="1"/>
    <col min="1554" max="1554" width="2.75" style="158" customWidth="1"/>
    <col min="1555" max="1555" width="26.625" style="158" customWidth="1"/>
    <col min="1556" max="1556" width="9.25" style="158" bestFit="1" customWidth="1"/>
    <col min="1557" max="1557" width="9" style="158" customWidth="1"/>
    <col min="1558" max="1558" width="8.25" style="158" customWidth="1"/>
    <col min="1559" max="1559" width="9.25" style="158" bestFit="1" customWidth="1"/>
    <col min="1560" max="1560" width="2.75" style="158" customWidth="1"/>
    <col min="1561" max="1565" width="0" style="158" hidden="1" customWidth="1"/>
    <col min="1566" max="1566" width="2.5" style="158" customWidth="1"/>
    <col min="1567" max="1567" width="6" style="158" bestFit="1" customWidth="1"/>
    <col min="1568" max="1568" width="21.125" style="158" customWidth="1"/>
    <col min="1569" max="1569" width="11" style="158" customWidth="1"/>
    <col min="1570" max="1570" width="15" style="158" customWidth="1"/>
    <col min="1571" max="1571" width="6.625" style="158" customWidth="1"/>
    <col min="1572" max="1573" width="7.375" style="158" customWidth="1"/>
    <col min="1574" max="1574" width="7.25" style="158" customWidth="1"/>
    <col min="1575" max="1792" width="8.25" style="158"/>
    <col min="1793" max="1793" width="27.75" style="158" customWidth="1"/>
    <col min="1794" max="1794" width="9.25" style="158" bestFit="1" customWidth="1"/>
    <col min="1795" max="1795" width="9" style="158" customWidth="1"/>
    <col min="1796" max="1796" width="8.25" style="158" customWidth="1"/>
    <col min="1797" max="1797" width="10.25" style="158" bestFit="1" customWidth="1"/>
    <col min="1798" max="1798" width="1.75" style="158" customWidth="1"/>
    <col min="1799" max="1799" width="27.75" style="158" customWidth="1"/>
    <col min="1800" max="1800" width="9.25" style="158" bestFit="1" customWidth="1"/>
    <col min="1801" max="1801" width="9" style="158" customWidth="1"/>
    <col min="1802" max="1802" width="8.25" style="158" customWidth="1"/>
    <col min="1803" max="1803" width="9.25" style="158" bestFit="1" customWidth="1"/>
    <col min="1804" max="1804" width="2.75" style="158" customWidth="1"/>
    <col min="1805" max="1805" width="26.625" style="158" customWidth="1"/>
    <col min="1806" max="1806" width="9.25" style="158" bestFit="1" customWidth="1"/>
    <col min="1807" max="1807" width="9" style="158" customWidth="1"/>
    <col min="1808" max="1808" width="8.25" style="158" customWidth="1"/>
    <col min="1809" max="1809" width="9.25" style="158" bestFit="1" customWidth="1"/>
    <col min="1810" max="1810" width="2.75" style="158" customWidth="1"/>
    <col min="1811" max="1811" width="26.625" style="158" customWidth="1"/>
    <col min="1812" max="1812" width="9.25" style="158" bestFit="1" customWidth="1"/>
    <col min="1813" max="1813" width="9" style="158" customWidth="1"/>
    <col min="1814" max="1814" width="8.25" style="158" customWidth="1"/>
    <col min="1815" max="1815" width="9.25" style="158" bestFit="1" customWidth="1"/>
    <col min="1816" max="1816" width="2.75" style="158" customWidth="1"/>
    <col min="1817" max="1821" width="0" style="158" hidden="1" customWidth="1"/>
    <col min="1822" max="1822" width="2.5" style="158" customWidth="1"/>
    <col min="1823" max="1823" width="6" style="158" bestFit="1" customWidth="1"/>
    <col min="1824" max="1824" width="21.125" style="158" customWidth="1"/>
    <col min="1825" max="1825" width="11" style="158" customWidth="1"/>
    <col min="1826" max="1826" width="15" style="158" customWidth="1"/>
    <col min="1827" max="1827" width="6.625" style="158" customWidth="1"/>
    <col min="1828" max="1829" width="7.375" style="158" customWidth="1"/>
    <col min="1830" max="1830" width="7.25" style="158" customWidth="1"/>
    <col min="1831" max="2048" width="8.25" style="158"/>
    <col min="2049" max="2049" width="27.75" style="158" customWidth="1"/>
    <col min="2050" max="2050" width="9.25" style="158" bestFit="1" customWidth="1"/>
    <col min="2051" max="2051" width="9" style="158" customWidth="1"/>
    <col min="2052" max="2052" width="8.25" style="158" customWidth="1"/>
    <col min="2053" max="2053" width="10.25" style="158" bestFit="1" customWidth="1"/>
    <col min="2054" max="2054" width="1.75" style="158" customWidth="1"/>
    <col min="2055" max="2055" width="27.75" style="158" customWidth="1"/>
    <col min="2056" max="2056" width="9.25" style="158" bestFit="1" customWidth="1"/>
    <col min="2057" max="2057" width="9" style="158" customWidth="1"/>
    <col min="2058" max="2058" width="8.25" style="158" customWidth="1"/>
    <col min="2059" max="2059" width="9.25" style="158" bestFit="1" customWidth="1"/>
    <col min="2060" max="2060" width="2.75" style="158" customWidth="1"/>
    <col min="2061" max="2061" width="26.625" style="158" customWidth="1"/>
    <col min="2062" max="2062" width="9.25" style="158" bestFit="1" customWidth="1"/>
    <col min="2063" max="2063" width="9" style="158" customWidth="1"/>
    <col min="2064" max="2064" width="8.25" style="158" customWidth="1"/>
    <col min="2065" max="2065" width="9.25" style="158" bestFit="1" customWidth="1"/>
    <col min="2066" max="2066" width="2.75" style="158" customWidth="1"/>
    <col min="2067" max="2067" width="26.625" style="158" customWidth="1"/>
    <col min="2068" max="2068" width="9.25" style="158" bestFit="1" customWidth="1"/>
    <col min="2069" max="2069" width="9" style="158" customWidth="1"/>
    <col min="2070" max="2070" width="8.25" style="158" customWidth="1"/>
    <col min="2071" max="2071" width="9.25" style="158" bestFit="1" customWidth="1"/>
    <col min="2072" max="2072" width="2.75" style="158" customWidth="1"/>
    <col min="2073" max="2077" width="0" style="158" hidden="1" customWidth="1"/>
    <col min="2078" max="2078" width="2.5" style="158" customWidth="1"/>
    <col min="2079" max="2079" width="6" style="158" bestFit="1" customWidth="1"/>
    <col min="2080" max="2080" width="21.125" style="158" customWidth="1"/>
    <col min="2081" max="2081" width="11" style="158" customWidth="1"/>
    <col min="2082" max="2082" width="15" style="158" customWidth="1"/>
    <col min="2083" max="2083" width="6.625" style="158" customWidth="1"/>
    <col min="2084" max="2085" width="7.375" style="158" customWidth="1"/>
    <col min="2086" max="2086" width="7.25" style="158" customWidth="1"/>
    <col min="2087" max="2304" width="8.25" style="158"/>
    <col min="2305" max="2305" width="27.75" style="158" customWidth="1"/>
    <col min="2306" max="2306" width="9.25" style="158" bestFit="1" customWidth="1"/>
    <col min="2307" max="2307" width="9" style="158" customWidth="1"/>
    <col min="2308" max="2308" width="8.25" style="158" customWidth="1"/>
    <col min="2309" max="2309" width="10.25" style="158" bestFit="1" customWidth="1"/>
    <col min="2310" max="2310" width="1.75" style="158" customWidth="1"/>
    <col min="2311" max="2311" width="27.75" style="158" customWidth="1"/>
    <col min="2312" max="2312" width="9.25" style="158" bestFit="1" customWidth="1"/>
    <col min="2313" max="2313" width="9" style="158" customWidth="1"/>
    <col min="2314" max="2314" width="8.25" style="158" customWidth="1"/>
    <col min="2315" max="2315" width="9.25" style="158" bestFit="1" customWidth="1"/>
    <col min="2316" max="2316" width="2.75" style="158" customWidth="1"/>
    <col min="2317" max="2317" width="26.625" style="158" customWidth="1"/>
    <col min="2318" max="2318" width="9.25" style="158" bestFit="1" customWidth="1"/>
    <col min="2319" max="2319" width="9" style="158" customWidth="1"/>
    <col min="2320" max="2320" width="8.25" style="158" customWidth="1"/>
    <col min="2321" max="2321" width="9.25" style="158" bestFit="1" customWidth="1"/>
    <col min="2322" max="2322" width="2.75" style="158" customWidth="1"/>
    <col min="2323" max="2323" width="26.625" style="158" customWidth="1"/>
    <col min="2324" max="2324" width="9.25" style="158" bestFit="1" customWidth="1"/>
    <col min="2325" max="2325" width="9" style="158" customWidth="1"/>
    <col min="2326" max="2326" width="8.25" style="158" customWidth="1"/>
    <col min="2327" max="2327" width="9.25" style="158" bestFit="1" customWidth="1"/>
    <col min="2328" max="2328" width="2.75" style="158" customWidth="1"/>
    <col min="2329" max="2333" width="0" style="158" hidden="1" customWidth="1"/>
    <col min="2334" max="2334" width="2.5" style="158" customWidth="1"/>
    <col min="2335" max="2335" width="6" style="158" bestFit="1" customWidth="1"/>
    <col min="2336" max="2336" width="21.125" style="158" customWidth="1"/>
    <col min="2337" max="2337" width="11" style="158" customWidth="1"/>
    <col min="2338" max="2338" width="15" style="158" customWidth="1"/>
    <col min="2339" max="2339" width="6.625" style="158" customWidth="1"/>
    <col min="2340" max="2341" width="7.375" style="158" customWidth="1"/>
    <col min="2342" max="2342" width="7.25" style="158" customWidth="1"/>
    <col min="2343" max="2560" width="8.25" style="158"/>
    <col min="2561" max="2561" width="27.75" style="158" customWidth="1"/>
    <col min="2562" max="2562" width="9.25" style="158" bestFit="1" customWidth="1"/>
    <col min="2563" max="2563" width="9" style="158" customWidth="1"/>
    <col min="2564" max="2564" width="8.25" style="158" customWidth="1"/>
    <col min="2565" max="2565" width="10.25" style="158" bestFit="1" customWidth="1"/>
    <col min="2566" max="2566" width="1.75" style="158" customWidth="1"/>
    <col min="2567" max="2567" width="27.75" style="158" customWidth="1"/>
    <col min="2568" max="2568" width="9.25" style="158" bestFit="1" customWidth="1"/>
    <col min="2569" max="2569" width="9" style="158" customWidth="1"/>
    <col min="2570" max="2570" width="8.25" style="158" customWidth="1"/>
    <col min="2571" max="2571" width="9.25" style="158" bestFit="1" customWidth="1"/>
    <col min="2572" max="2572" width="2.75" style="158" customWidth="1"/>
    <col min="2573" max="2573" width="26.625" style="158" customWidth="1"/>
    <col min="2574" max="2574" width="9.25" style="158" bestFit="1" customWidth="1"/>
    <col min="2575" max="2575" width="9" style="158" customWidth="1"/>
    <col min="2576" max="2576" width="8.25" style="158" customWidth="1"/>
    <col min="2577" max="2577" width="9.25" style="158" bestFit="1" customWidth="1"/>
    <col min="2578" max="2578" width="2.75" style="158" customWidth="1"/>
    <col min="2579" max="2579" width="26.625" style="158" customWidth="1"/>
    <col min="2580" max="2580" width="9.25" style="158" bestFit="1" customWidth="1"/>
    <col min="2581" max="2581" width="9" style="158" customWidth="1"/>
    <col min="2582" max="2582" width="8.25" style="158" customWidth="1"/>
    <col min="2583" max="2583" width="9.25" style="158" bestFit="1" customWidth="1"/>
    <col min="2584" max="2584" width="2.75" style="158" customWidth="1"/>
    <col min="2585" max="2589" width="0" style="158" hidden="1" customWidth="1"/>
    <col min="2590" max="2590" width="2.5" style="158" customWidth="1"/>
    <col min="2591" max="2591" width="6" style="158" bestFit="1" customWidth="1"/>
    <col min="2592" max="2592" width="21.125" style="158" customWidth="1"/>
    <col min="2593" max="2593" width="11" style="158" customWidth="1"/>
    <col min="2594" max="2594" width="15" style="158" customWidth="1"/>
    <col min="2595" max="2595" width="6.625" style="158" customWidth="1"/>
    <col min="2596" max="2597" width="7.375" style="158" customWidth="1"/>
    <col min="2598" max="2598" width="7.25" style="158" customWidth="1"/>
    <col min="2599" max="2816" width="8.25" style="158"/>
    <col min="2817" max="2817" width="27.75" style="158" customWidth="1"/>
    <col min="2818" max="2818" width="9.25" style="158" bestFit="1" customWidth="1"/>
    <col min="2819" max="2819" width="9" style="158" customWidth="1"/>
    <col min="2820" max="2820" width="8.25" style="158" customWidth="1"/>
    <col min="2821" max="2821" width="10.25" style="158" bestFit="1" customWidth="1"/>
    <col min="2822" max="2822" width="1.75" style="158" customWidth="1"/>
    <col min="2823" max="2823" width="27.75" style="158" customWidth="1"/>
    <col min="2824" max="2824" width="9.25" style="158" bestFit="1" customWidth="1"/>
    <col min="2825" max="2825" width="9" style="158" customWidth="1"/>
    <col min="2826" max="2826" width="8.25" style="158" customWidth="1"/>
    <col min="2827" max="2827" width="9.25" style="158" bestFit="1" customWidth="1"/>
    <col min="2828" max="2828" width="2.75" style="158" customWidth="1"/>
    <col min="2829" max="2829" width="26.625" style="158" customWidth="1"/>
    <col min="2830" max="2830" width="9.25" style="158" bestFit="1" customWidth="1"/>
    <col min="2831" max="2831" width="9" style="158" customWidth="1"/>
    <col min="2832" max="2832" width="8.25" style="158" customWidth="1"/>
    <col min="2833" max="2833" width="9.25" style="158" bestFit="1" customWidth="1"/>
    <col min="2834" max="2834" width="2.75" style="158" customWidth="1"/>
    <col min="2835" max="2835" width="26.625" style="158" customWidth="1"/>
    <col min="2836" max="2836" width="9.25" style="158" bestFit="1" customWidth="1"/>
    <col min="2837" max="2837" width="9" style="158" customWidth="1"/>
    <col min="2838" max="2838" width="8.25" style="158" customWidth="1"/>
    <col min="2839" max="2839" width="9.25" style="158" bestFit="1" customWidth="1"/>
    <col min="2840" max="2840" width="2.75" style="158" customWidth="1"/>
    <col min="2841" max="2845" width="0" style="158" hidden="1" customWidth="1"/>
    <col min="2846" max="2846" width="2.5" style="158" customWidth="1"/>
    <col min="2847" max="2847" width="6" style="158" bestFit="1" customWidth="1"/>
    <col min="2848" max="2848" width="21.125" style="158" customWidth="1"/>
    <col min="2849" max="2849" width="11" style="158" customWidth="1"/>
    <col min="2850" max="2850" width="15" style="158" customWidth="1"/>
    <col min="2851" max="2851" width="6.625" style="158" customWidth="1"/>
    <col min="2852" max="2853" width="7.375" style="158" customWidth="1"/>
    <col min="2854" max="2854" width="7.25" style="158" customWidth="1"/>
    <col min="2855" max="3072" width="8.25" style="158"/>
    <col min="3073" max="3073" width="27.75" style="158" customWidth="1"/>
    <col min="3074" max="3074" width="9.25" style="158" bestFit="1" customWidth="1"/>
    <col min="3075" max="3075" width="9" style="158" customWidth="1"/>
    <col min="3076" max="3076" width="8.25" style="158" customWidth="1"/>
    <col min="3077" max="3077" width="10.25" style="158" bestFit="1" customWidth="1"/>
    <col min="3078" max="3078" width="1.75" style="158" customWidth="1"/>
    <col min="3079" max="3079" width="27.75" style="158" customWidth="1"/>
    <col min="3080" max="3080" width="9.25" style="158" bestFit="1" customWidth="1"/>
    <col min="3081" max="3081" width="9" style="158" customWidth="1"/>
    <col min="3082" max="3082" width="8.25" style="158" customWidth="1"/>
    <col min="3083" max="3083" width="9.25" style="158" bestFit="1" customWidth="1"/>
    <col min="3084" max="3084" width="2.75" style="158" customWidth="1"/>
    <col min="3085" max="3085" width="26.625" style="158" customWidth="1"/>
    <col min="3086" max="3086" width="9.25" style="158" bestFit="1" customWidth="1"/>
    <col min="3087" max="3087" width="9" style="158" customWidth="1"/>
    <col min="3088" max="3088" width="8.25" style="158" customWidth="1"/>
    <col min="3089" max="3089" width="9.25" style="158" bestFit="1" customWidth="1"/>
    <col min="3090" max="3090" width="2.75" style="158" customWidth="1"/>
    <col min="3091" max="3091" width="26.625" style="158" customWidth="1"/>
    <col min="3092" max="3092" width="9.25" style="158" bestFit="1" customWidth="1"/>
    <col min="3093" max="3093" width="9" style="158" customWidth="1"/>
    <col min="3094" max="3094" width="8.25" style="158" customWidth="1"/>
    <col min="3095" max="3095" width="9.25" style="158" bestFit="1" customWidth="1"/>
    <col min="3096" max="3096" width="2.75" style="158" customWidth="1"/>
    <col min="3097" max="3101" width="0" style="158" hidden="1" customWidth="1"/>
    <col min="3102" max="3102" width="2.5" style="158" customWidth="1"/>
    <col min="3103" max="3103" width="6" style="158" bestFit="1" customWidth="1"/>
    <col min="3104" max="3104" width="21.125" style="158" customWidth="1"/>
    <col min="3105" max="3105" width="11" style="158" customWidth="1"/>
    <col min="3106" max="3106" width="15" style="158" customWidth="1"/>
    <col min="3107" max="3107" width="6.625" style="158" customWidth="1"/>
    <col min="3108" max="3109" width="7.375" style="158" customWidth="1"/>
    <col min="3110" max="3110" width="7.25" style="158" customWidth="1"/>
    <col min="3111" max="3328" width="8.25" style="158"/>
    <col min="3329" max="3329" width="27.75" style="158" customWidth="1"/>
    <col min="3330" max="3330" width="9.25" style="158" bestFit="1" customWidth="1"/>
    <col min="3331" max="3331" width="9" style="158" customWidth="1"/>
    <col min="3332" max="3332" width="8.25" style="158" customWidth="1"/>
    <col min="3333" max="3333" width="10.25" style="158" bestFit="1" customWidth="1"/>
    <col min="3334" max="3334" width="1.75" style="158" customWidth="1"/>
    <col min="3335" max="3335" width="27.75" style="158" customWidth="1"/>
    <col min="3336" max="3336" width="9.25" style="158" bestFit="1" customWidth="1"/>
    <col min="3337" max="3337" width="9" style="158" customWidth="1"/>
    <col min="3338" max="3338" width="8.25" style="158" customWidth="1"/>
    <col min="3339" max="3339" width="9.25" style="158" bestFit="1" customWidth="1"/>
    <col min="3340" max="3340" width="2.75" style="158" customWidth="1"/>
    <col min="3341" max="3341" width="26.625" style="158" customWidth="1"/>
    <col min="3342" max="3342" width="9.25" style="158" bestFit="1" customWidth="1"/>
    <col min="3343" max="3343" width="9" style="158" customWidth="1"/>
    <col min="3344" max="3344" width="8.25" style="158" customWidth="1"/>
    <col min="3345" max="3345" width="9.25" style="158" bestFit="1" customWidth="1"/>
    <col min="3346" max="3346" width="2.75" style="158" customWidth="1"/>
    <col min="3347" max="3347" width="26.625" style="158" customWidth="1"/>
    <col min="3348" max="3348" width="9.25" style="158" bestFit="1" customWidth="1"/>
    <col min="3349" max="3349" width="9" style="158" customWidth="1"/>
    <col min="3350" max="3350" width="8.25" style="158" customWidth="1"/>
    <col min="3351" max="3351" width="9.25" style="158" bestFit="1" customWidth="1"/>
    <col min="3352" max="3352" width="2.75" style="158" customWidth="1"/>
    <col min="3353" max="3357" width="0" style="158" hidden="1" customWidth="1"/>
    <col min="3358" max="3358" width="2.5" style="158" customWidth="1"/>
    <col min="3359" max="3359" width="6" style="158" bestFit="1" customWidth="1"/>
    <col min="3360" max="3360" width="21.125" style="158" customWidth="1"/>
    <col min="3361" max="3361" width="11" style="158" customWidth="1"/>
    <col min="3362" max="3362" width="15" style="158" customWidth="1"/>
    <col min="3363" max="3363" width="6.625" style="158" customWidth="1"/>
    <col min="3364" max="3365" width="7.375" style="158" customWidth="1"/>
    <col min="3366" max="3366" width="7.25" style="158" customWidth="1"/>
    <col min="3367" max="3584" width="8.25" style="158"/>
    <col min="3585" max="3585" width="27.75" style="158" customWidth="1"/>
    <col min="3586" max="3586" width="9.25" style="158" bestFit="1" customWidth="1"/>
    <col min="3587" max="3587" width="9" style="158" customWidth="1"/>
    <col min="3588" max="3588" width="8.25" style="158" customWidth="1"/>
    <col min="3589" max="3589" width="10.25" style="158" bestFit="1" customWidth="1"/>
    <col min="3590" max="3590" width="1.75" style="158" customWidth="1"/>
    <col min="3591" max="3591" width="27.75" style="158" customWidth="1"/>
    <col min="3592" max="3592" width="9.25" style="158" bestFit="1" customWidth="1"/>
    <col min="3593" max="3593" width="9" style="158" customWidth="1"/>
    <col min="3594" max="3594" width="8.25" style="158" customWidth="1"/>
    <col min="3595" max="3595" width="9.25" style="158" bestFit="1" customWidth="1"/>
    <col min="3596" max="3596" width="2.75" style="158" customWidth="1"/>
    <col min="3597" max="3597" width="26.625" style="158" customWidth="1"/>
    <col min="3598" max="3598" width="9.25" style="158" bestFit="1" customWidth="1"/>
    <col min="3599" max="3599" width="9" style="158" customWidth="1"/>
    <col min="3600" max="3600" width="8.25" style="158" customWidth="1"/>
    <col min="3601" max="3601" width="9.25" style="158" bestFit="1" customWidth="1"/>
    <col min="3602" max="3602" width="2.75" style="158" customWidth="1"/>
    <col min="3603" max="3603" width="26.625" style="158" customWidth="1"/>
    <col min="3604" max="3604" width="9.25" style="158" bestFit="1" customWidth="1"/>
    <col min="3605" max="3605" width="9" style="158" customWidth="1"/>
    <col min="3606" max="3606" width="8.25" style="158" customWidth="1"/>
    <col min="3607" max="3607" width="9.25" style="158" bestFit="1" customWidth="1"/>
    <col min="3608" max="3608" width="2.75" style="158" customWidth="1"/>
    <col min="3609" max="3613" width="0" style="158" hidden="1" customWidth="1"/>
    <col min="3614" max="3614" width="2.5" style="158" customWidth="1"/>
    <col min="3615" max="3615" width="6" style="158" bestFit="1" customWidth="1"/>
    <col min="3616" max="3616" width="21.125" style="158" customWidth="1"/>
    <col min="3617" max="3617" width="11" style="158" customWidth="1"/>
    <col min="3618" max="3618" width="15" style="158" customWidth="1"/>
    <col min="3619" max="3619" width="6.625" style="158" customWidth="1"/>
    <col min="3620" max="3621" width="7.375" style="158" customWidth="1"/>
    <col min="3622" max="3622" width="7.25" style="158" customWidth="1"/>
    <col min="3623" max="3840" width="8.25" style="158"/>
    <col min="3841" max="3841" width="27.75" style="158" customWidth="1"/>
    <col min="3842" max="3842" width="9.25" style="158" bestFit="1" customWidth="1"/>
    <col min="3843" max="3843" width="9" style="158" customWidth="1"/>
    <col min="3844" max="3844" width="8.25" style="158" customWidth="1"/>
    <col min="3845" max="3845" width="10.25" style="158" bestFit="1" customWidth="1"/>
    <col min="3846" max="3846" width="1.75" style="158" customWidth="1"/>
    <col min="3847" max="3847" width="27.75" style="158" customWidth="1"/>
    <col min="3848" max="3848" width="9.25" style="158" bestFit="1" customWidth="1"/>
    <col min="3849" max="3849" width="9" style="158" customWidth="1"/>
    <col min="3850" max="3850" width="8.25" style="158" customWidth="1"/>
    <col min="3851" max="3851" width="9.25" style="158" bestFit="1" customWidth="1"/>
    <col min="3852" max="3852" width="2.75" style="158" customWidth="1"/>
    <col min="3853" max="3853" width="26.625" style="158" customWidth="1"/>
    <col min="3854" max="3854" width="9.25" style="158" bestFit="1" customWidth="1"/>
    <col min="3855" max="3855" width="9" style="158" customWidth="1"/>
    <col min="3856" max="3856" width="8.25" style="158" customWidth="1"/>
    <col min="3857" max="3857" width="9.25" style="158" bestFit="1" customWidth="1"/>
    <col min="3858" max="3858" width="2.75" style="158" customWidth="1"/>
    <col min="3859" max="3859" width="26.625" style="158" customWidth="1"/>
    <col min="3860" max="3860" width="9.25" style="158" bestFit="1" customWidth="1"/>
    <col min="3861" max="3861" width="9" style="158" customWidth="1"/>
    <col min="3862" max="3862" width="8.25" style="158" customWidth="1"/>
    <col min="3863" max="3863" width="9.25" style="158" bestFit="1" customWidth="1"/>
    <col min="3864" max="3864" width="2.75" style="158" customWidth="1"/>
    <col min="3865" max="3869" width="0" style="158" hidden="1" customWidth="1"/>
    <col min="3870" max="3870" width="2.5" style="158" customWidth="1"/>
    <col min="3871" max="3871" width="6" style="158" bestFit="1" customWidth="1"/>
    <col min="3872" max="3872" width="21.125" style="158" customWidth="1"/>
    <col min="3873" max="3873" width="11" style="158" customWidth="1"/>
    <col min="3874" max="3874" width="15" style="158" customWidth="1"/>
    <col min="3875" max="3875" width="6.625" style="158" customWidth="1"/>
    <col min="3876" max="3877" width="7.375" style="158" customWidth="1"/>
    <col min="3878" max="3878" width="7.25" style="158" customWidth="1"/>
    <col min="3879" max="4096" width="8.25" style="158"/>
    <col min="4097" max="4097" width="27.75" style="158" customWidth="1"/>
    <col min="4098" max="4098" width="9.25" style="158" bestFit="1" customWidth="1"/>
    <col min="4099" max="4099" width="9" style="158" customWidth="1"/>
    <col min="4100" max="4100" width="8.25" style="158" customWidth="1"/>
    <col min="4101" max="4101" width="10.25" style="158" bestFit="1" customWidth="1"/>
    <col min="4102" max="4102" width="1.75" style="158" customWidth="1"/>
    <col min="4103" max="4103" width="27.75" style="158" customWidth="1"/>
    <col min="4104" max="4104" width="9.25" style="158" bestFit="1" customWidth="1"/>
    <col min="4105" max="4105" width="9" style="158" customWidth="1"/>
    <col min="4106" max="4106" width="8.25" style="158" customWidth="1"/>
    <col min="4107" max="4107" width="9.25" style="158" bestFit="1" customWidth="1"/>
    <col min="4108" max="4108" width="2.75" style="158" customWidth="1"/>
    <col min="4109" max="4109" width="26.625" style="158" customWidth="1"/>
    <col min="4110" max="4110" width="9.25" style="158" bestFit="1" customWidth="1"/>
    <col min="4111" max="4111" width="9" style="158" customWidth="1"/>
    <col min="4112" max="4112" width="8.25" style="158" customWidth="1"/>
    <col min="4113" max="4113" width="9.25" style="158" bestFit="1" customWidth="1"/>
    <col min="4114" max="4114" width="2.75" style="158" customWidth="1"/>
    <col min="4115" max="4115" width="26.625" style="158" customWidth="1"/>
    <col min="4116" max="4116" width="9.25" style="158" bestFit="1" customWidth="1"/>
    <col min="4117" max="4117" width="9" style="158" customWidth="1"/>
    <col min="4118" max="4118" width="8.25" style="158" customWidth="1"/>
    <col min="4119" max="4119" width="9.25" style="158" bestFit="1" customWidth="1"/>
    <col min="4120" max="4120" width="2.75" style="158" customWidth="1"/>
    <col min="4121" max="4125" width="0" style="158" hidden="1" customWidth="1"/>
    <col min="4126" max="4126" width="2.5" style="158" customWidth="1"/>
    <col min="4127" max="4127" width="6" style="158" bestFit="1" customWidth="1"/>
    <col min="4128" max="4128" width="21.125" style="158" customWidth="1"/>
    <col min="4129" max="4129" width="11" style="158" customWidth="1"/>
    <col min="4130" max="4130" width="15" style="158" customWidth="1"/>
    <col min="4131" max="4131" width="6.625" style="158" customWidth="1"/>
    <col min="4132" max="4133" width="7.375" style="158" customWidth="1"/>
    <col min="4134" max="4134" width="7.25" style="158" customWidth="1"/>
    <col min="4135" max="4352" width="8.25" style="158"/>
    <col min="4353" max="4353" width="27.75" style="158" customWidth="1"/>
    <col min="4354" max="4354" width="9.25" style="158" bestFit="1" customWidth="1"/>
    <col min="4355" max="4355" width="9" style="158" customWidth="1"/>
    <col min="4356" max="4356" width="8.25" style="158" customWidth="1"/>
    <col min="4357" max="4357" width="10.25" style="158" bestFit="1" customWidth="1"/>
    <col min="4358" max="4358" width="1.75" style="158" customWidth="1"/>
    <col min="4359" max="4359" width="27.75" style="158" customWidth="1"/>
    <col min="4360" max="4360" width="9.25" style="158" bestFit="1" customWidth="1"/>
    <col min="4361" max="4361" width="9" style="158" customWidth="1"/>
    <col min="4362" max="4362" width="8.25" style="158" customWidth="1"/>
    <col min="4363" max="4363" width="9.25" style="158" bestFit="1" customWidth="1"/>
    <col min="4364" max="4364" width="2.75" style="158" customWidth="1"/>
    <col min="4365" max="4365" width="26.625" style="158" customWidth="1"/>
    <col min="4366" max="4366" width="9.25" style="158" bestFit="1" customWidth="1"/>
    <col min="4367" max="4367" width="9" style="158" customWidth="1"/>
    <col min="4368" max="4368" width="8.25" style="158" customWidth="1"/>
    <col min="4369" max="4369" width="9.25" style="158" bestFit="1" customWidth="1"/>
    <col min="4370" max="4370" width="2.75" style="158" customWidth="1"/>
    <col min="4371" max="4371" width="26.625" style="158" customWidth="1"/>
    <col min="4372" max="4372" width="9.25" style="158" bestFit="1" customWidth="1"/>
    <col min="4373" max="4373" width="9" style="158" customWidth="1"/>
    <col min="4374" max="4374" width="8.25" style="158" customWidth="1"/>
    <col min="4375" max="4375" width="9.25" style="158" bestFit="1" customWidth="1"/>
    <col min="4376" max="4376" width="2.75" style="158" customWidth="1"/>
    <col min="4377" max="4381" width="0" style="158" hidden="1" customWidth="1"/>
    <col min="4382" max="4382" width="2.5" style="158" customWidth="1"/>
    <col min="4383" max="4383" width="6" style="158" bestFit="1" customWidth="1"/>
    <col min="4384" max="4384" width="21.125" style="158" customWidth="1"/>
    <col min="4385" max="4385" width="11" style="158" customWidth="1"/>
    <col min="4386" max="4386" width="15" style="158" customWidth="1"/>
    <col min="4387" max="4387" width="6.625" style="158" customWidth="1"/>
    <col min="4388" max="4389" width="7.375" style="158" customWidth="1"/>
    <col min="4390" max="4390" width="7.25" style="158" customWidth="1"/>
    <col min="4391" max="4608" width="8.25" style="158"/>
    <col min="4609" max="4609" width="27.75" style="158" customWidth="1"/>
    <col min="4610" max="4610" width="9.25" style="158" bestFit="1" customWidth="1"/>
    <col min="4611" max="4611" width="9" style="158" customWidth="1"/>
    <col min="4612" max="4612" width="8.25" style="158" customWidth="1"/>
    <col min="4613" max="4613" width="10.25" style="158" bestFit="1" customWidth="1"/>
    <col min="4614" max="4614" width="1.75" style="158" customWidth="1"/>
    <col min="4615" max="4615" width="27.75" style="158" customWidth="1"/>
    <col min="4616" max="4616" width="9.25" style="158" bestFit="1" customWidth="1"/>
    <col min="4617" max="4617" width="9" style="158" customWidth="1"/>
    <col min="4618" max="4618" width="8.25" style="158" customWidth="1"/>
    <col min="4619" max="4619" width="9.25" style="158" bestFit="1" customWidth="1"/>
    <col min="4620" max="4620" width="2.75" style="158" customWidth="1"/>
    <col min="4621" max="4621" width="26.625" style="158" customWidth="1"/>
    <col min="4622" max="4622" width="9.25" style="158" bestFit="1" customWidth="1"/>
    <col min="4623" max="4623" width="9" style="158" customWidth="1"/>
    <col min="4624" max="4624" width="8.25" style="158" customWidth="1"/>
    <col min="4625" max="4625" width="9.25" style="158" bestFit="1" customWidth="1"/>
    <col min="4626" max="4626" width="2.75" style="158" customWidth="1"/>
    <col min="4627" max="4627" width="26.625" style="158" customWidth="1"/>
    <col min="4628" max="4628" width="9.25" style="158" bestFit="1" customWidth="1"/>
    <col min="4629" max="4629" width="9" style="158" customWidth="1"/>
    <col min="4630" max="4630" width="8.25" style="158" customWidth="1"/>
    <col min="4631" max="4631" width="9.25" style="158" bestFit="1" customWidth="1"/>
    <col min="4632" max="4632" width="2.75" style="158" customWidth="1"/>
    <col min="4633" max="4637" width="0" style="158" hidden="1" customWidth="1"/>
    <col min="4638" max="4638" width="2.5" style="158" customWidth="1"/>
    <col min="4639" max="4639" width="6" style="158" bestFit="1" customWidth="1"/>
    <col min="4640" max="4640" width="21.125" style="158" customWidth="1"/>
    <col min="4641" max="4641" width="11" style="158" customWidth="1"/>
    <col min="4642" max="4642" width="15" style="158" customWidth="1"/>
    <col min="4643" max="4643" width="6.625" style="158" customWidth="1"/>
    <col min="4644" max="4645" width="7.375" style="158" customWidth="1"/>
    <col min="4646" max="4646" width="7.25" style="158" customWidth="1"/>
    <col min="4647" max="4864" width="8.25" style="158"/>
    <col min="4865" max="4865" width="27.75" style="158" customWidth="1"/>
    <col min="4866" max="4866" width="9.25" style="158" bestFit="1" customWidth="1"/>
    <col min="4867" max="4867" width="9" style="158" customWidth="1"/>
    <col min="4868" max="4868" width="8.25" style="158" customWidth="1"/>
    <col min="4869" max="4869" width="10.25" style="158" bestFit="1" customWidth="1"/>
    <col min="4870" max="4870" width="1.75" style="158" customWidth="1"/>
    <col min="4871" max="4871" width="27.75" style="158" customWidth="1"/>
    <col min="4872" max="4872" width="9.25" style="158" bestFit="1" customWidth="1"/>
    <col min="4873" max="4873" width="9" style="158" customWidth="1"/>
    <col min="4874" max="4874" width="8.25" style="158" customWidth="1"/>
    <col min="4875" max="4875" width="9.25" style="158" bestFit="1" customWidth="1"/>
    <col min="4876" max="4876" width="2.75" style="158" customWidth="1"/>
    <col min="4877" max="4877" width="26.625" style="158" customWidth="1"/>
    <col min="4878" max="4878" width="9.25" style="158" bestFit="1" customWidth="1"/>
    <col min="4879" max="4879" width="9" style="158" customWidth="1"/>
    <col min="4880" max="4880" width="8.25" style="158" customWidth="1"/>
    <col min="4881" max="4881" width="9.25" style="158" bestFit="1" customWidth="1"/>
    <col min="4882" max="4882" width="2.75" style="158" customWidth="1"/>
    <col min="4883" max="4883" width="26.625" style="158" customWidth="1"/>
    <col min="4884" max="4884" width="9.25" style="158" bestFit="1" customWidth="1"/>
    <col min="4885" max="4885" width="9" style="158" customWidth="1"/>
    <col min="4886" max="4886" width="8.25" style="158" customWidth="1"/>
    <col min="4887" max="4887" width="9.25" style="158" bestFit="1" customWidth="1"/>
    <col min="4888" max="4888" width="2.75" style="158" customWidth="1"/>
    <col min="4889" max="4893" width="0" style="158" hidden="1" customWidth="1"/>
    <col min="4894" max="4894" width="2.5" style="158" customWidth="1"/>
    <col min="4895" max="4895" width="6" style="158" bestFit="1" customWidth="1"/>
    <col min="4896" max="4896" width="21.125" style="158" customWidth="1"/>
    <col min="4897" max="4897" width="11" style="158" customWidth="1"/>
    <col min="4898" max="4898" width="15" style="158" customWidth="1"/>
    <col min="4899" max="4899" width="6.625" style="158" customWidth="1"/>
    <col min="4900" max="4901" width="7.375" style="158" customWidth="1"/>
    <col min="4902" max="4902" width="7.25" style="158" customWidth="1"/>
    <col min="4903" max="5120" width="8.25" style="158"/>
    <col min="5121" max="5121" width="27.75" style="158" customWidth="1"/>
    <col min="5122" max="5122" width="9.25" style="158" bestFit="1" customWidth="1"/>
    <col min="5123" max="5123" width="9" style="158" customWidth="1"/>
    <col min="5124" max="5124" width="8.25" style="158" customWidth="1"/>
    <col min="5125" max="5125" width="10.25" style="158" bestFit="1" customWidth="1"/>
    <col min="5126" max="5126" width="1.75" style="158" customWidth="1"/>
    <col min="5127" max="5127" width="27.75" style="158" customWidth="1"/>
    <col min="5128" max="5128" width="9.25" style="158" bestFit="1" customWidth="1"/>
    <col min="5129" max="5129" width="9" style="158" customWidth="1"/>
    <col min="5130" max="5130" width="8.25" style="158" customWidth="1"/>
    <col min="5131" max="5131" width="9.25" style="158" bestFit="1" customWidth="1"/>
    <col min="5132" max="5132" width="2.75" style="158" customWidth="1"/>
    <col min="5133" max="5133" width="26.625" style="158" customWidth="1"/>
    <col min="5134" max="5134" width="9.25" style="158" bestFit="1" customWidth="1"/>
    <col min="5135" max="5135" width="9" style="158" customWidth="1"/>
    <col min="5136" max="5136" width="8.25" style="158" customWidth="1"/>
    <col min="5137" max="5137" width="9.25" style="158" bestFit="1" customWidth="1"/>
    <col min="5138" max="5138" width="2.75" style="158" customWidth="1"/>
    <col min="5139" max="5139" width="26.625" style="158" customWidth="1"/>
    <col min="5140" max="5140" width="9.25" style="158" bestFit="1" customWidth="1"/>
    <col min="5141" max="5141" width="9" style="158" customWidth="1"/>
    <col min="5142" max="5142" width="8.25" style="158" customWidth="1"/>
    <col min="5143" max="5143" width="9.25" style="158" bestFit="1" customWidth="1"/>
    <col min="5144" max="5144" width="2.75" style="158" customWidth="1"/>
    <col min="5145" max="5149" width="0" style="158" hidden="1" customWidth="1"/>
    <col min="5150" max="5150" width="2.5" style="158" customWidth="1"/>
    <col min="5151" max="5151" width="6" style="158" bestFit="1" customWidth="1"/>
    <col min="5152" max="5152" width="21.125" style="158" customWidth="1"/>
    <col min="5153" max="5153" width="11" style="158" customWidth="1"/>
    <col min="5154" max="5154" width="15" style="158" customWidth="1"/>
    <col min="5155" max="5155" width="6.625" style="158" customWidth="1"/>
    <col min="5156" max="5157" width="7.375" style="158" customWidth="1"/>
    <col min="5158" max="5158" width="7.25" style="158" customWidth="1"/>
    <col min="5159" max="5376" width="8.25" style="158"/>
    <col min="5377" max="5377" width="27.75" style="158" customWidth="1"/>
    <col min="5378" max="5378" width="9.25" style="158" bestFit="1" customWidth="1"/>
    <col min="5379" max="5379" width="9" style="158" customWidth="1"/>
    <col min="5380" max="5380" width="8.25" style="158" customWidth="1"/>
    <col min="5381" max="5381" width="10.25" style="158" bestFit="1" customWidth="1"/>
    <col min="5382" max="5382" width="1.75" style="158" customWidth="1"/>
    <col min="5383" max="5383" width="27.75" style="158" customWidth="1"/>
    <col min="5384" max="5384" width="9.25" style="158" bestFit="1" customWidth="1"/>
    <col min="5385" max="5385" width="9" style="158" customWidth="1"/>
    <col min="5386" max="5386" width="8.25" style="158" customWidth="1"/>
    <col min="5387" max="5387" width="9.25" style="158" bestFit="1" customWidth="1"/>
    <col min="5388" max="5388" width="2.75" style="158" customWidth="1"/>
    <col min="5389" max="5389" width="26.625" style="158" customWidth="1"/>
    <col min="5390" max="5390" width="9.25" style="158" bestFit="1" customWidth="1"/>
    <col min="5391" max="5391" width="9" style="158" customWidth="1"/>
    <col min="5392" max="5392" width="8.25" style="158" customWidth="1"/>
    <col min="5393" max="5393" width="9.25" style="158" bestFit="1" customWidth="1"/>
    <col min="5394" max="5394" width="2.75" style="158" customWidth="1"/>
    <col min="5395" max="5395" width="26.625" style="158" customWidth="1"/>
    <col min="5396" max="5396" width="9.25" style="158" bestFit="1" customWidth="1"/>
    <col min="5397" max="5397" width="9" style="158" customWidth="1"/>
    <col min="5398" max="5398" width="8.25" style="158" customWidth="1"/>
    <col min="5399" max="5399" width="9.25" style="158" bestFit="1" customWidth="1"/>
    <col min="5400" max="5400" width="2.75" style="158" customWidth="1"/>
    <col min="5401" max="5405" width="0" style="158" hidden="1" customWidth="1"/>
    <col min="5406" max="5406" width="2.5" style="158" customWidth="1"/>
    <col min="5407" max="5407" width="6" style="158" bestFit="1" customWidth="1"/>
    <col min="5408" max="5408" width="21.125" style="158" customWidth="1"/>
    <col min="5409" max="5409" width="11" style="158" customWidth="1"/>
    <col min="5410" max="5410" width="15" style="158" customWidth="1"/>
    <col min="5411" max="5411" width="6.625" style="158" customWidth="1"/>
    <col min="5412" max="5413" width="7.375" style="158" customWidth="1"/>
    <col min="5414" max="5414" width="7.25" style="158" customWidth="1"/>
    <col min="5415" max="5632" width="8.25" style="158"/>
    <col min="5633" max="5633" width="27.75" style="158" customWidth="1"/>
    <col min="5634" max="5634" width="9.25" style="158" bestFit="1" customWidth="1"/>
    <col min="5635" max="5635" width="9" style="158" customWidth="1"/>
    <col min="5636" max="5636" width="8.25" style="158" customWidth="1"/>
    <col min="5637" max="5637" width="10.25" style="158" bestFit="1" customWidth="1"/>
    <col min="5638" max="5638" width="1.75" style="158" customWidth="1"/>
    <col min="5639" max="5639" width="27.75" style="158" customWidth="1"/>
    <col min="5640" max="5640" width="9.25" style="158" bestFit="1" customWidth="1"/>
    <col min="5641" max="5641" width="9" style="158" customWidth="1"/>
    <col min="5642" max="5642" width="8.25" style="158" customWidth="1"/>
    <col min="5643" max="5643" width="9.25" style="158" bestFit="1" customWidth="1"/>
    <col min="5644" max="5644" width="2.75" style="158" customWidth="1"/>
    <col min="5645" max="5645" width="26.625" style="158" customWidth="1"/>
    <col min="5646" max="5646" width="9.25" style="158" bestFit="1" customWidth="1"/>
    <col min="5647" max="5647" width="9" style="158" customWidth="1"/>
    <col min="5648" max="5648" width="8.25" style="158" customWidth="1"/>
    <col min="5649" max="5649" width="9.25" style="158" bestFit="1" customWidth="1"/>
    <col min="5650" max="5650" width="2.75" style="158" customWidth="1"/>
    <col min="5651" max="5651" width="26.625" style="158" customWidth="1"/>
    <col min="5652" max="5652" width="9.25" style="158" bestFit="1" customWidth="1"/>
    <col min="5653" max="5653" width="9" style="158" customWidth="1"/>
    <col min="5654" max="5654" width="8.25" style="158" customWidth="1"/>
    <col min="5655" max="5655" width="9.25" style="158" bestFit="1" customWidth="1"/>
    <col min="5656" max="5656" width="2.75" style="158" customWidth="1"/>
    <col min="5657" max="5661" width="0" style="158" hidden="1" customWidth="1"/>
    <col min="5662" max="5662" width="2.5" style="158" customWidth="1"/>
    <col min="5663" max="5663" width="6" style="158" bestFit="1" customWidth="1"/>
    <col min="5664" max="5664" width="21.125" style="158" customWidth="1"/>
    <col min="5665" max="5665" width="11" style="158" customWidth="1"/>
    <col min="5666" max="5666" width="15" style="158" customWidth="1"/>
    <col min="5667" max="5667" width="6.625" style="158" customWidth="1"/>
    <col min="5668" max="5669" width="7.375" style="158" customWidth="1"/>
    <col min="5670" max="5670" width="7.25" style="158" customWidth="1"/>
    <col min="5671" max="5888" width="8.25" style="158"/>
    <col min="5889" max="5889" width="27.75" style="158" customWidth="1"/>
    <col min="5890" max="5890" width="9.25" style="158" bestFit="1" customWidth="1"/>
    <col min="5891" max="5891" width="9" style="158" customWidth="1"/>
    <col min="5892" max="5892" width="8.25" style="158" customWidth="1"/>
    <col min="5893" max="5893" width="10.25" style="158" bestFit="1" customWidth="1"/>
    <col min="5894" max="5894" width="1.75" style="158" customWidth="1"/>
    <col min="5895" max="5895" width="27.75" style="158" customWidth="1"/>
    <col min="5896" max="5896" width="9.25" style="158" bestFit="1" customWidth="1"/>
    <col min="5897" max="5897" width="9" style="158" customWidth="1"/>
    <col min="5898" max="5898" width="8.25" style="158" customWidth="1"/>
    <col min="5899" max="5899" width="9.25" style="158" bestFit="1" customWidth="1"/>
    <col min="5900" max="5900" width="2.75" style="158" customWidth="1"/>
    <col min="5901" max="5901" width="26.625" style="158" customWidth="1"/>
    <col min="5902" max="5902" width="9.25" style="158" bestFit="1" customWidth="1"/>
    <col min="5903" max="5903" width="9" style="158" customWidth="1"/>
    <col min="5904" max="5904" width="8.25" style="158" customWidth="1"/>
    <col min="5905" max="5905" width="9.25" style="158" bestFit="1" customWidth="1"/>
    <col min="5906" max="5906" width="2.75" style="158" customWidth="1"/>
    <col min="5907" max="5907" width="26.625" style="158" customWidth="1"/>
    <col min="5908" max="5908" width="9.25" style="158" bestFit="1" customWidth="1"/>
    <col min="5909" max="5909" width="9" style="158" customWidth="1"/>
    <col min="5910" max="5910" width="8.25" style="158" customWidth="1"/>
    <col min="5911" max="5911" width="9.25" style="158" bestFit="1" customWidth="1"/>
    <col min="5912" max="5912" width="2.75" style="158" customWidth="1"/>
    <col min="5913" max="5917" width="0" style="158" hidden="1" customWidth="1"/>
    <col min="5918" max="5918" width="2.5" style="158" customWidth="1"/>
    <col min="5919" max="5919" width="6" style="158" bestFit="1" customWidth="1"/>
    <col min="5920" max="5920" width="21.125" style="158" customWidth="1"/>
    <col min="5921" max="5921" width="11" style="158" customWidth="1"/>
    <col min="5922" max="5922" width="15" style="158" customWidth="1"/>
    <col min="5923" max="5923" width="6.625" style="158" customWidth="1"/>
    <col min="5924" max="5925" width="7.375" style="158" customWidth="1"/>
    <col min="5926" max="5926" width="7.25" style="158" customWidth="1"/>
    <col min="5927" max="6144" width="8.25" style="158"/>
    <col min="6145" max="6145" width="27.75" style="158" customWidth="1"/>
    <col min="6146" max="6146" width="9.25" style="158" bestFit="1" customWidth="1"/>
    <col min="6147" max="6147" width="9" style="158" customWidth="1"/>
    <col min="6148" max="6148" width="8.25" style="158" customWidth="1"/>
    <col min="6149" max="6149" width="10.25" style="158" bestFit="1" customWidth="1"/>
    <col min="6150" max="6150" width="1.75" style="158" customWidth="1"/>
    <col min="6151" max="6151" width="27.75" style="158" customWidth="1"/>
    <col min="6152" max="6152" width="9.25" style="158" bestFit="1" customWidth="1"/>
    <col min="6153" max="6153" width="9" style="158" customWidth="1"/>
    <col min="6154" max="6154" width="8.25" style="158" customWidth="1"/>
    <col min="6155" max="6155" width="9.25" style="158" bestFit="1" customWidth="1"/>
    <col min="6156" max="6156" width="2.75" style="158" customWidth="1"/>
    <col min="6157" max="6157" width="26.625" style="158" customWidth="1"/>
    <col min="6158" max="6158" width="9.25" style="158" bestFit="1" customWidth="1"/>
    <col min="6159" max="6159" width="9" style="158" customWidth="1"/>
    <col min="6160" max="6160" width="8.25" style="158" customWidth="1"/>
    <col min="6161" max="6161" width="9.25" style="158" bestFit="1" customWidth="1"/>
    <col min="6162" max="6162" width="2.75" style="158" customWidth="1"/>
    <col min="6163" max="6163" width="26.625" style="158" customWidth="1"/>
    <col min="6164" max="6164" width="9.25" style="158" bestFit="1" customWidth="1"/>
    <col min="6165" max="6165" width="9" style="158" customWidth="1"/>
    <col min="6166" max="6166" width="8.25" style="158" customWidth="1"/>
    <col min="6167" max="6167" width="9.25" style="158" bestFit="1" customWidth="1"/>
    <col min="6168" max="6168" width="2.75" style="158" customWidth="1"/>
    <col min="6169" max="6173" width="0" style="158" hidden="1" customWidth="1"/>
    <col min="6174" max="6174" width="2.5" style="158" customWidth="1"/>
    <col min="6175" max="6175" width="6" style="158" bestFit="1" customWidth="1"/>
    <col min="6176" max="6176" width="21.125" style="158" customWidth="1"/>
    <col min="6177" max="6177" width="11" style="158" customWidth="1"/>
    <col min="6178" max="6178" width="15" style="158" customWidth="1"/>
    <col min="6179" max="6179" width="6.625" style="158" customWidth="1"/>
    <col min="6180" max="6181" width="7.375" style="158" customWidth="1"/>
    <col min="6182" max="6182" width="7.25" style="158" customWidth="1"/>
    <col min="6183" max="6400" width="8.25" style="158"/>
    <col min="6401" max="6401" width="27.75" style="158" customWidth="1"/>
    <col min="6402" max="6402" width="9.25" style="158" bestFit="1" customWidth="1"/>
    <col min="6403" max="6403" width="9" style="158" customWidth="1"/>
    <col min="6404" max="6404" width="8.25" style="158" customWidth="1"/>
    <col min="6405" max="6405" width="10.25" style="158" bestFit="1" customWidth="1"/>
    <col min="6406" max="6406" width="1.75" style="158" customWidth="1"/>
    <col min="6407" max="6407" width="27.75" style="158" customWidth="1"/>
    <col min="6408" max="6408" width="9.25" style="158" bestFit="1" customWidth="1"/>
    <col min="6409" max="6409" width="9" style="158" customWidth="1"/>
    <col min="6410" max="6410" width="8.25" style="158" customWidth="1"/>
    <col min="6411" max="6411" width="9.25" style="158" bestFit="1" customWidth="1"/>
    <col min="6412" max="6412" width="2.75" style="158" customWidth="1"/>
    <col min="6413" max="6413" width="26.625" style="158" customWidth="1"/>
    <col min="6414" max="6414" width="9.25" style="158" bestFit="1" customWidth="1"/>
    <col min="6415" max="6415" width="9" style="158" customWidth="1"/>
    <col min="6416" max="6416" width="8.25" style="158" customWidth="1"/>
    <col min="6417" max="6417" width="9.25" style="158" bestFit="1" customWidth="1"/>
    <col min="6418" max="6418" width="2.75" style="158" customWidth="1"/>
    <col min="6419" max="6419" width="26.625" style="158" customWidth="1"/>
    <col min="6420" max="6420" width="9.25" style="158" bestFit="1" customWidth="1"/>
    <col min="6421" max="6421" width="9" style="158" customWidth="1"/>
    <col min="6422" max="6422" width="8.25" style="158" customWidth="1"/>
    <col min="6423" max="6423" width="9.25" style="158" bestFit="1" customWidth="1"/>
    <col min="6424" max="6424" width="2.75" style="158" customWidth="1"/>
    <col min="6425" max="6429" width="0" style="158" hidden="1" customWidth="1"/>
    <col min="6430" max="6430" width="2.5" style="158" customWidth="1"/>
    <col min="6431" max="6431" width="6" style="158" bestFit="1" customWidth="1"/>
    <col min="6432" max="6432" width="21.125" style="158" customWidth="1"/>
    <col min="6433" max="6433" width="11" style="158" customWidth="1"/>
    <col min="6434" max="6434" width="15" style="158" customWidth="1"/>
    <col min="6435" max="6435" width="6.625" style="158" customWidth="1"/>
    <col min="6436" max="6437" width="7.375" style="158" customWidth="1"/>
    <col min="6438" max="6438" width="7.25" style="158" customWidth="1"/>
    <col min="6439" max="6656" width="8.25" style="158"/>
    <col min="6657" max="6657" width="27.75" style="158" customWidth="1"/>
    <col min="6658" max="6658" width="9.25" style="158" bestFit="1" customWidth="1"/>
    <col min="6659" max="6659" width="9" style="158" customWidth="1"/>
    <col min="6660" max="6660" width="8.25" style="158" customWidth="1"/>
    <col min="6661" max="6661" width="10.25" style="158" bestFit="1" customWidth="1"/>
    <col min="6662" max="6662" width="1.75" style="158" customWidth="1"/>
    <col min="6663" max="6663" width="27.75" style="158" customWidth="1"/>
    <col min="6664" max="6664" width="9.25" style="158" bestFit="1" customWidth="1"/>
    <col min="6665" max="6665" width="9" style="158" customWidth="1"/>
    <col min="6666" max="6666" width="8.25" style="158" customWidth="1"/>
    <col min="6667" max="6667" width="9.25" style="158" bestFit="1" customWidth="1"/>
    <col min="6668" max="6668" width="2.75" style="158" customWidth="1"/>
    <col min="6669" max="6669" width="26.625" style="158" customWidth="1"/>
    <col min="6670" max="6670" width="9.25" style="158" bestFit="1" customWidth="1"/>
    <col min="6671" max="6671" width="9" style="158" customWidth="1"/>
    <col min="6672" max="6672" width="8.25" style="158" customWidth="1"/>
    <col min="6673" max="6673" width="9.25" style="158" bestFit="1" customWidth="1"/>
    <col min="6674" max="6674" width="2.75" style="158" customWidth="1"/>
    <col min="6675" max="6675" width="26.625" style="158" customWidth="1"/>
    <col min="6676" max="6676" width="9.25" style="158" bestFit="1" customWidth="1"/>
    <col min="6677" max="6677" width="9" style="158" customWidth="1"/>
    <col min="6678" max="6678" width="8.25" style="158" customWidth="1"/>
    <col min="6679" max="6679" width="9.25" style="158" bestFit="1" customWidth="1"/>
    <col min="6680" max="6680" width="2.75" style="158" customWidth="1"/>
    <col min="6681" max="6685" width="0" style="158" hidden="1" customWidth="1"/>
    <col min="6686" max="6686" width="2.5" style="158" customWidth="1"/>
    <col min="6687" max="6687" width="6" style="158" bestFit="1" customWidth="1"/>
    <col min="6688" max="6688" width="21.125" style="158" customWidth="1"/>
    <col min="6689" max="6689" width="11" style="158" customWidth="1"/>
    <col min="6690" max="6690" width="15" style="158" customWidth="1"/>
    <col min="6691" max="6691" width="6.625" style="158" customWidth="1"/>
    <col min="6692" max="6693" width="7.375" style="158" customWidth="1"/>
    <col min="6694" max="6694" width="7.25" style="158" customWidth="1"/>
    <col min="6695" max="6912" width="8.25" style="158"/>
    <col min="6913" max="6913" width="27.75" style="158" customWidth="1"/>
    <col min="6914" max="6914" width="9.25" style="158" bestFit="1" customWidth="1"/>
    <col min="6915" max="6915" width="9" style="158" customWidth="1"/>
    <col min="6916" max="6916" width="8.25" style="158" customWidth="1"/>
    <col min="6917" max="6917" width="10.25" style="158" bestFit="1" customWidth="1"/>
    <col min="6918" max="6918" width="1.75" style="158" customWidth="1"/>
    <col min="6919" max="6919" width="27.75" style="158" customWidth="1"/>
    <col min="6920" max="6920" width="9.25" style="158" bestFit="1" customWidth="1"/>
    <col min="6921" max="6921" width="9" style="158" customWidth="1"/>
    <col min="6922" max="6922" width="8.25" style="158" customWidth="1"/>
    <col min="6923" max="6923" width="9.25" style="158" bestFit="1" customWidth="1"/>
    <col min="6924" max="6924" width="2.75" style="158" customWidth="1"/>
    <col min="6925" max="6925" width="26.625" style="158" customWidth="1"/>
    <col min="6926" max="6926" width="9.25" style="158" bestFit="1" customWidth="1"/>
    <col min="6927" max="6927" width="9" style="158" customWidth="1"/>
    <col min="6928" max="6928" width="8.25" style="158" customWidth="1"/>
    <col min="6929" max="6929" width="9.25" style="158" bestFit="1" customWidth="1"/>
    <col min="6930" max="6930" width="2.75" style="158" customWidth="1"/>
    <col min="6931" max="6931" width="26.625" style="158" customWidth="1"/>
    <col min="6932" max="6932" width="9.25" style="158" bestFit="1" customWidth="1"/>
    <col min="6933" max="6933" width="9" style="158" customWidth="1"/>
    <col min="6934" max="6934" width="8.25" style="158" customWidth="1"/>
    <col min="6935" max="6935" width="9.25" style="158" bestFit="1" customWidth="1"/>
    <col min="6936" max="6936" width="2.75" style="158" customWidth="1"/>
    <col min="6937" max="6941" width="0" style="158" hidden="1" customWidth="1"/>
    <col min="6942" max="6942" width="2.5" style="158" customWidth="1"/>
    <col min="6943" max="6943" width="6" style="158" bestFit="1" customWidth="1"/>
    <col min="6944" max="6944" width="21.125" style="158" customWidth="1"/>
    <col min="6945" max="6945" width="11" style="158" customWidth="1"/>
    <col min="6946" max="6946" width="15" style="158" customWidth="1"/>
    <col min="6947" max="6947" width="6.625" style="158" customWidth="1"/>
    <col min="6948" max="6949" width="7.375" style="158" customWidth="1"/>
    <col min="6950" max="6950" width="7.25" style="158" customWidth="1"/>
    <col min="6951" max="7168" width="8.25" style="158"/>
    <col min="7169" max="7169" width="27.75" style="158" customWidth="1"/>
    <col min="7170" max="7170" width="9.25" style="158" bestFit="1" customWidth="1"/>
    <col min="7171" max="7171" width="9" style="158" customWidth="1"/>
    <col min="7172" max="7172" width="8.25" style="158" customWidth="1"/>
    <col min="7173" max="7173" width="10.25" style="158" bestFit="1" customWidth="1"/>
    <col min="7174" max="7174" width="1.75" style="158" customWidth="1"/>
    <col min="7175" max="7175" width="27.75" style="158" customWidth="1"/>
    <col min="7176" max="7176" width="9.25" style="158" bestFit="1" customWidth="1"/>
    <col min="7177" max="7177" width="9" style="158" customWidth="1"/>
    <col min="7178" max="7178" width="8.25" style="158" customWidth="1"/>
    <col min="7179" max="7179" width="9.25" style="158" bestFit="1" customWidth="1"/>
    <col min="7180" max="7180" width="2.75" style="158" customWidth="1"/>
    <col min="7181" max="7181" width="26.625" style="158" customWidth="1"/>
    <col min="7182" max="7182" width="9.25" style="158" bestFit="1" customWidth="1"/>
    <col min="7183" max="7183" width="9" style="158" customWidth="1"/>
    <col min="7184" max="7184" width="8.25" style="158" customWidth="1"/>
    <col min="7185" max="7185" width="9.25" style="158" bestFit="1" customWidth="1"/>
    <col min="7186" max="7186" width="2.75" style="158" customWidth="1"/>
    <col min="7187" max="7187" width="26.625" style="158" customWidth="1"/>
    <col min="7188" max="7188" width="9.25" style="158" bestFit="1" customWidth="1"/>
    <col min="7189" max="7189" width="9" style="158" customWidth="1"/>
    <col min="7190" max="7190" width="8.25" style="158" customWidth="1"/>
    <col min="7191" max="7191" width="9.25" style="158" bestFit="1" customWidth="1"/>
    <col min="7192" max="7192" width="2.75" style="158" customWidth="1"/>
    <col min="7193" max="7197" width="0" style="158" hidden="1" customWidth="1"/>
    <col min="7198" max="7198" width="2.5" style="158" customWidth="1"/>
    <col min="7199" max="7199" width="6" style="158" bestFit="1" customWidth="1"/>
    <col min="7200" max="7200" width="21.125" style="158" customWidth="1"/>
    <col min="7201" max="7201" width="11" style="158" customWidth="1"/>
    <col min="7202" max="7202" width="15" style="158" customWidth="1"/>
    <col min="7203" max="7203" width="6.625" style="158" customWidth="1"/>
    <col min="7204" max="7205" width="7.375" style="158" customWidth="1"/>
    <col min="7206" max="7206" width="7.25" style="158" customWidth="1"/>
    <col min="7207" max="7424" width="8.25" style="158"/>
    <col min="7425" max="7425" width="27.75" style="158" customWidth="1"/>
    <col min="7426" max="7426" width="9.25" style="158" bestFit="1" customWidth="1"/>
    <col min="7427" max="7427" width="9" style="158" customWidth="1"/>
    <col min="7428" max="7428" width="8.25" style="158" customWidth="1"/>
    <col min="7429" max="7429" width="10.25" style="158" bestFit="1" customWidth="1"/>
    <col min="7430" max="7430" width="1.75" style="158" customWidth="1"/>
    <col min="7431" max="7431" width="27.75" style="158" customWidth="1"/>
    <col min="7432" max="7432" width="9.25" style="158" bestFit="1" customWidth="1"/>
    <col min="7433" max="7433" width="9" style="158" customWidth="1"/>
    <col min="7434" max="7434" width="8.25" style="158" customWidth="1"/>
    <col min="7435" max="7435" width="9.25" style="158" bestFit="1" customWidth="1"/>
    <col min="7436" max="7436" width="2.75" style="158" customWidth="1"/>
    <col min="7437" max="7437" width="26.625" style="158" customWidth="1"/>
    <col min="7438" max="7438" width="9.25" style="158" bestFit="1" customWidth="1"/>
    <col min="7439" max="7439" width="9" style="158" customWidth="1"/>
    <col min="7440" max="7440" width="8.25" style="158" customWidth="1"/>
    <col min="7441" max="7441" width="9.25" style="158" bestFit="1" customWidth="1"/>
    <col min="7442" max="7442" width="2.75" style="158" customWidth="1"/>
    <col min="7443" max="7443" width="26.625" style="158" customWidth="1"/>
    <col min="7444" max="7444" width="9.25" style="158" bestFit="1" customWidth="1"/>
    <col min="7445" max="7445" width="9" style="158" customWidth="1"/>
    <col min="7446" max="7446" width="8.25" style="158" customWidth="1"/>
    <col min="7447" max="7447" width="9.25" style="158" bestFit="1" customWidth="1"/>
    <col min="7448" max="7448" width="2.75" style="158" customWidth="1"/>
    <col min="7449" max="7453" width="0" style="158" hidden="1" customWidth="1"/>
    <col min="7454" max="7454" width="2.5" style="158" customWidth="1"/>
    <col min="7455" max="7455" width="6" style="158" bestFit="1" customWidth="1"/>
    <col min="7456" max="7456" width="21.125" style="158" customWidth="1"/>
    <col min="7457" max="7457" width="11" style="158" customWidth="1"/>
    <col min="7458" max="7458" width="15" style="158" customWidth="1"/>
    <col min="7459" max="7459" width="6.625" style="158" customWidth="1"/>
    <col min="7460" max="7461" width="7.375" style="158" customWidth="1"/>
    <col min="7462" max="7462" width="7.25" style="158" customWidth="1"/>
    <col min="7463" max="7680" width="8.25" style="158"/>
    <col min="7681" max="7681" width="27.75" style="158" customWidth="1"/>
    <col min="7682" max="7682" width="9.25" style="158" bestFit="1" customWidth="1"/>
    <col min="7683" max="7683" width="9" style="158" customWidth="1"/>
    <col min="7684" max="7684" width="8.25" style="158" customWidth="1"/>
    <col min="7685" max="7685" width="10.25" style="158" bestFit="1" customWidth="1"/>
    <col min="7686" max="7686" width="1.75" style="158" customWidth="1"/>
    <col min="7687" max="7687" width="27.75" style="158" customWidth="1"/>
    <col min="7688" max="7688" width="9.25" style="158" bestFit="1" customWidth="1"/>
    <col min="7689" max="7689" width="9" style="158" customWidth="1"/>
    <col min="7690" max="7690" width="8.25" style="158" customWidth="1"/>
    <col min="7691" max="7691" width="9.25" style="158" bestFit="1" customWidth="1"/>
    <col min="7692" max="7692" width="2.75" style="158" customWidth="1"/>
    <col min="7693" max="7693" width="26.625" style="158" customWidth="1"/>
    <col min="7694" max="7694" width="9.25" style="158" bestFit="1" customWidth="1"/>
    <col min="7695" max="7695" width="9" style="158" customWidth="1"/>
    <col min="7696" max="7696" width="8.25" style="158" customWidth="1"/>
    <col min="7697" max="7697" width="9.25" style="158" bestFit="1" customWidth="1"/>
    <col min="7698" max="7698" width="2.75" style="158" customWidth="1"/>
    <col min="7699" max="7699" width="26.625" style="158" customWidth="1"/>
    <col min="7700" max="7700" width="9.25" style="158" bestFit="1" customWidth="1"/>
    <col min="7701" max="7701" width="9" style="158" customWidth="1"/>
    <col min="7702" max="7702" width="8.25" style="158" customWidth="1"/>
    <col min="7703" max="7703" width="9.25" style="158" bestFit="1" customWidth="1"/>
    <col min="7704" max="7704" width="2.75" style="158" customWidth="1"/>
    <col min="7705" max="7709" width="0" style="158" hidden="1" customWidth="1"/>
    <col min="7710" max="7710" width="2.5" style="158" customWidth="1"/>
    <col min="7711" max="7711" width="6" style="158" bestFit="1" customWidth="1"/>
    <col min="7712" max="7712" width="21.125" style="158" customWidth="1"/>
    <col min="7713" max="7713" width="11" style="158" customWidth="1"/>
    <col min="7714" max="7714" width="15" style="158" customWidth="1"/>
    <col min="7715" max="7715" width="6.625" style="158" customWidth="1"/>
    <col min="7716" max="7717" width="7.375" style="158" customWidth="1"/>
    <col min="7718" max="7718" width="7.25" style="158" customWidth="1"/>
    <col min="7719" max="7936" width="8.25" style="158"/>
    <col min="7937" max="7937" width="27.75" style="158" customWidth="1"/>
    <col min="7938" max="7938" width="9.25" style="158" bestFit="1" customWidth="1"/>
    <col min="7939" max="7939" width="9" style="158" customWidth="1"/>
    <col min="7940" max="7940" width="8.25" style="158" customWidth="1"/>
    <col min="7941" max="7941" width="10.25" style="158" bestFit="1" customWidth="1"/>
    <col min="7942" max="7942" width="1.75" style="158" customWidth="1"/>
    <col min="7943" max="7943" width="27.75" style="158" customWidth="1"/>
    <col min="7944" max="7944" width="9.25" style="158" bestFit="1" customWidth="1"/>
    <col min="7945" max="7945" width="9" style="158" customWidth="1"/>
    <col min="7946" max="7946" width="8.25" style="158" customWidth="1"/>
    <col min="7947" max="7947" width="9.25" style="158" bestFit="1" customWidth="1"/>
    <col min="7948" max="7948" width="2.75" style="158" customWidth="1"/>
    <col min="7949" max="7949" width="26.625" style="158" customWidth="1"/>
    <col min="7950" max="7950" width="9.25" style="158" bestFit="1" customWidth="1"/>
    <col min="7951" max="7951" width="9" style="158" customWidth="1"/>
    <col min="7952" max="7952" width="8.25" style="158" customWidth="1"/>
    <col min="7953" max="7953" width="9.25" style="158" bestFit="1" customWidth="1"/>
    <col min="7954" max="7954" width="2.75" style="158" customWidth="1"/>
    <col min="7955" max="7955" width="26.625" style="158" customWidth="1"/>
    <col min="7956" max="7956" width="9.25" style="158" bestFit="1" customWidth="1"/>
    <col min="7957" max="7957" width="9" style="158" customWidth="1"/>
    <col min="7958" max="7958" width="8.25" style="158" customWidth="1"/>
    <col min="7959" max="7959" width="9.25" style="158" bestFit="1" customWidth="1"/>
    <col min="7960" max="7960" width="2.75" style="158" customWidth="1"/>
    <col min="7961" max="7965" width="0" style="158" hidden="1" customWidth="1"/>
    <col min="7966" max="7966" width="2.5" style="158" customWidth="1"/>
    <col min="7967" max="7967" width="6" style="158" bestFit="1" customWidth="1"/>
    <col min="7968" max="7968" width="21.125" style="158" customWidth="1"/>
    <col min="7969" max="7969" width="11" style="158" customWidth="1"/>
    <col min="7970" max="7970" width="15" style="158" customWidth="1"/>
    <col min="7971" max="7971" width="6.625" style="158" customWidth="1"/>
    <col min="7972" max="7973" width="7.375" style="158" customWidth="1"/>
    <col min="7974" max="7974" width="7.25" style="158" customWidth="1"/>
    <col min="7975" max="8192" width="8.25" style="158"/>
    <col min="8193" max="8193" width="27.75" style="158" customWidth="1"/>
    <col min="8194" max="8194" width="9.25" style="158" bestFit="1" customWidth="1"/>
    <col min="8195" max="8195" width="9" style="158" customWidth="1"/>
    <col min="8196" max="8196" width="8.25" style="158" customWidth="1"/>
    <col min="8197" max="8197" width="10.25" style="158" bestFit="1" customWidth="1"/>
    <col min="8198" max="8198" width="1.75" style="158" customWidth="1"/>
    <col min="8199" max="8199" width="27.75" style="158" customWidth="1"/>
    <col min="8200" max="8200" width="9.25" style="158" bestFit="1" customWidth="1"/>
    <col min="8201" max="8201" width="9" style="158" customWidth="1"/>
    <col min="8202" max="8202" width="8.25" style="158" customWidth="1"/>
    <col min="8203" max="8203" width="9.25" style="158" bestFit="1" customWidth="1"/>
    <col min="8204" max="8204" width="2.75" style="158" customWidth="1"/>
    <col min="8205" max="8205" width="26.625" style="158" customWidth="1"/>
    <col min="8206" max="8206" width="9.25" style="158" bestFit="1" customWidth="1"/>
    <col min="8207" max="8207" width="9" style="158" customWidth="1"/>
    <col min="8208" max="8208" width="8.25" style="158" customWidth="1"/>
    <col min="8209" max="8209" width="9.25" style="158" bestFit="1" customWidth="1"/>
    <col min="8210" max="8210" width="2.75" style="158" customWidth="1"/>
    <col min="8211" max="8211" width="26.625" style="158" customWidth="1"/>
    <col min="8212" max="8212" width="9.25" style="158" bestFit="1" customWidth="1"/>
    <col min="8213" max="8213" width="9" style="158" customWidth="1"/>
    <col min="8214" max="8214" width="8.25" style="158" customWidth="1"/>
    <col min="8215" max="8215" width="9.25" style="158" bestFit="1" customWidth="1"/>
    <col min="8216" max="8216" width="2.75" style="158" customWidth="1"/>
    <col min="8217" max="8221" width="0" style="158" hidden="1" customWidth="1"/>
    <col min="8222" max="8222" width="2.5" style="158" customWidth="1"/>
    <col min="8223" max="8223" width="6" style="158" bestFit="1" customWidth="1"/>
    <col min="8224" max="8224" width="21.125" style="158" customWidth="1"/>
    <col min="8225" max="8225" width="11" style="158" customWidth="1"/>
    <col min="8226" max="8226" width="15" style="158" customWidth="1"/>
    <col min="8227" max="8227" width="6.625" style="158" customWidth="1"/>
    <col min="8228" max="8229" width="7.375" style="158" customWidth="1"/>
    <col min="8230" max="8230" width="7.25" style="158" customWidth="1"/>
    <col min="8231" max="8448" width="8.25" style="158"/>
    <col min="8449" max="8449" width="27.75" style="158" customWidth="1"/>
    <col min="8450" max="8450" width="9.25" style="158" bestFit="1" customWidth="1"/>
    <col min="8451" max="8451" width="9" style="158" customWidth="1"/>
    <col min="8452" max="8452" width="8.25" style="158" customWidth="1"/>
    <col min="8453" max="8453" width="10.25" style="158" bestFit="1" customWidth="1"/>
    <col min="8454" max="8454" width="1.75" style="158" customWidth="1"/>
    <col min="8455" max="8455" width="27.75" style="158" customWidth="1"/>
    <col min="8456" max="8456" width="9.25" style="158" bestFit="1" customWidth="1"/>
    <col min="8457" max="8457" width="9" style="158" customWidth="1"/>
    <col min="8458" max="8458" width="8.25" style="158" customWidth="1"/>
    <col min="8459" max="8459" width="9.25" style="158" bestFit="1" customWidth="1"/>
    <col min="8460" max="8460" width="2.75" style="158" customWidth="1"/>
    <col min="8461" max="8461" width="26.625" style="158" customWidth="1"/>
    <col min="8462" max="8462" width="9.25" style="158" bestFit="1" customWidth="1"/>
    <col min="8463" max="8463" width="9" style="158" customWidth="1"/>
    <col min="8464" max="8464" width="8.25" style="158" customWidth="1"/>
    <col min="8465" max="8465" width="9.25" style="158" bestFit="1" customWidth="1"/>
    <col min="8466" max="8466" width="2.75" style="158" customWidth="1"/>
    <col min="8467" max="8467" width="26.625" style="158" customWidth="1"/>
    <col min="8468" max="8468" width="9.25" style="158" bestFit="1" customWidth="1"/>
    <col min="8469" max="8469" width="9" style="158" customWidth="1"/>
    <col min="8470" max="8470" width="8.25" style="158" customWidth="1"/>
    <col min="8471" max="8471" width="9.25" style="158" bestFit="1" customWidth="1"/>
    <col min="8472" max="8472" width="2.75" style="158" customWidth="1"/>
    <col min="8473" max="8477" width="0" style="158" hidden="1" customWidth="1"/>
    <col min="8478" max="8478" width="2.5" style="158" customWidth="1"/>
    <col min="8479" max="8479" width="6" style="158" bestFit="1" customWidth="1"/>
    <col min="8480" max="8480" width="21.125" style="158" customWidth="1"/>
    <col min="8481" max="8481" width="11" style="158" customWidth="1"/>
    <col min="8482" max="8482" width="15" style="158" customWidth="1"/>
    <col min="8483" max="8483" width="6.625" style="158" customWidth="1"/>
    <col min="8484" max="8485" width="7.375" style="158" customWidth="1"/>
    <col min="8486" max="8486" width="7.25" style="158" customWidth="1"/>
    <col min="8487" max="8704" width="8.25" style="158"/>
    <col min="8705" max="8705" width="27.75" style="158" customWidth="1"/>
    <col min="8706" max="8706" width="9.25" style="158" bestFit="1" customWidth="1"/>
    <col min="8707" max="8707" width="9" style="158" customWidth="1"/>
    <col min="8708" max="8708" width="8.25" style="158" customWidth="1"/>
    <col min="8709" max="8709" width="10.25" style="158" bestFit="1" customWidth="1"/>
    <col min="8710" max="8710" width="1.75" style="158" customWidth="1"/>
    <col min="8711" max="8711" width="27.75" style="158" customWidth="1"/>
    <col min="8712" max="8712" width="9.25" style="158" bestFit="1" customWidth="1"/>
    <col min="8713" max="8713" width="9" style="158" customWidth="1"/>
    <col min="8714" max="8714" width="8.25" style="158" customWidth="1"/>
    <col min="8715" max="8715" width="9.25" style="158" bestFit="1" customWidth="1"/>
    <col min="8716" max="8716" width="2.75" style="158" customWidth="1"/>
    <col min="8717" max="8717" width="26.625" style="158" customWidth="1"/>
    <col min="8718" max="8718" width="9.25" style="158" bestFit="1" customWidth="1"/>
    <col min="8719" max="8719" width="9" style="158" customWidth="1"/>
    <col min="8720" max="8720" width="8.25" style="158" customWidth="1"/>
    <col min="8721" max="8721" width="9.25" style="158" bestFit="1" customWidth="1"/>
    <col min="8722" max="8722" width="2.75" style="158" customWidth="1"/>
    <col min="8723" max="8723" width="26.625" style="158" customWidth="1"/>
    <col min="8724" max="8724" width="9.25" style="158" bestFit="1" customWidth="1"/>
    <col min="8725" max="8725" width="9" style="158" customWidth="1"/>
    <col min="8726" max="8726" width="8.25" style="158" customWidth="1"/>
    <col min="8727" max="8727" width="9.25" style="158" bestFit="1" customWidth="1"/>
    <col min="8728" max="8728" width="2.75" style="158" customWidth="1"/>
    <col min="8729" max="8733" width="0" style="158" hidden="1" customWidth="1"/>
    <col min="8734" max="8734" width="2.5" style="158" customWidth="1"/>
    <col min="8735" max="8735" width="6" style="158" bestFit="1" customWidth="1"/>
    <col min="8736" max="8736" width="21.125" style="158" customWidth="1"/>
    <col min="8737" max="8737" width="11" style="158" customWidth="1"/>
    <col min="8738" max="8738" width="15" style="158" customWidth="1"/>
    <col min="8739" max="8739" width="6.625" style="158" customWidth="1"/>
    <col min="8740" max="8741" width="7.375" style="158" customWidth="1"/>
    <col min="8742" max="8742" width="7.25" style="158" customWidth="1"/>
    <col min="8743" max="8960" width="8.25" style="158"/>
    <col min="8961" max="8961" width="27.75" style="158" customWidth="1"/>
    <col min="8962" max="8962" width="9.25" style="158" bestFit="1" customWidth="1"/>
    <col min="8963" max="8963" width="9" style="158" customWidth="1"/>
    <col min="8964" max="8964" width="8.25" style="158" customWidth="1"/>
    <col min="8965" max="8965" width="10.25" style="158" bestFit="1" customWidth="1"/>
    <col min="8966" max="8966" width="1.75" style="158" customWidth="1"/>
    <col min="8967" max="8967" width="27.75" style="158" customWidth="1"/>
    <col min="8968" max="8968" width="9.25" style="158" bestFit="1" customWidth="1"/>
    <col min="8969" max="8969" width="9" style="158" customWidth="1"/>
    <col min="8970" max="8970" width="8.25" style="158" customWidth="1"/>
    <col min="8971" max="8971" width="9.25" style="158" bestFit="1" customWidth="1"/>
    <col min="8972" max="8972" width="2.75" style="158" customWidth="1"/>
    <col min="8973" max="8973" width="26.625" style="158" customWidth="1"/>
    <col min="8974" max="8974" width="9.25" style="158" bestFit="1" customWidth="1"/>
    <col min="8975" max="8975" width="9" style="158" customWidth="1"/>
    <col min="8976" max="8976" width="8.25" style="158" customWidth="1"/>
    <col min="8977" max="8977" width="9.25" style="158" bestFit="1" customWidth="1"/>
    <col min="8978" max="8978" width="2.75" style="158" customWidth="1"/>
    <col min="8979" max="8979" width="26.625" style="158" customWidth="1"/>
    <col min="8980" max="8980" width="9.25" style="158" bestFit="1" customWidth="1"/>
    <col min="8981" max="8981" width="9" style="158" customWidth="1"/>
    <col min="8982" max="8982" width="8.25" style="158" customWidth="1"/>
    <col min="8983" max="8983" width="9.25" style="158" bestFit="1" customWidth="1"/>
    <col min="8984" max="8984" width="2.75" style="158" customWidth="1"/>
    <col min="8985" max="8989" width="0" style="158" hidden="1" customWidth="1"/>
    <col min="8990" max="8990" width="2.5" style="158" customWidth="1"/>
    <col min="8991" max="8991" width="6" style="158" bestFit="1" customWidth="1"/>
    <col min="8992" max="8992" width="21.125" style="158" customWidth="1"/>
    <col min="8993" max="8993" width="11" style="158" customWidth="1"/>
    <col min="8994" max="8994" width="15" style="158" customWidth="1"/>
    <col min="8995" max="8995" width="6.625" style="158" customWidth="1"/>
    <col min="8996" max="8997" width="7.375" style="158" customWidth="1"/>
    <col min="8998" max="8998" width="7.25" style="158" customWidth="1"/>
    <col min="8999" max="9216" width="8.25" style="158"/>
    <col min="9217" max="9217" width="27.75" style="158" customWidth="1"/>
    <col min="9218" max="9218" width="9.25" style="158" bestFit="1" customWidth="1"/>
    <col min="9219" max="9219" width="9" style="158" customWidth="1"/>
    <col min="9220" max="9220" width="8.25" style="158" customWidth="1"/>
    <col min="9221" max="9221" width="10.25" style="158" bestFit="1" customWidth="1"/>
    <col min="9222" max="9222" width="1.75" style="158" customWidth="1"/>
    <col min="9223" max="9223" width="27.75" style="158" customWidth="1"/>
    <col min="9224" max="9224" width="9.25" style="158" bestFit="1" customWidth="1"/>
    <col min="9225" max="9225" width="9" style="158" customWidth="1"/>
    <col min="9226" max="9226" width="8.25" style="158" customWidth="1"/>
    <col min="9227" max="9227" width="9.25" style="158" bestFit="1" customWidth="1"/>
    <col min="9228" max="9228" width="2.75" style="158" customWidth="1"/>
    <col min="9229" max="9229" width="26.625" style="158" customWidth="1"/>
    <col min="9230" max="9230" width="9.25" style="158" bestFit="1" customWidth="1"/>
    <col min="9231" max="9231" width="9" style="158" customWidth="1"/>
    <col min="9232" max="9232" width="8.25" style="158" customWidth="1"/>
    <col min="9233" max="9233" width="9.25" style="158" bestFit="1" customWidth="1"/>
    <col min="9234" max="9234" width="2.75" style="158" customWidth="1"/>
    <col min="9235" max="9235" width="26.625" style="158" customWidth="1"/>
    <col min="9236" max="9236" width="9.25" style="158" bestFit="1" customWidth="1"/>
    <col min="9237" max="9237" width="9" style="158" customWidth="1"/>
    <col min="9238" max="9238" width="8.25" style="158" customWidth="1"/>
    <col min="9239" max="9239" width="9.25" style="158" bestFit="1" customWidth="1"/>
    <col min="9240" max="9240" width="2.75" style="158" customWidth="1"/>
    <col min="9241" max="9245" width="0" style="158" hidden="1" customWidth="1"/>
    <col min="9246" max="9246" width="2.5" style="158" customWidth="1"/>
    <col min="9247" max="9247" width="6" style="158" bestFit="1" customWidth="1"/>
    <col min="9248" max="9248" width="21.125" style="158" customWidth="1"/>
    <col min="9249" max="9249" width="11" style="158" customWidth="1"/>
    <col min="9250" max="9250" width="15" style="158" customWidth="1"/>
    <col min="9251" max="9251" width="6.625" style="158" customWidth="1"/>
    <col min="9252" max="9253" width="7.375" style="158" customWidth="1"/>
    <col min="9254" max="9254" width="7.25" style="158" customWidth="1"/>
    <col min="9255" max="9472" width="8.25" style="158"/>
    <col min="9473" max="9473" width="27.75" style="158" customWidth="1"/>
    <col min="9474" max="9474" width="9.25" style="158" bestFit="1" customWidth="1"/>
    <col min="9475" max="9475" width="9" style="158" customWidth="1"/>
    <col min="9476" max="9476" width="8.25" style="158" customWidth="1"/>
    <col min="9477" max="9477" width="10.25" style="158" bestFit="1" customWidth="1"/>
    <col min="9478" max="9478" width="1.75" style="158" customWidth="1"/>
    <col min="9479" max="9479" width="27.75" style="158" customWidth="1"/>
    <col min="9480" max="9480" width="9.25" style="158" bestFit="1" customWidth="1"/>
    <col min="9481" max="9481" width="9" style="158" customWidth="1"/>
    <col min="9482" max="9482" width="8.25" style="158" customWidth="1"/>
    <col min="9483" max="9483" width="9.25" style="158" bestFit="1" customWidth="1"/>
    <col min="9484" max="9484" width="2.75" style="158" customWidth="1"/>
    <col min="9485" max="9485" width="26.625" style="158" customWidth="1"/>
    <col min="9486" max="9486" width="9.25" style="158" bestFit="1" customWidth="1"/>
    <col min="9487" max="9487" width="9" style="158" customWidth="1"/>
    <col min="9488" max="9488" width="8.25" style="158" customWidth="1"/>
    <col min="9489" max="9489" width="9.25" style="158" bestFit="1" customWidth="1"/>
    <col min="9490" max="9490" width="2.75" style="158" customWidth="1"/>
    <col min="9491" max="9491" width="26.625" style="158" customWidth="1"/>
    <col min="9492" max="9492" width="9.25" style="158" bestFit="1" customWidth="1"/>
    <col min="9493" max="9493" width="9" style="158" customWidth="1"/>
    <col min="9494" max="9494" width="8.25" style="158" customWidth="1"/>
    <col min="9495" max="9495" width="9.25" style="158" bestFit="1" customWidth="1"/>
    <col min="9496" max="9496" width="2.75" style="158" customWidth="1"/>
    <col min="9497" max="9501" width="0" style="158" hidden="1" customWidth="1"/>
    <col min="9502" max="9502" width="2.5" style="158" customWidth="1"/>
    <col min="9503" max="9503" width="6" style="158" bestFit="1" customWidth="1"/>
    <col min="9504" max="9504" width="21.125" style="158" customWidth="1"/>
    <col min="9505" max="9505" width="11" style="158" customWidth="1"/>
    <col min="9506" max="9506" width="15" style="158" customWidth="1"/>
    <col min="9507" max="9507" width="6.625" style="158" customWidth="1"/>
    <col min="9508" max="9509" width="7.375" style="158" customWidth="1"/>
    <col min="9510" max="9510" width="7.25" style="158" customWidth="1"/>
    <col min="9511" max="9728" width="8.25" style="158"/>
    <col min="9729" max="9729" width="27.75" style="158" customWidth="1"/>
    <col min="9730" max="9730" width="9.25" style="158" bestFit="1" customWidth="1"/>
    <col min="9731" max="9731" width="9" style="158" customWidth="1"/>
    <col min="9732" max="9732" width="8.25" style="158" customWidth="1"/>
    <col min="9733" max="9733" width="10.25" style="158" bestFit="1" customWidth="1"/>
    <col min="9734" max="9734" width="1.75" style="158" customWidth="1"/>
    <col min="9735" max="9735" width="27.75" style="158" customWidth="1"/>
    <col min="9736" max="9736" width="9.25" style="158" bestFit="1" customWidth="1"/>
    <col min="9737" max="9737" width="9" style="158" customWidth="1"/>
    <col min="9738" max="9738" width="8.25" style="158" customWidth="1"/>
    <col min="9739" max="9739" width="9.25" style="158" bestFit="1" customWidth="1"/>
    <col min="9740" max="9740" width="2.75" style="158" customWidth="1"/>
    <col min="9741" max="9741" width="26.625" style="158" customWidth="1"/>
    <col min="9742" max="9742" width="9.25" style="158" bestFit="1" customWidth="1"/>
    <col min="9743" max="9743" width="9" style="158" customWidth="1"/>
    <col min="9744" max="9744" width="8.25" style="158" customWidth="1"/>
    <col min="9745" max="9745" width="9.25" style="158" bestFit="1" customWidth="1"/>
    <col min="9746" max="9746" width="2.75" style="158" customWidth="1"/>
    <col min="9747" max="9747" width="26.625" style="158" customWidth="1"/>
    <col min="9748" max="9748" width="9.25" style="158" bestFit="1" customWidth="1"/>
    <col min="9749" max="9749" width="9" style="158" customWidth="1"/>
    <col min="9750" max="9750" width="8.25" style="158" customWidth="1"/>
    <col min="9751" max="9751" width="9.25" style="158" bestFit="1" customWidth="1"/>
    <col min="9752" max="9752" width="2.75" style="158" customWidth="1"/>
    <col min="9753" max="9757" width="0" style="158" hidden="1" customWidth="1"/>
    <col min="9758" max="9758" width="2.5" style="158" customWidth="1"/>
    <col min="9759" max="9759" width="6" style="158" bestFit="1" customWidth="1"/>
    <col min="9760" max="9760" width="21.125" style="158" customWidth="1"/>
    <col min="9761" max="9761" width="11" style="158" customWidth="1"/>
    <col min="9762" max="9762" width="15" style="158" customWidth="1"/>
    <col min="9763" max="9763" width="6.625" style="158" customWidth="1"/>
    <col min="9764" max="9765" width="7.375" style="158" customWidth="1"/>
    <col min="9766" max="9766" width="7.25" style="158" customWidth="1"/>
    <col min="9767" max="9984" width="8.25" style="158"/>
    <col min="9985" max="9985" width="27.75" style="158" customWidth="1"/>
    <col min="9986" max="9986" width="9.25" style="158" bestFit="1" customWidth="1"/>
    <col min="9987" max="9987" width="9" style="158" customWidth="1"/>
    <col min="9988" max="9988" width="8.25" style="158" customWidth="1"/>
    <col min="9989" max="9989" width="10.25" style="158" bestFit="1" customWidth="1"/>
    <col min="9990" max="9990" width="1.75" style="158" customWidth="1"/>
    <col min="9991" max="9991" width="27.75" style="158" customWidth="1"/>
    <col min="9992" max="9992" width="9.25" style="158" bestFit="1" customWidth="1"/>
    <col min="9993" max="9993" width="9" style="158" customWidth="1"/>
    <col min="9994" max="9994" width="8.25" style="158" customWidth="1"/>
    <col min="9995" max="9995" width="9.25" style="158" bestFit="1" customWidth="1"/>
    <col min="9996" max="9996" width="2.75" style="158" customWidth="1"/>
    <col min="9997" max="9997" width="26.625" style="158" customWidth="1"/>
    <col min="9998" max="9998" width="9.25" style="158" bestFit="1" customWidth="1"/>
    <col min="9999" max="9999" width="9" style="158" customWidth="1"/>
    <col min="10000" max="10000" width="8.25" style="158" customWidth="1"/>
    <col min="10001" max="10001" width="9.25" style="158" bestFit="1" customWidth="1"/>
    <col min="10002" max="10002" width="2.75" style="158" customWidth="1"/>
    <col min="10003" max="10003" width="26.625" style="158" customWidth="1"/>
    <col min="10004" max="10004" width="9.25" style="158" bestFit="1" customWidth="1"/>
    <col min="10005" max="10005" width="9" style="158" customWidth="1"/>
    <col min="10006" max="10006" width="8.25" style="158" customWidth="1"/>
    <col min="10007" max="10007" width="9.25" style="158" bestFit="1" customWidth="1"/>
    <col min="10008" max="10008" width="2.75" style="158" customWidth="1"/>
    <col min="10009" max="10013" width="0" style="158" hidden="1" customWidth="1"/>
    <col min="10014" max="10014" width="2.5" style="158" customWidth="1"/>
    <col min="10015" max="10015" width="6" style="158" bestFit="1" customWidth="1"/>
    <col min="10016" max="10016" width="21.125" style="158" customWidth="1"/>
    <col min="10017" max="10017" width="11" style="158" customWidth="1"/>
    <col min="10018" max="10018" width="15" style="158" customWidth="1"/>
    <col min="10019" max="10019" width="6.625" style="158" customWidth="1"/>
    <col min="10020" max="10021" width="7.375" style="158" customWidth="1"/>
    <col min="10022" max="10022" width="7.25" style="158" customWidth="1"/>
    <col min="10023" max="10240" width="8.25" style="158"/>
    <col min="10241" max="10241" width="27.75" style="158" customWidth="1"/>
    <col min="10242" max="10242" width="9.25" style="158" bestFit="1" customWidth="1"/>
    <col min="10243" max="10243" width="9" style="158" customWidth="1"/>
    <col min="10244" max="10244" width="8.25" style="158" customWidth="1"/>
    <col min="10245" max="10245" width="10.25" style="158" bestFit="1" customWidth="1"/>
    <col min="10246" max="10246" width="1.75" style="158" customWidth="1"/>
    <col min="10247" max="10247" width="27.75" style="158" customWidth="1"/>
    <col min="10248" max="10248" width="9.25" style="158" bestFit="1" customWidth="1"/>
    <col min="10249" max="10249" width="9" style="158" customWidth="1"/>
    <col min="10250" max="10250" width="8.25" style="158" customWidth="1"/>
    <col min="10251" max="10251" width="9.25" style="158" bestFit="1" customWidth="1"/>
    <col min="10252" max="10252" width="2.75" style="158" customWidth="1"/>
    <col min="10253" max="10253" width="26.625" style="158" customWidth="1"/>
    <col min="10254" max="10254" width="9.25" style="158" bestFit="1" customWidth="1"/>
    <col min="10255" max="10255" width="9" style="158" customWidth="1"/>
    <col min="10256" max="10256" width="8.25" style="158" customWidth="1"/>
    <col min="10257" max="10257" width="9.25" style="158" bestFit="1" customWidth="1"/>
    <col min="10258" max="10258" width="2.75" style="158" customWidth="1"/>
    <col min="10259" max="10259" width="26.625" style="158" customWidth="1"/>
    <col min="10260" max="10260" width="9.25" style="158" bestFit="1" customWidth="1"/>
    <col min="10261" max="10261" width="9" style="158" customWidth="1"/>
    <col min="10262" max="10262" width="8.25" style="158" customWidth="1"/>
    <col min="10263" max="10263" width="9.25" style="158" bestFit="1" customWidth="1"/>
    <col min="10264" max="10264" width="2.75" style="158" customWidth="1"/>
    <col min="10265" max="10269" width="0" style="158" hidden="1" customWidth="1"/>
    <col min="10270" max="10270" width="2.5" style="158" customWidth="1"/>
    <col min="10271" max="10271" width="6" style="158" bestFit="1" customWidth="1"/>
    <col min="10272" max="10272" width="21.125" style="158" customWidth="1"/>
    <col min="10273" max="10273" width="11" style="158" customWidth="1"/>
    <col min="10274" max="10274" width="15" style="158" customWidth="1"/>
    <col min="10275" max="10275" width="6.625" style="158" customWidth="1"/>
    <col min="10276" max="10277" width="7.375" style="158" customWidth="1"/>
    <col min="10278" max="10278" width="7.25" style="158" customWidth="1"/>
    <col min="10279" max="10496" width="8.25" style="158"/>
    <col min="10497" max="10497" width="27.75" style="158" customWidth="1"/>
    <col min="10498" max="10498" width="9.25" style="158" bestFit="1" customWidth="1"/>
    <col min="10499" max="10499" width="9" style="158" customWidth="1"/>
    <col min="10500" max="10500" width="8.25" style="158" customWidth="1"/>
    <col min="10501" max="10501" width="10.25" style="158" bestFit="1" customWidth="1"/>
    <col min="10502" max="10502" width="1.75" style="158" customWidth="1"/>
    <col min="10503" max="10503" width="27.75" style="158" customWidth="1"/>
    <col min="10504" max="10504" width="9.25" style="158" bestFit="1" customWidth="1"/>
    <col min="10505" max="10505" width="9" style="158" customWidth="1"/>
    <col min="10506" max="10506" width="8.25" style="158" customWidth="1"/>
    <col min="10507" max="10507" width="9.25" style="158" bestFit="1" customWidth="1"/>
    <col min="10508" max="10508" width="2.75" style="158" customWidth="1"/>
    <col min="10509" max="10509" width="26.625" style="158" customWidth="1"/>
    <col min="10510" max="10510" width="9.25" style="158" bestFit="1" customWidth="1"/>
    <col min="10511" max="10511" width="9" style="158" customWidth="1"/>
    <col min="10512" max="10512" width="8.25" style="158" customWidth="1"/>
    <col min="10513" max="10513" width="9.25" style="158" bestFit="1" customWidth="1"/>
    <col min="10514" max="10514" width="2.75" style="158" customWidth="1"/>
    <col min="10515" max="10515" width="26.625" style="158" customWidth="1"/>
    <col min="10516" max="10516" width="9.25" style="158" bestFit="1" customWidth="1"/>
    <col min="10517" max="10517" width="9" style="158" customWidth="1"/>
    <col min="10518" max="10518" width="8.25" style="158" customWidth="1"/>
    <col min="10519" max="10519" width="9.25" style="158" bestFit="1" customWidth="1"/>
    <col min="10520" max="10520" width="2.75" style="158" customWidth="1"/>
    <col min="10521" max="10525" width="0" style="158" hidden="1" customWidth="1"/>
    <col min="10526" max="10526" width="2.5" style="158" customWidth="1"/>
    <col min="10527" max="10527" width="6" style="158" bestFit="1" customWidth="1"/>
    <col min="10528" max="10528" width="21.125" style="158" customWidth="1"/>
    <col min="10529" max="10529" width="11" style="158" customWidth="1"/>
    <col min="10530" max="10530" width="15" style="158" customWidth="1"/>
    <col min="10531" max="10531" width="6.625" style="158" customWidth="1"/>
    <col min="10532" max="10533" width="7.375" style="158" customWidth="1"/>
    <col min="10534" max="10534" width="7.25" style="158" customWidth="1"/>
    <col min="10535" max="10752" width="8.25" style="158"/>
    <col min="10753" max="10753" width="27.75" style="158" customWidth="1"/>
    <col min="10754" max="10754" width="9.25" style="158" bestFit="1" customWidth="1"/>
    <col min="10755" max="10755" width="9" style="158" customWidth="1"/>
    <col min="10756" max="10756" width="8.25" style="158" customWidth="1"/>
    <col min="10757" max="10757" width="10.25" style="158" bestFit="1" customWidth="1"/>
    <col min="10758" max="10758" width="1.75" style="158" customWidth="1"/>
    <col min="10759" max="10759" width="27.75" style="158" customWidth="1"/>
    <col min="10760" max="10760" width="9.25" style="158" bestFit="1" customWidth="1"/>
    <col min="10761" max="10761" width="9" style="158" customWidth="1"/>
    <col min="10762" max="10762" width="8.25" style="158" customWidth="1"/>
    <col min="10763" max="10763" width="9.25" style="158" bestFit="1" customWidth="1"/>
    <col min="10764" max="10764" width="2.75" style="158" customWidth="1"/>
    <col min="10765" max="10765" width="26.625" style="158" customWidth="1"/>
    <col min="10766" max="10766" width="9.25" style="158" bestFit="1" customWidth="1"/>
    <col min="10767" max="10767" width="9" style="158" customWidth="1"/>
    <col min="10768" max="10768" width="8.25" style="158" customWidth="1"/>
    <col min="10769" max="10769" width="9.25" style="158" bestFit="1" customWidth="1"/>
    <col min="10770" max="10770" width="2.75" style="158" customWidth="1"/>
    <col min="10771" max="10771" width="26.625" style="158" customWidth="1"/>
    <col min="10772" max="10772" width="9.25" style="158" bestFit="1" customWidth="1"/>
    <col min="10773" max="10773" width="9" style="158" customWidth="1"/>
    <col min="10774" max="10774" width="8.25" style="158" customWidth="1"/>
    <col min="10775" max="10775" width="9.25" style="158" bestFit="1" customWidth="1"/>
    <col min="10776" max="10776" width="2.75" style="158" customWidth="1"/>
    <col min="10777" max="10781" width="0" style="158" hidden="1" customWidth="1"/>
    <col min="10782" max="10782" width="2.5" style="158" customWidth="1"/>
    <col min="10783" max="10783" width="6" style="158" bestFit="1" customWidth="1"/>
    <col min="10784" max="10784" width="21.125" style="158" customWidth="1"/>
    <col min="10785" max="10785" width="11" style="158" customWidth="1"/>
    <col min="10786" max="10786" width="15" style="158" customWidth="1"/>
    <col min="10787" max="10787" width="6.625" style="158" customWidth="1"/>
    <col min="10788" max="10789" width="7.375" style="158" customWidth="1"/>
    <col min="10790" max="10790" width="7.25" style="158" customWidth="1"/>
    <col min="10791" max="11008" width="8.25" style="158"/>
    <col min="11009" max="11009" width="27.75" style="158" customWidth="1"/>
    <col min="11010" max="11010" width="9.25" style="158" bestFit="1" customWidth="1"/>
    <col min="11011" max="11011" width="9" style="158" customWidth="1"/>
    <col min="11012" max="11012" width="8.25" style="158" customWidth="1"/>
    <col min="11013" max="11013" width="10.25" style="158" bestFit="1" customWidth="1"/>
    <col min="11014" max="11014" width="1.75" style="158" customWidth="1"/>
    <col min="11015" max="11015" width="27.75" style="158" customWidth="1"/>
    <col min="11016" max="11016" width="9.25" style="158" bestFit="1" customWidth="1"/>
    <col min="11017" max="11017" width="9" style="158" customWidth="1"/>
    <col min="11018" max="11018" width="8.25" style="158" customWidth="1"/>
    <col min="11019" max="11019" width="9.25" style="158" bestFit="1" customWidth="1"/>
    <col min="11020" max="11020" width="2.75" style="158" customWidth="1"/>
    <col min="11021" max="11021" width="26.625" style="158" customWidth="1"/>
    <col min="11022" max="11022" width="9.25" style="158" bestFit="1" customWidth="1"/>
    <col min="11023" max="11023" width="9" style="158" customWidth="1"/>
    <col min="11024" max="11024" width="8.25" style="158" customWidth="1"/>
    <col min="11025" max="11025" width="9.25" style="158" bestFit="1" customWidth="1"/>
    <col min="11026" max="11026" width="2.75" style="158" customWidth="1"/>
    <col min="11027" max="11027" width="26.625" style="158" customWidth="1"/>
    <col min="11028" max="11028" width="9.25" style="158" bestFit="1" customWidth="1"/>
    <col min="11029" max="11029" width="9" style="158" customWidth="1"/>
    <col min="11030" max="11030" width="8.25" style="158" customWidth="1"/>
    <col min="11031" max="11031" width="9.25" style="158" bestFit="1" customWidth="1"/>
    <col min="11032" max="11032" width="2.75" style="158" customWidth="1"/>
    <col min="11033" max="11037" width="0" style="158" hidden="1" customWidth="1"/>
    <col min="11038" max="11038" width="2.5" style="158" customWidth="1"/>
    <col min="11039" max="11039" width="6" style="158" bestFit="1" customWidth="1"/>
    <col min="11040" max="11040" width="21.125" style="158" customWidth="1"/>
    <col min="11041" max="11041" width="11" style="158" customWidth="1"/>
    <col min="11042" max="11042" width="15" style="158" customWidth="1"/>
    <col min="11043" max="11043" width="6.625" style="158" customWidth="1"/>
    <col min="11044" max="11045" width="7.375" style="158" customWidth="1"/>
    <col min="11046" max="11046" width="7.25" style="158" customWidth="1"/>
    <col min="11047" max="11264" width="8.25" style="158"/>
    <col min="11265" max="11265" width="27.75" style="158" customWidth="1"/>
    <col min="11266" max="11266" width="9.25" style="158" bestFit="1" customWidth="1"/>
    <col min="11267" max="11267" width="9" style="158" customWidth="1"/>
    <col min="11268" max="11268" width="8.25" style="158" customWidth="1"/>
    <col min="11269" max="11269" width="10.25" style="158" bestFit="1" customWidth="1"/>
    <col min="11270" max="11270" width="1.75" style="158" customWidth="1"/>
    <col min="11271" max="11271" width="27.75" style="158" customWidth="1"/>
    <col min="11272" max="11272" width="9.25" style="158" bestFit="1" customWidth="1"/>
    <col min="11273" max="11273" width="9" style="158" customWidth="1"/>
    <col min="11274" max="11274" width="8.25" style="158" customWidth="1"/>
    <col min="11275" max="11275" width="9.25" style="158" bestFit="1" customWidth="1"/>
    <col min="11276" max="11276" width="2.75" style="158" customWidth="1"/>
    <col min="11277" max="11277" width="26.625" style="158" customWidth="1"/>
    <col min="11278" max="11278" width="9.25" style="158" bestFit="1" customWidth="1"/>
    <col min="11279" max="11279" width="9" style="158" customWidth="1"/>
    <col min="11280" max="11280" width="8.25" style="158" customWidth="1"/>
    <col min="11281" max="11281" width="9.25" style="158" bestFit="1" customWidth="1"/>
    <col min="11282" max="11282" width="2.75" style="158" customWidth="1"/>
    <col min="11283" max="11283" width="26.625" style="158" customWidth="1"/>
    <col min="11284" max="11284" width="9.25" style="158" bestFit="1" customWidth="1"/>
    <col min="11285" max="11285" width="9" style="158" customWidth="1"/>
    <col min="11286" max="11286" width="8.25" style="158" customWidth="1"/>
    <col min="11287" max="11287" width="9.25" style="158" bestFit="1" customWidth="1"/>
    <col min="11288" max="11288" width="2.75" style="158" customWidth="1"/>
    <col min="11289" max="11293" width="0" style="158" hidden="1" customWidth="1"/>
    <col min="11294" max="11294" width="2.5" style="158" customWidth="1"/>
    <col min="11295" max="11295" width="6" style="158" bestFit="1" customWidth="1"/>
    <col min="11296" max="11296" width="21.125" style="158" customWidth="1"/>
    <col min="11297" max="11297" width="11" style="158" customWidth="1"/>
    <col min="11298" max="11298" width="15" style="158" customWidth="1"/>
    <col min="11299" max="11299" width="6.625" style="158" customWidth="1"/>
    <col min="11300" max="11301" width="7.375" style="158" customWidth="1"/>
    <col min="11302" max="11302" width="7.25" style="158" customWidth="1"/>
    <col min="11303" max="11520" width="8.25" style="158"/>
    <col min="11521" max="11521" width="27.75" style="158" customWidth="1"/>
    <col min="11522" max="11522" width="9.25" style="158" bestFit="1" customWidth="1"/>
    <col min="11523" max="11523" width="9" style="158" customWidth="1"/>
    <col min="11524" max="11524" width="8.25" style="158" customWidth="1"/>
    <col min="11525" max="11525" width="10.25" style="158" bestFit="1" customWidth="1"/>
    <col min="11526" max="11526" width="1.75" style="158" customWidth="1"/>
    <col min="11527" max="11527" width="27.75" style="158" customWidth="1"/>
    <col min="11528" max="11528" width="9.25" style="158" bestFit="1" customWidth="1"/>
    <col min="11529" max="11529" width="9" style="158" customWidth="1"/>
    <col min="11530" max="11530" width="8.25" style="158" customWidth="1"/>
    <col min="11531" max="11531" width="9.25" style="158" bestFit="1" customWidth="1"/>
    <col min="11532" max="11532" width="2.75" style="158" customWidth="1"/>
    <col min="11533" max="11533" width="26.625" style="158" customWidth="1"/>
    <col min="11534" max="11534" width="9.25" style="158" bestFit="1" customWidth="1"/>
    <col min="11535" max="11535" width="9" style="158" customWidth="1"/>
    <col min="11536" max="11536" width="8.25" style="158" customWidth="1"/>
    <col min="11537" max="11537" width="9.25" style="158" bestFit="1" customWidth="1"/>
    <col min="11538" max="11538" width="2.75" style="158" customWidth="1"/>
    <col min="11539" max="11539" width="26.625" style="158" customWidth="1"/>
    <col min="11540" max="11540" width="9.25" style="158" bestFit="1" customWidth="1"/>
    <col min="11541" max="11541" width="9" style="158" customWidth="1"/>
    <col min="11542" max="11542" width="8.25" style="158" customWidth="1"/>
    <col min="11543" max="11543" width="9.25" style="158" bestFit="1" customWidth="1"/>
    <col min="11544" max="11544" width="2.75" style="158" customWidth="1"/>
    <col min="11545" max="11549" width="0" style="158" hidden="1" customWidth="1"/>
    <col min="11550" max="11550" width="2.5" style="158" customWidth="1"/>
    <col min="11551" max="11551" width="6" style="158" bestFit="1" customWidth="1"/>
    <col min="11552" max="11552" width="21.125" style="158" customWidth="1"/>
    <col min="11553" max="11553" width="11" style="158" customWidth="1"/>
    <col min="11554" max="11554" width="15" style="158" customWidth="1"/>
    <col min="11555" max="11555" width="6.625" style="158" customWidth="1"/>
    <col min="11556" max="11557" width="7.375" style="158" customWidth="1"/>
    <col min="11558" max="11558" width="7.25" style="158" customWidth="1"/>
    <col min="11559" max="11776" width="8.25" style="158"/>
    <col min="11777" max="11777" width="27.75" style="158" customWidth="1"/>
    <col min="11778" max="11778" width="9.25" style="158" bestFit="1" customWidth="1"/>
    <col min="11779" max="11779" width="9" style="158" customWidth="1"/>
    <col min="11780" max="11780" width="8.25" style="158" customWidth="1"/>
    <col min="11781" max="11781" width="10.25" style="158" bestFit="1" customWidth="1"/>
    <col min="11782" max="11782" width="1.75" style="158" customWidth="1"/>
    <col min="11783" max="11783" width="27.75" style="158" customWidth="1"/>
    <col min="11784" max="11784" width="9.25" style="158" bestFit="1" customWidth="1"/>
    <col min="11785" max="11785" width="9" style="158" customWidth="1"/>
    <col min="11786" max="11786" width="8.25" style="158" customWidth="1"/>
    <col min="11787" max="11787" width="9.25" style="158" bestFit="1" customWidth="1"/>
    <col min="11788" max="11788" width="2.75" style="158" customWidth="1"/>
    <col min="11789" max="11789" width="26.625" style="158" customWidth="1"/>
    <col min="11790" max="11790" width="9.25" style="158" bestFit="1" customWidth="1"/>
    <col min="11791" max="11791" width="9" style="158" customWidth="1"/>
    <col min="11792" max="11792" width="8.25" style="158" customWidth="1"/>
    <col min="11793" max="11793" width="9.25" style="158" bestFit="1" customWidth="1"/>
    <col min="11794" max="11794" width="2.75" style="158" customWidth="1"/>
    <col min="11795" max="11795" width="26.625" style="158" customWidth="1"/>
    <col min="11796" max="11796" width="9.25" style="158" bestFit="1" customWidth="1"/>
    <col min="11797" max="11797" width="9" style="158" customWidth="1"/>
    <col min="11798" max="11798" width="8.25" style="158" customWidth="1"/>
    <col min="11799" max="11799" width="9.25" style="158" bestFit="1" customWidth="1"/>
    <col min="11800" max="11800" width="2.75" style="158" customWidth="1"/>
    <col min="11801" max="11805" width="0" style="158" hidden="1" customWidth="1"/>
    <col min="11806" max="11806" width="2.5" style="158" customWidth="1"/>
    <col min="11807" max="11807" width="6" style="158" bestFit="1" customWidth="1"/>
    <col min="11808" max="11808" width="21.125" style="158" customWidth="1"/>
    <col min="11809" max="11809" width="11" style="158" customWidth="1"/>
    <col min="11810" max="11810" width="15" style="158" customWidth="1"/>
    <col min="11811" max="11811" width="6.625" style="158" customWidth="1"/>
    <col min="11812" max="11813" width="7.375" style="158" customWidth="1"/>
    <col min="11814" max="11814" width="7.25" style="158" customWidth="1"/>
    <col min="11815" max="12032" width="8.25" style="158"/>
    <col min="12033" max="12033" width="27.75" style="158" customWidth="1"/>
    <col min="12034" max="12034" width="9.25" style="158" bestFit="1" customWidth="1"/>
    <col min="12035" max="12035" width="9" style="158" customWidth="1"/>
    <col min="12036" max="12036" width="8.25" style="158" customWidth="1"/>
    <col min="12037" max="12037" width="10.25" style="158" bestFit="1" customWidth="1"/>
    <col min="12038" max="12038" width="1.75" style="158" customWidth="1"/>
    <col min="12039" max="12039" width="27.75" style="158" customWidth="1"/>
    <col min="12040" max="12040" width="9.25" style="158" bestFit="1" customWidth="1"/>
    <col min="12041" max="12041" width="9" style="158" customWidth="1"/>
    <col min="12042" max="12042" width="8.25" style="158" customWidth="1"/>
    <col min="12043" max="12043" width="9.25" style="158" bestFit="1" customWidth="1"/>
    <col min="12044" max="12044" width="2.75" style="158" customWidth="1"/>
    <col min="12045" max="12045" width="26.625" style="158" customWidth="1"/>
    <col min="12046" max="12046" width="9.25" style="158" bestFit="1" customWidth="1"/>
    <col min="12047" max="12047" width="9" style="158" customWidth="1"/>
    <col min="12048" max="12048" width="8.25" style="158" customWidth="1"/>
    <col min="12049" max="12049" width="9.25" style="158" bestFit="1" customWidth="1"/>
    <col min="12050" max="12050" width="2.75" style="158" customWidth="1"/>
    <col min="12051" max="12051" width="26.625" style="158" customWidth="1"/>
    <col min="12052" max="12052" width="9.25" style="158" bestFit="1" customWidth="1"/>
    <col min="12053" max="12053" width="9" style="158" customWidth="1"/>
    <col min="12054" max="12054" width="8.25" style="158" customWidth="1"/>
    <col min="12055" max="12055" width="9.25" style="158" bestFit="1" customWidth="1"/>
    <col min="12056" max="12056" width="2.75" style="158" customWidth="1"/>
    <col min="12057" max="12061" width="0" style="158" hidden="1" customWidth="1"/>
    <col min="12062" max="12062" width="2.5" style="158" customWidth="1"/>
    <col min="12063" max="12063" width="6" style="158" bestFit="1" customWidth="1"/>
    <col min="12064" max="12064" width="21.125" style="158" customWidth="1"/>
    <col min="12065" max="12065" width="11" style="158" customWidth="1"/>
    <col min="12066" max="12066" width="15" style="158" customWidth="1"/>
    <col min="12067" max="12067" width="6.625" style="158" customWidth="1"/>
    <col min="12068" max="12069" width="7.375" style="158" customWidth="1"/>
    <col min="12070" max="12070" width="7.25" style="158" customWidth="1"/>
    <col min="12071" max="12288" width="8.25" style="158"/>
    <col min="12289" max="12289" width="27.75" style="158" customWidth="1"/>
    <col min="12290" max="12290" width="9.25" style="158" bestFit="1" customWidth="1"/>
    <col min="12291" max="12291" width="9" style="158" customWidth="1"/>
    <col min="12292" max="12292" width="8.25" style="158" customWidth="1"/>
    <col min="12293" max="12293" width="10.25" style="158" bestFit="1" customWidth="1"/>
    <col min="12294" max="12294" width="1.75" style="158" customWidth="1"/>
    <col min="12295" max="12295" width="27.75" style="158" customWidth="1"/>
    <col min="12296" max="12296" width="9.25" style="158" bestFit="1" customWidth="1"/>
    <col min="12297" max="12297" width="9" style="158" customWidth="1"/>
    <col min="12298" max="12298" width="8.25" style="158" customWidth="1"/>
    <col min="12299" max="12299" width="9.25" style="158" bestFit="1" customWidth="1"/>
    <col min="12300" max="12300" width="2.75" style="158" customWidth="1"/>
    <col min="12301" max="12301" width="26.625" style="158" customWidth="1"/>
    <col min="12302" max="12302" width="9.25" style="158" bestFit="1" customWidth="1"/>
    <col min="12303" max="12303" width="9" style="158" customWidth="1"/>
    <col min="12304" max="12304" width="8.25" style="158" customWidth="1"/>
    <col min="12305" max="12305" width="9.25" style="158" bestFit="1" customWidth="1"/>
    <col min="12306" max="12306" width="2.75" style="158" customWidth="1"/>
    <col min="12307" max="12307" width="26.625" style="158" customWidth="1"/>
    <col min="12308" max="12308" width="9.25" style="158" bestFit="1" customWidth="1"/>
    <col min="12309" max="12309" width="9" style="158" customWidth="1"/>
    <col min="12310" max="12310" width="8.25" style="158" customWidth="1"/>
    <col min="12311" max="12311" width="9.25" style="158" bestFit="1" customWidth="1"/>
    <col min="12312" max="12312" width="2.75" style="158" customWidth="1"/>
    <col min="12313" max="12317" width="0" style="158" hidden="1" customWidth="1"/>
    <col min="12318" max="12318" width="2.5" style="158" customWidth="1"/>
    <col min="12319" max="12319" width="6" style="158" bestFit="1" customWidth="1"/>
    <col min="12320" max="12320" width="21.125" style="158" customWidth="1"/>
    <col min="12321" max="12321" width="11" style="158" customWidth="1"/>
    <col min="12322" max="12322" width="15" style="158" customWidth="1"/>
    <col min="12323" max="12323" width="6.625" style="158" customWidth="1"/>
    <col min="12324" max="12325" width="7.375" style="158" customWidth="1"/>
    <col min="12326" max="12326" width="7.25" style="158" customWidth="1"/>
    <col min="12327" max="12544" width="8.25" style="158"/>
    <col min="12545" max="12545" width="27.75" style="158" customWidth="1"/>
    <col min="12546" max="12546" width="9.25" style="158" bestFit="1" customWidth="1"/>
    <col min="12547" max="12547" width="9" style="158" customWidth="1"/>
    <col min="12548" max="12548" width="8.25" style="158" customWidth="1"/>
    <col min="12549" max="12549" width="10.25" style="158" bestFit="1" customWidth="1"/>
    <col min="12550" max="12550" width="1.75" style="158" customWidth="1"/>
    <col min="12551" max="12551" width="27.75" style="158" customWidth="1"/>
    <col min="12552" max="12552" width="9.25" style="158" bestFit="1" customWidth="1"/>
    <col min="12553" max="12553" width="9" style="158" customWidth="1"/>
    <col min="12554" max="12554" width="8.25" style="158" customWidth="1"/>
    <col min="12555" max="12555" width="9.25" style="158" bestFit="1" customWidth="1"/>
    <col min="12556" max="12556" width="2.75" style="158" customWidth="1"/>
    <col min="12557" max="12557" width="26.625" style="158" customWidth="1"/>
    <col min="12558" max="12558" width="9.25" style="158" bestFit="1" customWidth="1"/>
    <col min="12559" max="12559" width="9" style="158" customWidth="1"/>
    <col min="12560" max="12560" width="8.25" style="158" customWidth="1"/>
    <col min="12561" max="12561" width="9.25" style="158" bestFit="1" customWidth="1"/>
    <col min="12562" max="12562" width="2.75" style="158" customWidth="1"/>
    <col min="12563" max="12563" width="26.625" style="158" customWidth="1"/>
    <col min="12564" max="12564" width="9.25" style="158" bestFit="1" customWidth="1"/>
    <col min="12565" max="12565" width="9" style="158" customWidth="1"/>
    <col min="12566" max="12566" width="8.25" style="158" customWidth="1"/>
    <col min="12567" max="12567" width="9.25" style="158" bestFit="1" customWidth="1"/>
    <col min="12568" max="12568" width="2.75" style="158" customWidth="1"/>
    <col min="12569" max="12573" width="0" style="158" hidden="1" customWidth="1"/>
    <col min="12574" max="12574" width="2.5" style="158" customWidth="1"/>
    <col min="12575" max="12575" width="6" style="158" bestFit="1" customWidth="1"/>
    <col min="12576" max="12576" width="21.125" style="158" customWidth="1"/>
    <col min="12577" max="12577" width="11" style="158" customWidth="1"/>
    <col min="12578" max="12578" width="15" style="158" customWidth="1"/>
    <col min="12579" max="12579" width="6.625" style="158" customWidth="1"/>
    <col min="12580" max="12581" width="7.375" style="158" customWidth="1"/>
    <col min="12582" max="12582" width="7.25" style="158" customWidth="1"/>
    <col min="12583" max="12800" width="8.25" style="158"/>
    <col min="12801" max="12801" width="27.75" style="158" customWidth="1"/>
    <col min="12802" max="12802" width="9.25" style="158" bestFit="1" customWidth="1"/>
    <col min="12803" max="12803" width="9" style="158" customWidth="1"/>
    <col min="12804" max="12804" width="8.25" style="158" customWidth="1"/>
    <col min="12805" max="12805" width="10.25" style="158" bestFit="1" customWidth="1"/>
    <col min="12806" max="12806" width="1.75" style="158" customWidth="1"/>
    <col min="12807" max="12807" width="27.75" style="158" customWidth="1"/>
    <col min="12808" max="12808" width="9.25" style="158" bestFit="1" customWidth="1"/>
    <col min="12809" max="12809" width="9" style="158" customWidth="1"/>
    <col min="12810" max="12810" width="8.25" style="158" customWidth="1"/>
    <col min="12811" max="12811" width="9.25" style="158" bestFit="1" customWidth="1"/>
    <col min="12812" max="12812" width="2.75" style="158" customWidth="1"/>
    <col min="12813" max="12813" width="26.625" style="158" customWidth="1"/>
    <col min="12814" max="12814" width="9.25" style="158" bestFit="1" customWidth="1"/>
    <col min="12815" max="12815" width="9" style="158" customWidth="1"/>
    <col min="12816" max="12816" width="8.25" style="158" customWidth="1"/>
    <col min="12817" max="12817" width="9.25" style="158" bestFit="1" customWidth="1"/>
    <col min="12818" max="12818" width="2.75" style="158" customWidth="1"/>
    <col min="12819" max="12819" width="26.625" style="158" customWidth="1"/>
    <col min="12820" max="12820" width="9.25" style="158" bestFit="1" customWidth="1"/>
    <col min="12821" max="12821" width="9" style="158" customWidth="1"/>
    <col min="12822" max="12822" width="8.25" style="158" customWidth="1"/>
    <col min="12823" max="12823" width="9.25" style="158" bestFit="1" customWidth="1"/>
    <col min="12824" max="12824" width="2.75" style="158" customWidth="1"/>
    <col min="12825" max="12829" width="0" style="158" hidden="1" customWidth="1"/>
    <col min="12830" max="12830" width="2.5" style="158" customWidth="1"/>
    <col min="12831" max="12831" width="6" style="158" bestFit="1" customWidth="1"/>
    <col min="12832" max="12832" width="21.125" style="158" customWidth="1"/>
    <col min="12833" max="12833" width="11" style="158" customWidth="1"/>
    <col min="12834" max="12834" width="15" style="158" customWidth="1"/>
    <col min="12835" max="12835" width="6.625" style="158" customWidth="1"/>
    <col min="12836" max="12837" width="7.375" style="158" customWidth="1"/>
    <col min="12838" max="12838" width="7.25" style="158" customWidth="1"/>
    <col min="12839" max="13056" width="8.25" style="158"/>
    <col min="13057" max="13057" width="27.75" style="158" customWidth="1"/>
    <col min="13058" max="13058" width="9.25" style="158" bestFit="1" customWidth="1"/>
    <col min="13059" max="13059" width="9" style="158" customWidth="1"/>
    <col min="13060" max="13060" width="8.25" style="158" customWidth="1"/>
    <col min="13061" max="13061" width="10.25" style="158" bestFit="1" customWidth="1"/>
    <col min="13062" max="13062" width="1.75" style="158" customWidth="1"/>
    <col min="13063" max="13063" width="27.75" style="158" customWidth="1"/>
    <col min="13064" max="13064" width="9.25" style="158" bestFit="1" customWidth="1"/>
    <col min="13065" max="13065" width="9" style="158" customWidth="1"/>
    <col min="13066" max="13066" width="8.25" style="158" customWidth="1"/>
    <col min="13067" max="13067" width="9.25" style="158" bestFit="1" customWidth="1"/>
    <col min="13068" max="13068" width="2.75" style="158" customWidth="1"/>
    <col min="13069" max="13069" width="26.625" style="158" customWidth="1"/>
    <col min="13070" max="13070" width="9.25" style="158" bestFit="1" customWidth="1"/>
    <col min="13071" max="13071" width="9" style="158" customWidth="1"/>
    <col min="13072" max="13072" width="8.25" style="158" customWidth="1"/>
    <col min="13073" max="13073" width="9.25" style="158" bestFit="1" customWidth="1"/>
    <col min="13074" max="13074" width="2.75" style="158" customWidth="1"/>
    <col min="13075" max="13075" width="26.625" style="158" customWidth="1"/>
    <col min="13076" max="13076" width="9.25" style="158" bestFit="1" customWidth="1"/>
    <col min="13077" max="13077" width="9" style="158" customWidth="1"/>
    <col min="13078" max="13078" width="8.25" style="158" customWidth="1"/>
    <col min="13079" max="13079" width="9.25" style="158" bestFit="1" customWidth="1"/>
    <col min="13080" max="13080" width="2.75" style="158" customWidth="1"/>
    <col min="13081" max="13085" width="0" style="158" hidden="1" customWidth="1"/>
    <col min="13086" max="13086" width="2.5" style="158" customWidth="1"/>
    <col min="13087" max="13087" width="6" style="158" bestFit="1" customWidth="1"/>
    <col min="13088" max="13088" width="21.125" style="158" customWidth="1"/>
    <col min="13089" max="13089" width="11" style="158" customWidth="1"/>
    <col min="13090" max="13090" width="15" style="158" customWidth="1"/>
    <col min="13091" max="13091" width="6.625" style="158" customWidth="1"/>
    <col min="13092" max="13093" width="7.375" style="158" customWidth="1"/>
    <col min="13094" max="13094" width="7.25" style="158" customWidth="1"/>
    <col min="13095" max="13312" width="8.25" style="158"/>
    <col min="13313" max="13313" width="27.75" style="158" customWidth="1"/>
    <col min="13314" max="13314" width="9.25" style="158" bestFit="1" customWidth="1"/>
    <col min="13315" max="13315" width="9" style="158" customWidth="1"/>
    <col min="13316" max="13316" width="8.25" style="158" customWidth="1"/>
    <col min="13317" max="13317" width="10.25" style="158" bestFit="1" customWidth="1"/>
    <col min="13318" max="13318" width="1.75" style="158" customWidth="1"/>
    <col min="13319" max="13319" width="27.75" style="158" customWidth="1"/>
    <col min="13320" max="13320" width="9.25" style="158" bestFit="1" customWidth="1"/>
    <col min="13321" max="13321" width="9" style="158" customWidth="1"/>
    <col min="13322" max="13322" width="8.25" style="158" customWidth="1"/>
    <col min="13323" max="13323" width="9.25" style="158" bestFit="1" customWidth="1"/>
    <col min="13324" max="13324" width="2.75" style="158" customWidth="1"/>
    <col min="13325" max="13325" width="26.625" style="158" customWidth="1"/>
    <col min="13326" max="13326" width="9.25" style="158" bestFit="1" customWidth="1"/>
    <col min="13327" max="13327" width="9" style="158" customWidth="1"/>
    <col min="13328" max="13328" width="8.25" style="158" customWidth="1"/>
    <col min="13329" max="13329" width="9.25" style="158" bestFit="1" customWidth="1"/>
    <col min="13330" max="13330" width="2.75" style="158" customWidth="1"/>
    <col min="13331" max="13331" width="26.625" style="158" customWidth="1"/>
    <col min="13332" max="13332" width="9.25" style="158" bestFit="1" customWidth="1"/>
    <col min="13333" max="13333" width="9" style="158" customWidth="1"/>
    <col min="13334" max="13334" width="8.25" style="158" customWidth="1"/>
    <col min="13335" max="13335" width="9.25" style="158" bestFit="1" customWidth="1"/>
    <col min="13336" max="13336" width="2.75" style="158" customWidth="1"/>
    <col min="13337" max="13341" width="0" style="158" hidden="1" customWidth="1"/>
    <col min="13342" max="13342" width="2.5" style="158" customWidth="1"/>
    <col min="13343" max="13343" width="6" style="158" bestFit="1" customWidth="1"/>
    <col min="13344" max="13344" width="21.125" style="158" customWidth="1"/>
    <col min="13345" max="13345" width="11" style="158" customWidth="1"/>
    <col min="13346" max="13346" width="15" style="158" customWidth="1"/>
    <col min="13347" max="13347" width="6.625" style="158" customWidth="1"/>
    <col min="13348" max="13349" width="7.375" style="158" customWidth="1"/>
    <col min="13350" max="13350" width="7.25" style="158" customWidth="1"/>
    <col min="13351" max="13568" width="8.25" style="158"/>
    <col min="13569" max="13569" width="27.75" style="158" customWidth="1"/>
    <col min="13570" max="13570" width="9.25" style="158" bestFit="1" customWidth="1"/>
    <col min="13571" max="13571" width="9" style="158" customWidth="1"/>
    <col min="13572" max="13572" width="8.25" style="158" customWidth="1"/>
    <col min="13573" max="13573" width="10.25" style="158" bestFit="1" customWidth="1"/>
    <col min="13574" max="13574" width="1.75" style="158" customWidth="1"/>
    <col min="13575" max="13575" width="27.75" style="158" customWidth="1"/>
    <col min="13576" max="13576" width="9.25" style="158" bestFit="1" customWidth="1"/>
    <col min="13577" max="13577" width="9" style="158" customWidth="1"/>
    <col min="13578" max="13578" width="8.25" style="158" customWidth="1"/>
    <col min="13579" max="13579" width="9.25" style="158" bestFit="1" customWidth="1"/>
    <col min="13580" max="13580" width="2.75" style="158" customWidth="1"/>
    <col min="13581" max="13581" width="26.625" style="158" customWidth="1"/>
    <col min="13582" max="13582" width="9.25" style="158" bestFit="1" customWidth="1"/>
    <col min="13583" max="13583" width="9" style="158" customWidth="1"/>
    <col min="13584" max="13584" width="8.25" style="158" customWidth="1"/>
    <col min="13585" max="13585" width="9.25" style="158" bestFit="1" customWidth="1"/>
    <col min="13586" max="13586" width="2.75" style="158" customWidth="1"/>
    <col min="13587" max="13587" width="26.625" style="158" customWidth="1"/>
    <col min="13588" max="13588" width="9.25" style="158" bestFit="1" customWidth="1"/>
    <col min="13589" max="13589" width="9" style="158" customWidth="1"/>
    <col min="13590" max="13590" width="8.25" style="158" customWidth="1"/>
    <col min="13591" max="13591" width="9.25" style="158" bestFit="1" customWidth="1"/>
    <col min="13592" max="13592" width="2.75" style="158" customWidth="1"/>
    <col min="13593" max="13597" width="0" style="158" hidden="1" customWidth="1"/>
    <col min="13598" max="13598" width="2.5" style="158" customWidth="1"/>
    <col min="13599" max="13599" width="6" style="158" bestFit="1" customWidth="1"/>
    <col min="13600" max="13600" width="21.125" style="158" customWidth="1"/>
    <col min="13601" max="13601" width="11" style="158" customWidth="1"/>
    <col min="13602" max="13602" width="15" style="158" customWidth="1"/>
    <col min="13603" max="13603" width="6.625" style="158" customWidth="1"/>
    <col min="13604" max="13605" width="7.375" style="158" customWidth="1"/>
    <col min="13606" max="13606" width="7.25" style="158" customWidth="1"/>
    <col min="13607" max="13824" width="8.25" style="158"/>
    <col min="13825" max="13825" width="27.75" style="158" customWidth="1"/>
    <col min="13826" max="13826" width="9.25" style="158" bestFit="1" customWidth="1"/>
    <col min="13827" max="13827" width="9" style="158" customWidth="1"/>
    <col min="13828" max="13828" width="8.25" style="158" customWidth="1"/>
    <col min="13829" max="13829" width="10.25" style="158" bestFit="1" customWidth="1"/>
    <col min="13830" max="13830" width="1.75" style="158" customWidth="1"/>
    <col min="13831" max="13831" width="27.75" style="158" customWidth="1"/>
    <col min="13832" max="13832" width="9.25" style="158" bestFit="1" customWidth="1"/>
    <col min="13833" max="13833" width="9" style="158" customWidth="1"/>
    <col min="13834" max="13834" width="8.25" style="158" customWidth="1"/>
    <col min="13835" max="13835" width="9.25" style="158" bestFit="1" customWidth="1"/>
    <col min="13836" max="13836" width="2.75" style="158" customWidth="1"/>
    <col min="13837" max="13837" width="26.625" style="158" customWidth="1"/>
    <col min="13838" max="13838" width="9.25" style="158" bestFit="1" customWidth="1"/>
    <col min="13839" max="13839" width="9" style="158" customWidth="1"/>
    <col min="13840" max="13840" width="8.25" style="158" customWidth="1"/>
    <col min="13841" max="13841" width="9.25" style="158" bestFit="1" customWidth="1"/>
    <col min="13842" max="13842" width="2.75" style="158" customWidth="1"/>
    <col min="13843" max="13843" width="26.625" style="158" customWidth="1"/>
    <col min="13844" max="13844" width="9.25" style="158" bestFit="1" customWidth="1"/>
    <col min="13845" max="13845" width="9" style="158" customWidth="1"/>
    <col min="13846" max="13846" width="8.25" style="158" customWidth="1"/>
    <col min="13847" max="13847" width="9.25" style="158" bestFit="1" customWidth="1"/>
    <col min="13848" max="13848" width="2.75" style="158" customWidth="1"/>
    <col min="13849" max="13853" width="0" style="158" hidden="1" customWidth="1"/>
    <col min="13854" max="13854" width="2.5" style="158" customWidth="1"/>
    <col min="13855" max="13855" width="6" style="158" bestFit="1" customWidth="1"/>
    <col min="13856" max="13856" width="21.125" style="158" customWidth="1"/>
    <col min="13857" max="13857" width="11" style="158" customWidth="1"/>
    <col min="13858" max="13858" width="15" style="158" customWidth="1"/>
    <col min="13859" max="13859" width="6.625" style="158" customWidth="1"/>
    <col min="13860" max="13861" width="7.375" style="158" customWidth="1"/>
    <col min="13862" max="13862" width="7.25" style="158" customWidth="1"/>
    <col min="13863" max="14080" width="8.25" style="158"/>
    <col min="14081" max="14081" width="27.75" style="158" customWidth="1"/>
    <col min="14082" max="14082" width="9.25" style="158" bestFit="1" customWidth="1"/>
    <col min="14083" max="14083" width="9" style="158" customWidth="1"/>
    <col min="14084" max="14084" width="8.25" style="158" customWidth="1"/>
    <col min="14085" max="14085" width="10.25" style="158" bestFit="1" customWidth="1"/>
    <col min="14086" max="14086" width="1.75" style="158" customWidth="1"/>
    <col min="14087" max="14087" width="27.75" style="158" customWidth="1"/>
    <col min="14088" max="14088" width="9.25" style="158" bestFit="1" customWidth="1"/>
    <col min="14089" max="14089" width="9" style="158" customWidth="1"/>
    <col min="14090" max="14090" width="8.25" style="158" customWidth="1"/>
    <col min="14091" max="14091" width="9.25" style="158" bestFit="1" customWidth="1"/>
    <col min="14092" max="14092" width="2.75" style="158" customWidth="1"/>
    <col min="14093" max="14093" width="26.625" style="158" customWidth="1"/>
    <col min="14094" max="14094" width="9.25" style="158" bestFit="1" customWidth="1"/>
    <col min="14095" max="14095" width="9" style="158" customWidth="1"/>
    <col min="14096" max="14096" width="8.25" style="158" customWidth="1"/>
    <col min="14097" max="14097" width="9.25" style="158" bestFit="1" customWidth="1"/>
    <col min="14098" max="14098" width="2.75" style="158" customWidth="1"/>
    <col min="14099" max="14099" width="26.625" style="158" customWidth="1"/>
    <col min="14100" max="14100" width="9.25" style="158" bestFit="1" customWidth="1"/>
    <col min="14101" max="14101" width="9" style="158" customWidth="1"/>
    <col min="14102" max="14102" width="8.25" style="158" customWidth="1"/>
    <col min="14103" max="14103" width="9.25" style="158" bestFit="1" customWidth="1"/>
    <col min="14104" max="14104" width="2.75" style="158" customWidth="1"/>
    <col min="14105" max="14109" width="0" style="158" hidden="1" customWidth="1"/>
    <col min="14110" max="14110" width="2.5" style="158" customWidth="1"/>
    <col min="14111" max="14111" width="6" style="158" bestFit="1" customWidth="1"/>
    <col min="14112" max="14112" width="21.125" style="158" customWidth="1"/>
    <col min="14113" max="14113" width="11" style="158" customWidth="1"/>
    <col min="14114" max="14114" width="15" style="158" customWidth="1"/>
    <col min="14115" max="14115" width="6.625" style="158" customWidth="1"/>
    <col min="14116" max="14117" width="7.375" style="158" customWidth="1"/>
    <col min="14118" max="14118" width="7.25" style="158" customWidth="1"/>
    <col min="14119" max="14336" width="8.25" style="158"/>
    <col min="14337" max="14337" width="27.75" style="158" customWidth="1"/>
    <col min="14338" max="14338" width="9.25" style="158" bestFit="1" customWidth="1"/>
    <col min="14339" max="14339" width="9" style="158" customWidth="1"/>
    <col min="14340" max="14340" width="8.25" style="158" customWidth="1"/>
    <col min="14341" max="14341" width="10.25" style="158" bestFit="1" customWidth="1"/>
    <col min="14342" max="14342" width="1.75" style="158" customWidth="1"/>
    <col min="14343" max="14343" width="27.75" style="158" customWidth="1"/>
    <col min="14344" max="14344" width="9.25" style="158" bestFit="1" customWidth="1"/>
    <col min="14345" max="14345" width="9" style="158" customWidth="1"/>
    <col min="14346" max="14346" width="8.25" style="158" customWidth="1"/>
    <col min="14347" max="14347" width="9.25" style="158" bestFit="1" customWidth="1"/>
    <col min="14348" max="14348" width="2.75" style="158" customWidth="1"/>
    <col min="14349" max="14349" width="26.625" style="158" customWidth="1"/>
    <col min="14350" max="14350" width="9.25" style="158" bestFit="1" customWidth="1"/>
    <col min="14351" max="14351" width="9" style="158" customWidth="1"/>
    <col min="14352" max="14352" width="8.25" style="158" customWidth="1"/>
    <col min="14353" max="14353" width="9.25" style="158" bestFit="1" customWidth="1"/>
    <col min="14354" max="14354" width="2.75" style="158" customWidth="1"/>
    <col min="14355" max="14355" width="26.625" style="158" customWidth="1"/>
    <col min="14356" max="14356" width="9.25" style="158" bestFit="1" customWidth="1"/>
    <col min="14357" max="14357" width="9" style="158" customWidth="1"/>
    <col min="14358" max="14358" width="8.25" style="158" customWidth="1"/>
    <col min="14359" max="14359" width="9.25" style="158" bestFit="1" customWidth="1"/>
    <col min="14360" max="14360" width="2.75" style="158" customWidth="1"/>
    <col min="14361" max="14365" width="0" style="158" hidden="1" customWidth="1"/>
    <col min="14366" max="14366" width="2.5" style="158" customWidth="1"/>
    <col min="14367" max="14367" width="6" style="158" bestFit="1" customWidth="1"/>
    <col min="14368" max="14368" width="21.125" style="158" customWidth="1"/>
    <col min="14369" max="14369" width="11" style="158" customWidth="1"/>
    <col min="14370" max="14370" width="15" style="158" customWidth="1"/>
    <col min="14371" max="14371" width="6.625" style="158" customWidth="1"/>
    <col min="14372" max="14373" width="7.375" style="158" customWidth="1"/>
    <col min="14374" max="14374" width="7.25" style="158" customWidth="1"/>
    <col min="14375" max="14592" width="8.25" style="158"/>
    <col min="14593" max="14593" width="27.75" style="158" customWidth="1"/>
    <col min="14594" max="14594" width="9.25" style="158" bestFit="1" customWidth="1"/>
    <col min="14595" max="14595" width="9" style="158" customWidth="1"/>
    <col min="14596" max="14596" width="8.25" style="158" customWidth="1"/>
    <col min="14597" max="14597" width="10.25" style="158" bestFit="1" customWidth="1"/>
    <col min="14598" max="14598" width="1.75" style="158" customWidth="1"/>
    <col min="14599" max="14599" width="27.75" style="158" customWidth="1"/>
    <col min="14600" max="14600" width="9.25" style="158" bestFit="1" customWidth="1"/>
    <col min="14601" max="14601" width="9" style="158" customWidth="1"/>
    <col min="14602" max="14602" width="8.25" style="158" customWidth="1"/>
    <col min="14603" max="14603" width="9.25" style="158" bestFit="1" customWidth="1"/>
    <col min="14604" max="14604" width="2.75" style="158" customWidth="1"/>
    <col min="14605" max="14605" width="26.625" style="158" customWidth="1"/>
    <col min="14606" max="14606" width="9.25" style="158" bestFit="1" customWidth="1"/>
    <col min="14607" max="14607" width="9" style="158" customWidth="1"/>
    <col min="14608" max="14608" width="8.25" style="158" customWidth="1"/>
    <col min="14609" max="14609" width="9.25" style="158" bestFit="1" customWidth="1"/>
    <col min="14610" max="14610" width="2.75" style="158" customWidth="1"/>
    <col min="14611" max="14611" width="26.625" style="158" customWidth="1"/>
    <col min="14612" max="14612" width="9.25" style="158" bestFit="1" customWidth="1"/>
    <col min="14613" max="14613" width="9" style="158" customWidth="1"/>
    <col min="14614" max="14614" width="8.25" style="158" customWidth="1"/>
    <col min="14615" max="14615" width="9.25" style="158" bestFit="1" customWidth="1"/>
    <col min="14616" max="14616" width="2.75" style="158" customWidth="1"/>
    <col min="14617" max="14621" width="0" style="158" hidden="1" customWidth="1"/>
    <col min="14622" max="14622" width="2.5" style="158" customWidth="1"/>
    <col min="14623" max="14623" width="6" style="158" bestFit="1" customWidth="1"/>
    <col min="14624" max="14624" width="21.125" style="158" customWidth="1"/>
    <col min="14625" max="14625" width="11" style="158" customWidth="1"/>
    <col min="14626" max="14626" width="15" style="158" customWidth="1"/>
    <col min="14627" max="14627" width="6.625" style="158" customWidth="1"/>
    <col min="14628" max="14629" width="7.375" style="158" customWidth="1"/>
    <col min="14630" max="14630" width="7.25" style="158" customWidth="1"/>
    <col min="14631" max="14848" width="8.25" style="158"/>
    <col min="14849" max="14849" width="27.75" style="158" customWidth="1"/>
    <col min="14850" max="14850" width="9.25" style="158" bestFit="1" customWidth="1"/>
    <col min="14851" max="14851" width="9" style="158" customWidth="1"/>
    <col min="14852" max="14852" width="8.25" style="158" customWidth="1"/>
    <col min="14853" max="14853" width="10.25" style="158" bestFit="1" customWidth="1"/>
    <col min="14854" max="14854" width="1.75" style="158" customWidth="1"/>
    <col min="14855" max="14855" width="27.75" style="158" customWidth="1"/>
    <col min="14856" max="14856" width="9.25" style="158" bestFit="1" customWidth="1"/>
    <col min="14857" max="14857" width="9" style="158" customWidth="1"/>
    <col min="14858" max="14858" width="8.25" style="158" customWidth="1"/>
    <col min="14859" max="14859" width="9.25" style="158" bestFit="1" customWidth="1"/>
    <col min="14860" max="14860" width="2.75" style="158" customWidth="1"/>
    <col min="14861" max="14861" width="26.625" style="158" customWidth="1"/>
    <col min="14862" max="14862" width="9.25" style="158" bestFit="1" customWidth="1"/>
    <col min="14863" max="14863" width="9" style="158" customWidth="1"/>
    <col min="14864" max="14864" width="8.25" style="158" customWidth="1"/>
    <col min="14865" max="14865" width="9.25" style="158" bestFit="1" customWidth="1"/>
    <col min="14866" max="14866" width="2.75" style="158" customWidth="1"/>
    <col min="14867" max="14867" width="26.625" style="158" customWidth="1"/>
    <col min="14868" max="14868" width="9.25" style="158" bestFit="1" customWidth="1"/>
    <col min="14869" max="14869" width="9" style="158" customWidth="1"/>
    <col min="14870" max="14870" width="8.25" style="158" customWidth="1"/>
    <col min="14871" max="14871" width="9.25" style="158" bestFit="1" customWidth="1"/>
    <col min="14872" max="14872" width="2.75" style="158" customWidth="1"/>
    <col min="14873" max="14877" width="0" style="158" hidden="1" customWidth="1"/>
    <col min="14878" max="14878" width="2.5" style="158" customWidth="1"/>
    <col min="14879" max="14879" width="6" style="158" bestFit="1" customWidth="1"/>
    <col min="14880" max="14880" width="21.125" style="158" customWidth="1"/>
    <col min="14881" max="14881" width="11" style="158" customWidth="1"/>
    <col min="14882" max="14882" width="15" style="158" customWidth="1"/>
    <col min="14883" max="14883" width="6.625" style="158" customWidth="1"/>
    <col min="14884" max="14885" width="7.375" style="158" customWidth="1"/>
    <col min="14886" max="14886" width="7.25" style="158" customWidth="1"/>
    <col min="14887" max="15104" width="8.25" style="158"/>
    <col min="15105" max="15105" width="27.75" style="158" customWidth="1"/>
    <col min="15106" max="15106" width="9.25" style="158" bestFit="1" customWidth="1"/>
    <col min="15107" max="15107" width="9" style="158" customWidth="1"/>
    <col min="15108" max="15108" width="8.25" style="158" customWidth="1"/>
    <col min="15109" max="15109" width="10.25" style="158" bestFit="1" customWidth="1"/>
    <col min="15110" max="15110" width="1.75" style="158" customWidth="1"/>
    <col min="15111" max="15111" width="27.75" style="158" customWidth="1"/>
    <col min="15112" max="15112" width="9.25" style="158" bestFit="1" customWidth="1"/>
    <col min="15113" max="15113" width="9" style="158" customWidth="1"/>
    <col min="15114" max="15114" width="8.25" style="158" customWidth="1"/>
    <col min="15115" max="15115" width="9.25" style="158" bestFit="1" customWidth="1"/>
    <col min="15116" max="15116" width="2.75" style="158" customWidth="1"/>
    <col min="15117" max="15117" width="26.625" style="158" customWidth="1"/>
    <col min="15118" max="15118" width="9.25" style="158" bestFit="1" customWidth="1"/>
    <col min="15119" max="15119" width="9" style="158" customWidth="1"/>
    <col min="15120" max="15120" width="8.25" style="158" customWidth="1"/>
    <col min="15121" max="15121" width="9.25" style="158" bestFit="1" customWidth="1"/>
    <col min="15122" max="15122" width="2.75" style="158" customWidth="1"/>
    <col min="15123" max="15123" width="26.625" style="158" customWidth="1"/>
    <col min="15124" max="15124" width="9.25" style="158" bestFit="1" customWidth="1"/>
    <col min="15125" max="15125" width="9" style="158" customWidth="1"/>
    <col min="15126" max="15126" width="8.25" style="158" customWidth="1"/>
    <col min="15127" max="15127" width="9.25" style="158" bestFit="1" customWidth="1"/>
    <col min="15128" max="15128" width="2.75" style="158" customWidth="1"/>
    <col min="15129" max="15133" width="0" style="158" hidden="1" customWidth="1"/>
    <col min="15134" max="15134" width="2.5" style="158" customWidth="1"/>
    <col min="15135" max="15135" width="6" style="158" bestFit="1" customWidth="1"/>
    <col min="15136" max="15136" width="21.125" style="158" customWidth="1"/>
    <col min="15137" max="15137" width="11" style="158" customWidth="1"/>
    <col min="15138" max="15138" width="15" style="158" customWidth="1"/>
    <col min="15139" max="15139" width="6.625" style="158" customWidth="1"/>
    <col min="15140" max="15141" width="7.375" style="158" customWidth="1"/>
    <col min="15142" max="15142" width="7.25" style="158" customWidth="1"/>
    <col min="15143" max="15360" width="8.25" style="158"/>
    <col min="15361" max="15361" width="27.75" style="158" customWidth="1"/>
    <col min="15362" max="15362" width="9.25" style="158" bestFit="1" customWidth="1"/>
    <col min="15363" max="15363" width="9" style="158" customWidth="1"/>
    <col min="15364" max="15364" width="8.25" style="158" customWidth="1"/>
    <col min="15365" max="15365" width="10.25" style="158" bestFit="1" customWidth="1"/>
    <col min="15366" max="15366" width="1.75" style="158" customWidth="1"/>
    <col min="15367" max="15367" width="27.75" style="158" customWidth="1"/>
    <col min="15368" max="15368" width="9.25" style="158" bestFit="1" customWidth="1"/>
    <col min="15369" max="15369" width="9" style="158" customWidth="1"/>
    <col min="15370" max="15370" width="8.25" style="158" customWidth="1"/>
    <col min="15371" max="15371" width="9.25" style="158" bestFit="1" customWidth="1"/>
    <col min="15372" max="15372" width="2.75" style="158" customWidth="1"/>
    <col min="15373" max="15373" width="26.625" style="158" customWidth="1"/>
    <col min="15374" max="15374" width="9.25" style="158" bestFit="1" customWidth="1"/>
    <col min="15375" max="15375" width="9" style="158" customWidth="1"/>
    <col min="15376" max="15376" width="8.25" style="158" customWidth="1"/>
    <col min="15377" max="15377" width="9.25" style="158" bestFit="1" customWidth="1"/>
    <col min="15378" max="15378" width="2.75" style="158" customWidth="1"/>
    <col min="15379" max="15379" width="26.625" style="158" customWidth="1"/>
    <col min="15380" max="15380" width="9.25" style="158" bestFit="1" customWidth="1"/>
    <col min="15381" max="15381" width="9" style="158" customWidth="1"/>
    <col min="15382" max="15382" width="8.25" style="158" customWidth="1"/>
    <col min="15383" max="15383" width="9.25" style="158" bestFit="1" customWidth="1"/>
    <col min="15384" max="15384" width="2.75" style="158" customWidth="1"/>
    <col min="15385" max="15389" width="0" style="158" hidden="1" customWidth="1"/>
    <col min="15390" max="15390" width="2.5" style="158" customWidth="1"/>
    <col min="15391" max="15391" width="6" style="158" bestFit="1" customWidth="1"/>
    <col min="15392" max="15392" width="21.125" style="158" customWidth="1"/>
    <col min="15393" max="15393" width="11" style="158" customWidth="1"/>
    <col min="15394" max="15394" width="15" style="158" customWidth="1"/>
    <col min="15395" max="15395" width="6.625" style="158" customWidth="1"/>
    <col min="15396" max="15397" width="7.375" style="158" customWidth="1"/>
    <col min="15398" max="15398" width="7.25" style="158" customWidth="1"/>
    <col min="15399" max="15616" width="8.25" style="158"/>
    <col min="15617" max="15617" width="27.75" style="158" customWidth="1"/>
    <col min="15618" max="15618" width="9.25" style="158" bestFit="1" customWidth="1"/>
    <col min="15619" max="15619" width="9" style="158" customWidth="1"/>
    <col min="15620" max="15620" width="8.25" style="158" customWidth="1"/>
    <col min="15621" max="15621" width="10.25" style="158" bestFit="1" customWidth="1"/>
    <col min="15622" max="15622" width="1.75" style="158" customWidth="1"/>
    <col min="15623" max="15623" width="27.75" style="158" customWidth="1"/>
    <col min="15624" max="15624" width="9.25" style="158" bestFit="1" customWidth="1"/>
    <col min="15625" max="15625" width="9" style="158" customWidth="1"/>
    <col min="15626" max="15626" width="8.25" style="158" customWidth="1"/>
    <col min="15627" max="15627" width="9.25" style="158" bestFit="1" customWidth="1"/>
    <col min="15628" max="15628" width="2.75" style="158" customWidth="1"/>
    <col min="15629" max="15629" width="26.625" style="158" customWidth="1"/>
    <col min="15630" max="15630" width="9.25" style="158" bestFit="1" customWidth="1"/>
    <col min="15631" max="15631" width="9" style="158" customWidth="1"/>
    <col min="15632" max="15632" width="8.25" style="158" customWidth="1"/>
    <col min="15633" max="15633" width="9.25" style="158" bestFit="1" customWidth="1"/>
    <col min="15634" max="15634" width="2.75" style="158" customWidth="1"/>
    <col min="15635" max="15635" width="26.625" style="158" customWidth="1"/>
    <col min="15636" max="15636" width="9.25" style="158" bestFit="1" customWidth="1"/>
    <col min="15637" max="15637" width="9" style="158" customWidth="1"/>
    <col min="15638" max="15638" width="8.25" style="158" customWidth="1"/>
    <col min="15639" max="15639" width="9.25" style="158" bestFit="1" customWidth="1"/>
    <col min="15640" max="15640" width="2.75" style="158" customWidth="1"/>
    <col min="15641" max="15645" width="0" style="158" hidden="1" customWidth="1"/>
    <col min="15646" max="15646" width="2.5" style="158" customWidth="1"/>
    <col min="15647" max="15647" width="6" style="158" bestFit="1" customWidth="1"/>
    <col min="15648" max="15648" width="21.125" style="158" customWidth="1"/>
    <col min="15649" max="15649" width="11" style="158" customWidth="1"/>
    <col min="15650" max="15650" width="15" style="158" customWidth="1"/>
    <col min="15651" max="15651" width="6.625" style="158" customWidth="1"/>
    <col min="15652" max="15653" width="7.375" style="158" customWidth="1"/>
    <col min="15654" max="15654" width="7.25" style="158" customWidth="1"/>
    <col min="15655" max="15872" width="8.25" style="158"/>
    <col min="15873" max="15873" width="27.75" style="158" customWidth="1"/>
    <col min="15874" max="15874" width="9.25" style="158" bestFit="1" customWidth="1"/>
    <col min="15875" max="15875" width="9" style="158" customWidth="1"/>
    <col min="15876" max="15876" width="8.25" style="158" customWidth="1"/>
    <col min="15877" max="15877" width="10.25" style="158" bestFit="1" customWidth="1"/>
    <col min="15878" max="15878" width="1.75" style="158" customWidth="1"/>
    <col min="15879" max="15879" width="27.75" style="158" customWidth="1"/>
    <col min="15880" max="15880" width="9.25" style="158" bestFit="1" customWidth="1"/>
    <col min="15881" max="15881" width="9" style="158" customWidth="1"/>
    <col min="15882" max="15882" width="8.25" style="158" customWidth="1"/>
    <col min="15883" max="15883" width="9.25" style="158" bestFit="1" customWidth="1"/>
    <col min="15884" max="15884" width="2.75" style="158" customWidth="1"/>
    <col min="15885" max="15885" width="26.625" style="158" customWidth="1"/>
    <col min="15886" max="15886" width="9.25" style="158" bestFit="1" customWidth="1"/>
    <col min="15887" max="15887" width="9" style="158" customWidth="1"/>
    <col min="15888" max="15888" width="8.25" style="158" customWidth="1"/>
    <col min="15889" max="15889" width="9.25" style="158" bestFit="1" customWidth="1"/>
    <col min="15890" max="15890" width="2.75" style="158" customWidth="1"/>
    <col min="15891" max="15891" width="26.625" style="158" customWidth="1"/>
    <col min="15892" max="15892" width="9.25" style="158" bestFit="1" customWidth="1"/>
    <col min="15893" max="15893" width="9" style="158" customWidth="1"/>
    <col min="15894" max="15894" width="8.25" style="158" customWidth="1"/>
    <col min="15895" max="15895" width="9.25" style="158" bestFit="1" customWidth="1"/>
    <col min="15896" max="15896" width="2.75" style="158" customWidth="1"/>
    <col min="15897" max="15901" width="0" style="158" hidden="1" customWidth="1"/>
    <col min="15902" max="15902" width="2.5" style="158" customWidth="1"/>
    <col min="15903" max="15903" width="6" style="158" bestFit="1" customWidth="1"/>
    <col min="15904" max="15904" width="21.125" style="158" customWidth="1"/>
    <col min="15905" max="15905" width="11" style="158" customWidth="1"/>
    <col min="15906" max="15906" width="15" style="158" customWidth="1"/>
    <col min="15907" max="15907" width="6.625" style="158" customWidth="1"/>
    <col min="15908" max="15909" width="7.375" style="158" customWidth="1"/>
    <col min="15910" max="15910" width="7.25" style="158" customWidth="1"/>
    <col min="15911" max="16128" width="8.25" style="158"/>
    <col min="16129" max="16129" width="27.75" style="158" customWidth="1"/>
    <col min="16130" max="16130" width="9.25" style="158" bestFit="1" customWidth="1"/>
    <col min="16131" max="16131" width="9" style="158" customWidth="1"/>
    <col min="16132" max="16132" width="8.25" style="158" customWidth="1"/>
    <col min="16133" max="16133" width="10.25" style="158" bestFit="1" customWidth="1"/>
    <col min="16134" max="16134" width="1.75" style="158" customWidth="1"/>
    <col min="16135" max="16135" width="27.75" style="158" customWidth="1"/>
    <col min="16136" max="16136" width="9.25" style="158" bestFit="1" customWidth="1"/>
    <col min="16137" max="16137" width="9" style="158" customWidth="1"/>
    <col min="16138" max="16138" width="8.25" style="158" customWidth="1"/>
    <col min="16139" max="16139" width="9.25" style="158" bestFit="1" customWidth="1"/>
    <col min="16140" max="16140" width="2.75" style="158" customWidth="1"/>
    <col min="16141" max="16141" width="26.625" style="158" customWidth="1"/>
    <col min="16142" max="16142" width="9.25" style="158" bestFit="1" customWidth="1"/>
    <col min="16143" max="16143" width="9" style="158" customWidth="1"/>
    <col min="16144" max="16144" width="8.25" style="158" customWidth="1"/>
    <col min="16145" max="16145" width="9.25" style="158" bestFit="1" customWidth="1"/>
    <col min="16146" max="16146" width="2.75" style="158" customWidth="1"/>
    <col min="16147" max="16147" width="26.625" style="158" customWidth="1"/>
    <col min="16148" max="16148" width="9.25" style="158" bestFit="1" customWidth="1"/>
    <col min="16149" max="16149" width="9" style="158" customWidth="1"/>
    <col min="16150" max="16150" width="8.25" style="158" customWidth="1"/>
    <col min="16151" max="16151" width="9.25" style="158" bestFit="1" customWidth="1"/>
    <col min="16152" max="16152" width="2.75" style="158" customWidth="1"/>
    <col min="16153" max="16157" width="0" style="158" hidden="1" customWidth="1"/>
    <col min="16158" max="16158" width="2.5" style="158" customWidth="1"/>
    <col min="16159" max="16159" width="6" style="158" bestFit="1" customWidth="1"/>
    <col min="16160" max="16160" width="21.125" style="158" customWidth="1"/>
    <col min="16161" max="16161" width="11" style="158" customWidth="1"/>
    <col min="16162" max="16162" width="15" style="158" customWidth="1"/>
    <col min="16163" max="16163" width="6.625" style="158" customWidth="1"/>
    <col min="16164" max="16165" width="7.375" style="158" customWidth="1"/>
    <col min="16166" max="16166" width="7.25" style="158" customWidth="1"/>
    <col min="16167" max="16384" width="8.25" style="158"/>
  </cols>
  <sheetData>
    <row r="1" spans="1:39" s="59" customFormat="1" ht="15" thickBot="1" x14ac:dyDescent="0.25">
      <c r="A1" s="73"/>
      <c r="F1" s="158"/>
      <c r="G1" s="73"/>
      <c r="L1" s="158"/>
      <c r="M1" s="73"/>
      <c r="S1" s="73"/>
      <c r="X1" s="158"/>
      <c r="Y1" s="73"/>
      <c r="AD1" s="158"/>
      <c r="AE1" s="54"/>
      <c r="AF1" s="714" t="s">
        <v>67</v>
      </c>
      <c r="AG1" s="714"/>
      <c r="AH1" s="714"/>
    </row>
    <row r="2" spans="1:39" s="59" customFormat="1" ht="15.75" thickTop="1" thickBot="1" x14ac:dyDescent="0.25">
      <c r="A2" s="73"/>
      <c r="F2" s="158"/>
      <c r="G2" s="73"/>
      <c r="L2" s="158"/>
      <c r="M2" s="73"/>
      <c r="S2" s="73"/>
      <c r="X2" s="158"/>
      <c r="Y2" s="73"/>
      <c r="AD2" s="158"/>
      <c r="AE2" s="54"/>
      <c r="AF2" s="82"/>
      <c r="AG2" s="82"/>
      <c r="AH2" s="82"/>
    </row>
    <row r="3" spans="1:39" s="59" customFormat="1" ht="15" thickBot="1" x14ac:dyDescent="0.25">
      <c r="A3" s="624" t="s">
        <v>128</v>
      </c>
      <c r="B3" s="659"/>
      <c r="F3" s="158"/>
      <c r="G3" s="74"/>
      <c r="H3" s="54"/>
      <c r="L3" s="158"/>
      <c r="M3" s="73"/>
      <c r="S3" s="73"/>
      <c r="X3" s="158"/>
      <c r="Y3" s="73"/>
      <c r="AD3" s="158"/>
      <c r="AE3" s="54"/>
      <c r="AF3" s="73"/>
      <c r="AG3" s="62"/>
      <c r="AH3" s="81"/>
    </row>
    <row r="4" spans="1:39" x14ac:dyDescent="0.2">
      <c r="AF4" s="625" t="s">
        <v>72</v>
      </c>
      <c r="AG4" s="64" t="s">
        <v>73</v>
      </c>
      <c r="AH4" s="666" t="s">
        <v>74</v>
      </c>
      <c r="AI4" s="59"/>
      <c r="AJ4" s="59"/>
      <c r="AK4" s="59"/>
    </row>
    <row r="5" spans="1:39" s="59" customFormat="1" x14ac:dyDescent="0.2">
      <c r="A5" s="73"/>
      <c r="B5" s="73"/>
      <c r="F5" s="158"/>
      <c r="G5" s="73"/>
      <c r="H5" s="73"/>
      <c r="L5" s="158"/>
      <c r="M5" s="74"/>
      <c r="N5" s="54"/>
      <c r="S5" s="74"/>
      <c r="T5" s="54"/>
      <c r="X5" s="158"/>
      <c r="Y5" s="74"/>
      <c r="Z5" s="54"/>
      <c r="AD5" s="158"/>
      <c r="AE5" s="54"/>
      <c r="AF5" s="129" t="s">
        <v>81</v>
      </c>
      <c r="AG5" s="75">
        <v>15</v>
      </c>
      <c r="AH5" s="149">
        <f>AG5*8</f>
        <v>120</v>
      </c>
      <c r="AI5" s="73"/>
      <c r="AJ5" s="73"/>
      <c r="AK5" s="73"/>
    </row>
    <row r="6" spans="1:39" s="59" customFormat="1" x14ac:dyDescent="0.2">
      <c r="B6" s="54"/>
      <c r="C6" s="60" t="s">
        <v>68</v>
      </c>
      <c r="D6" s="61"/>
      <c r="E6" s="62"/>
      <c r="F6" s="158"/>
      <c r="H6" s="54"/>
      <c r="I6" s="60" t="s">
        <v>69</v>
      </c>
      <c r="J6" s="61"/>
      <c r="K6" s="62"/>
      <c r="L6" s="63"/>
      <c r="N6" s="54"/>
      <c r="O6" s="60" t="s">
        <v>70</v>
      </c>
      <c r="P6" s="61"/>
      <c r="Q6" s="62"/>
      <c r="R6" s="62"/>
      <c r="T6" s="54"/>
      <c r="U6" s="60" t="s">
        <v>71</v>
      </c>
      <c r="V6" s="61"/>
      <c r="W6" s="62"/>
      <c r="X6" s="63"/>
      <c r="AA6" s="60" t="s">
        <v>129</v>
      </c>
      <c r="AC6" s="61"/>
      <c r="AD6" s="63"/>
      <c r="AF6" s="129" t="s">
        <v>82</v>
      </c>
      <c r="AG6" s="75">
        <v>15</v>
      </c>
      <c r="AH6" s="149">
        <f>AG6*8</f>
        <v>120</v>
      </c>
      <c r="AI6" s="73"/>
      <c r="AJ6" s="73"/>
      <c r="AK6" s="73"/>
    </row>
    <row r="7" spans="1:39" s="59" customFormat="1" x14ac:dyDescent="0.2">
      <c r="A7" s="66" t="s">
        <v>75</v>
      </c>
      <c r="B7" s="687" t="s">
        <v>130</v>
      </c>
      <c r="C7" s="68" t="s">
        <v>77</v>
      </c>
      <c r="D7" s="69">
        <v>365</v>
      </c>
      <c r="E7" s="70">
        <f>D7*B8</f>
        <v>2920</v>
      </c>
      <c r="F7" s="158"/>
      <c r="G7" s="66" t="s">
        <v>75</v>
      </c>
      <c r="H7" s="687" t="s">
        <v>76</v>
      </c>
      <c r="I7" s="68" t="s">
        <v>77</v>
      </c>
      <c r="J7" s="69">
        <v>365</v>
      </c>
      <c r="K7" s="70">
        <f>J7*H8</f>
        <v>4380</v>
      </c>
      <c r="L7" s="71"/>
      <c r="M7" s="66" t="s">
        <v>75</v>
      </c>
      <c r="N7" s="72" t="s">
        <v>78</v>
      </c>
      <c r="O7" s="68" t="s">
        <v>77</v>
      </c>
      <c r="P7" s="69">
        <v>365</v>
      </c>
      <c r="Q7" s="70">
        <f>N8*P7</f>
        <v>5657.5</v>
      </c>
      <c r="R7" s="70"/>
      <c r="S7" s="66" t="s">
        <v>75</v>
      </c>
      <c r="T7" s="74" t="s">
        <v>79</v>
      </c>
      <c r="U7" s="68" t="s">
        <v>77</v>
      </c>
      <c r="V7" s="69">
        <v>365</v>
      </c>
      <c r="W7" s="70">
        <f>T8*V7</f>
        <v>7300</v>
      </c>
      <c r="X7" s="71"/>
      <c r="Y7" s="66" t="s">
        <v>75</v>
      </c>
      <c r="Z7" s="74" t="s">
        <v>80</v>
      </c>
      <c r="AA7" s="68" t="s">
        <v>77</v>
      </c>
      <c r="AB7" s="69">
        <v>365</v>
      </c>
      <c r="AC7" s="70">
        <f>Z8*AB7</f>
        <v>9125</v>
      </c>
      <c r="AD7" s="71"/>
      <c r="AF7" s="129" t="s">
        <v>83</v>
      </c>
      <c r="AG7" s="75">
        <v>13</v>
      </c>
      <c r="AH7" s="149">
        <f>AG7*8</f>
        <v>104</v>
      </c>
      <c r="AI7" s="73"/>
      <c r="AJ7" s="73"/>
      <c r="AK7" s="73"/>
    </row>
    <row r="8" spans="1:39" s="73" customFormat="1" x14ac:dyDescent="0.2">
      <c r="A8" s="66"/>
      <c r="B8" s="74">
        <v>8</v>
      </c>
      <c r="C8" s="68"/>
      <c r="D8" s="69"/>
      <c r="E8" s="70"/>
      <c r="F8" s="158"/>
      <c r="G8" s="66"/>
      <c r="H8" s="74">
        <v>12</v>
      </c>
      <c r="I8" s="68"/>
      <c r="J8" s="69"/>
      <c r="K8" s="70"/>
      <c r="L8" s="71"/>
      <c r="M8" s="66"/>
      <c r="N8" s="74">
        <v>15.5</v>
      </c>
      <c r="O8" s="68"/>
      <c r="P8" s="69"/>
      <c r="Q8" s="70"/>
      <c r="R8" s="70"/>
      <c r="S8" s="66"/>
      <c r="T8" s="74">
        <v>20</v>
      </c>
      <c r="U8" s="68"/>
      <c r="V8" s="69"/>
      <c r="W8" s="70"/>
      <c r="X8" s="71"/>
      <c r="Y8" s="66"/>
      <c r="Z8" s="74">
        <v>25</v>
      </c>
      <c r="AA8" s="68"/>
      <c r="AB8" s="69"/>
      <c r="AC8" s="70"/>
      <c r="AD8" s="71"/>
      <c r="AF8" s="667" t="s">
        <v>88</v>
      </c>
      <c r="AG8" s="83">
        <v>8</v>
      </c>
      <c r="AH8" s="153">
        <f>AG8*8</f>
        <v>64</v>
      </c>
    </row>
    <row r="9" spans="1:39" s="73" customFormat="1" x14ac:dyDescent="0.2">
      <c r="A9" s="66"/>
      <c r="B9" s="74"/>
      <c r="C9" s="78"/>
      <c r="D9" s="69"/>
      <c r="E9" s="70"/>
      <c r="F9" s="158"/>
      <c r="G9" s="66"/>
      <c r="H9" s="74"/>
      <c r="I9" s="78"/>
      <c r="J9" s="69"/>
      <c r="K9" s="70"/>
      <c r="L9" s="158"/>
      <c r="M9" s="66"/>
      <c r="N9" s="74"/>
      <c r="O9" s="78"/>
      <c r="P9" s="69"/>
      <c r="Q9" s="70"/>
      <c r="S9" s="66"/>
      <c r="T9" s="74"/>
      <c r="U9" s="78"/>
      <c r="V9" s="69"/>
      <c r="W9" s="70"/>
      <c r="X9" s="158"/>
      <c r="Y9" s="66"/>
      <c r="Z9" s="74"/>
      <c r="AA9" s="78"/>
      <c r="AB9" s="69"/>
      <c r="AC9" s="70"/>
      <c r="AD9" s="158"/>
      <c r="AE9" s="71"/>
      <c r="AF9" s="129"/>
      <c r="AG9" s="89" t="s">
        <v>90</v>
      </c>
      <c r="AH9" s="149">
        <f>SUM(AH5:AH8)</f>
        <v>408</v>
      </c>
      <c r="AI9" s="56"/>
      <c r="AJ9" s="56"/>
      <c r="AK9" s="56"/>
    </row>
    <row r="10" spans="1:39" s="79" customFormat="1" ht="26.25" thickBot="1" x14ac:dyDescent="0.25">
      <c r="B10" s="80" t="s">
        <v>84</v>
      </c>
      <c r="C10" s="60" t="s">
        <v>85</v>
      </c>
      <c r="D10" s="81" t="s">
        <v>86</v>
      </c>
      <c r="E10" s="60" t="s">
        <v>87</v>
      </c>
      <c r="F10" s="690"/>
      <c r="H10" s="80" t="s">
        <v>84</v>
      </c>
      <c r="I10" s="60" t="s">
        <v>85</v>
      </c>
      <c r="J10" s="81" t="s">
        <v>86</v>
      </c>
      <c r="K10" s="60" t="s">
        <v>87</v>
      </c>
      <c r="L10" s="690"/>
      <c r="N10" s="80" t="s">
        <v>84</v>
      </c>
      <c r="O10" s="60" t="s">
        <v>85</v>
      </c>
      <c r="P10" s="81" t="s">
        <v>86</v>
      </c>
      <c r="Q10" s="60" t="s">
        <v>87</v>
      </c>
      <c r="T10" s="80" t="s">
        <v>84</v>
      </c>
      <c r="U10" s="60" t="s">
        <v>85</v>
      </c>
      <c r="V10" s="81" t="s">
        <v>86</v>
      </c>
      <c r="W10" s="60" t="s">
        <v>87</v>
      </c>
      <c r="X10" s="690"/>
      <c r="Z10" s="80" t="s">
        <v>84</v>
      </c>
      <c r="AA10" s="60" t="s">
        <v>85</v>
      </c>
      <c r="AB10" s="81" t="s">
        <v>86</v>
      </c>
      <c r="AC10" s="60" t="s">
        <v>87</v>
      </c>
      <c r="AD10" s="690"/>
      <c r="AE10" s="82"/>
      <c r="AF10" s="668"/>
      <c r="AG10" s="154" t="s">
        <v>91</v>
      </c>
      <c r="AH10" s="155">
        <f>AH9/(52*40)</f>
        <v>0.19615384615384615</v>
      </c>
      <c r="AI10" s="669"/>
      <c r="AJ10" s="669"/>
      <c r="AK10" s="669"/>
    </row>
    <row r="11" spans="1:39" s="73" customFormat="1" ht="15" thickBot="1" x14ac:dyDescent="0.25">
      <c r="A11" s="86" t="s">
        <v>89</v>
      </c>
      <c r="B11" s="87"/>
      <c r="C11" s="56">
        <f>$AH$13</f>
        <v>69600</v>
      </c>
      <c r="D11" s="88">
        <f>AH23</f>
        <v>2.15</v>
      </c>
      <c r="E11" s="56">
        <f t="shared" ref="E11:E16" si="0">C11*D11</f>
        <v>149640</v>
      </c>
      <c r="F11" s="158"/>
      <c r="G11" s="86" t="s">
        <v>89</v>
      </c>
      <c r="H11" s="87"/>
      <c r="I11" s="56">
        <f>$AH$13</f>
        <v>69600</v>
      </c>
      <c r="J11" s="88">
        <f>AI23</f>
        <v>2.15</v>
      </c>
      <c r="K11" s="56">
        <f t="shared" ref="K11:K16" si="1">I11*J11</f>
        <v>149640</v>
      </c>
      <c r="L11" s="158"/>
      <c r="M11" s="86" t="s">
        <v>89</v>
      </c>
      <c r="N11" s="87"/>
      <c r="O11" s="56">
        <f>$AH$13</f>
        <v>69600</v>
      </c>
      <c r="P11" s="88">
        <f>AJ23</f>
        <v>2.15</v>
      </c>
      <c r="Q11" s="56">
        <f t="shared" ref="Q11:Q16" si="2">O11*P11</f>
        <v>149640</v>
      </c>
      <c r="R11" s="56"/>
      <c r="S11" s="86" t="s">
        <v>89</v>
      </c>
      <c r="T11" s="87"/>
      <c r="U11" s="56">
        <f>$AH$13</f>
        <v>69600</v>
      </c>
      <c r="V11" s="88">
        <f>AK23</f>
        <v>2.15</v>
      </c>
      <c r="W11" s="56">
        <f t="shared" ref="W11:W16" si="3">U11*V11</f>
        <v>149640</v>
      </c>
      <c r="X11" s="158"/>
      <c r="Y11" s="86" t="s">
        <v>89</v>
      </c>
      <c r="Z11" s="87"/>
      <c r="AA11" s="56">
        <f>$AH$13</f>
        <v>69600</v>
      </c>
      <c r="AB11" s="88">
        <f>AL23</f>
        <v>2.15</v>
      </c>
      <c r="AC11" s="56">
        <f>AA11*AB11</f>
        <v>149640</v>
      </c>
      <c r="AD11" s="158"/>
      <c r="AE11" s="58"/>
      <c r="AF11" s="54"/>
      <c r="AG11" s="54"/>
      <c r="AH11" s="157"/>
      <c r="AI11" s="97"/>
      <c r="AJ11" s="97"/>
      <c r="AK11" s="97"/>
    </row>
    <row r="12" spans="1:39" s="56" customFormat="1" x14ac:dyDescent="0.2">
      <c r="A12" s="86" t="s">
        <v>108</v>
      </c>
      <c r="B12" s="88">
        <f>AH25</f>
        <v>7.5</v>
      </c>
      <c r="C12" s="56">
        <f>AH14</f>
        <v>63627.199999999997</v>
      </c>
      <c r="D12" s="88">
        <f>B8/B12</f>
        <v>1.0666666666666667</v>
      </c>
      <c r="E12" s="56">
        <f t="shared" si="0"/>
        <v>67869.013333333336</v>
      </c>
      <c r="F12" s="158"/>
      <c r="G12" s="86" t="s">
        <v>108</v>
      </c>
      <c r="H12" s="88">
        <f>AI25</f>
        <v>7.5</v>
      </c>
      <c r="I12" s="56">
        <f>AH14</f>
        <v>63627.199999999997</v>
      </c>
      <c r="J12" s="88">
        <f>H8/H12</f>
        <v>1.6</v>
      </c>
      <c r="K12" s="56">
        <f t="shared" si="1"/>
        <v>101803.52</v>
      </c>
      <c r="L12" s="158"/>
      <c r="M12" s="86" t="s">
        <v>108</v>
      </c>
      <c r="N12" s="88">
        <f>AJ25</f>
        <v>7.5</v>
      </c>
      <c r="O12" s="56">
        <f>AH14</f>
        <v>63627.199999999997</v>
      </c>
      <c r="P12" s="88">
        <f>N8/N12</f>
        <v>2.0666666666666669</v>
      </c>
      <c r="Q12" s="56">
        <f t="shared" si="2"/>
        <v>131496.21333333335</v>
      </c>
      <c r="S12" s="86" t="s">
        <v>108</v>
      </c>
      <c r="T12" s="88">
        <f>AK25</f>
        <v>7.5</v>
      </c>
      <c r="U12" s="56">
        <f>AH14</f>
        <v>63627.199999999997</v>
      </c>
      <c r="V12" s="88">
        <f>T8/T12</f>
        <v>2.6666666666666665</v>
      </c>
      <c r="W12" s="56">
        <f t="shared" si="3"/>
        <v>169672.53333333333</v>
      </c>
      <c r="X12" s="158"/>
      <c r="Y12" s="86" t="s">
        <v>108</v>
      </c>
      <c r="Z12" s="88">
        <f>AL25</f>
        <v>7.5</v>
      </c>
      <c r="AA12" s="56">
        <f>$AH$14</f>
        <v>63627.199999999997</v>
      </c>
      <c r="AB12" s="88">
        <f>Z8/Z12</f>
        <v>3.3333333333333335</v>
      </c>
      <c r="AC12" s="56">
        <f>AA12*AB12</f>
        <v>212090.66666666666</v>
      </c>
      <c r="AD12" s="158"/>
      <c r="AE12" s="58"/>
      <c r="AF12" s="625"/>
      <c r="AG12" s="677"/>
      <c r="AH12" s="678" t="s">
        <v>131</v>
      </c>
      <c r="AI12" s="670"/>
      <c r="AJ12" s="670"/>
      <c r="AK12" s="670"/>
      <c r="AL12" s="103"/>
      <c r="AM12" s="627"/>
    </row>
    <row r="13" spans="1:39" s="56" customFormat="1" x14ac:dyDescent="0.2">
      <c r="A13" s="95" t="s">
        <v>132</v>
      </c>
      <c r="B13" s="722">
        <f>AH33</f>
        <v>1.1000000000000001</v>
      </c>
      <c r="C13" s="56">
        <f t="shared" ref="C13:C16" si="4">AH15</f>
        <v>45210.880000000005</v>
      </c>
      <c r="D13" s="88">
        <f>7.27*0.2</f>
        <v>1.454</v>
      </c>
      <c r="E13" s="56">
        <f t="shared" si="0"/>
        <v>65736.619520000007</v>
      </c>
      <c r="F13" s="158"/>
      <c r="G13" s="95" t="s">
        <v>132</v>
      </c>
      <c r="H13" s="722">
        <f>AI33</f>
        <v>1.1000000000000001</v>
      </c>
      <c r="I13" s="56">
        <f t="shared" ref="I13:I16" si="5">AH15</f>
        <v>45210.880000000005</v>
      </c>
      <c r="J13" s="88">
        <f>10.91*0.2</f>
        <v>2.1819999999999999</v>
      </c>
      <c r="K13" s="56">
        <f t="shared" si="1"/>
        <v>98650.14016000001</v>
      </c>
      <c r="L13" s="158"/>
      <c r="M13" s="95" t="s">
        <v>132</v>
      </c>
      <c r="N13" s="722">
        <f>AJ33</f>
        <v>1.1000000000000001</v>
      </c>
      <c r="O13" s="56">
        <f t="shared" ref="O13:O16" si="6">AH15</f>
        <v>45210.880000000005</v>
      </c>
      <c r="P13" s="88">
        <f>14.09*0.2</f>
        <v>2.8180000000000001</v>
      </c>
      <c r="Q13" s="56">
        <f t="shared" si="2"/>
        <v>127404.25984000001</v>
      </c>
      <c r="R13" s="97"/>
      <c r="S13" s="95" t="s">
        <v>132</v>
      </c>
      <c r="T13" s="722">
        <f>AK33</f>
        <v>1.1000000000000001</v>
      </c>
      <c r="U13" s="56">
        <f t="shared" ref="U13:U16" si="7">AH15</f>
        <v>45210.880000000005</v>
      </c>
      <c r="V13" s="88">
        <f>18.18*0.2</f>
        <v>3.6360000000000001</v>
      </c>
      <c r="W13" s="56">
        <f t="shared" si="3"/>
        <v>164386.75968000002</v>
      </c>
      <c r="X13" s="158"/>
      <c r="Y13" s="95" t="s">
        <v>117</v>
      </c>
      <c r="Z13" s="88">
        <f>AL33</f>
        <v>1.1000000000000001</v>
      </c>
      <c r="AA13" s="56">
        <f>$AH$16</f>
        <v>34927.359999999993</v>
      </c>
      <c r="AB13" s="88">
        <f>Z8/Z13</f>
        <v>22.727272727272727</v>
      </c>
      <c r="AC13" s="56">
        <f>AA13*AB13</f>
        <v>793803.63636363624</v>
      </c>
      <c r="AD13" s="158"/>
      <c r="AE13" s="58"/>
      <c r="AF13" s="648" t="s">
        <v>89</v>
      </c>
      <c r="AG13" s="58"/>
      <c r="AH13" s="63">
        <f>'2020 BLS Chart'!C16</f>
        <v>69600</v>
      </c>
      <c r="AI13" s="54" t="s">
        <v>96</v>
      </c>
      <c r="AJ13" s="58"/>
      <c r="AK13" s="58"/>
      <c r="AL13" s="58"/>
      <c r="AM13" s="159"/>
    </row>
    <row r="14" spans="1:39" s="97" customFormat="1" x14ac:dyDescent="0.2">
      <c r="A14" s="95" t="s">
        <v>92</v>
      </c>
      <c r="B14" s="722"/>
      <c r="C14" s="56">
        <f t="shared" si="4"/>
        <v>34927.359999999993</v>
      </c>
      <c r="D14" s="88">
        <f>7.27*0.8</f>
        <v>5.8159999999999998</v>
      </c>
      <c r="E14" s="56">
        <f t="shared" si="0"/>
        <v>203137.52575999996</v>
      </c>
      <c r="F14" s="158"/>
      <c r="G14" s="95" t="s">
        <v>92</v>
      </c>
      <c r="H14" s="722"/>
      <c r="I14" s="56">
        <f t="shared" si="5"/>
        <v>34927.359999999993</v>
      </c>
      <c r="J14" s="88">
        <f>10.91*0.8</f>
        <v>8.7279999999999998</v>
      </c>
      <c r="K14" s="56">
        <f t="shared" si="1"/>
        <v>304845.99807999993</v>
      </c>
      <c r="L14" s="158"/>
      <c r="M14" s="95" t="s">
        <v>92</v>
      </c>
      <c r="N14" s="722"/>
      <c r="O14" s="56">
        <f t="shared" si="6"/>
        <v>34927.359999999993</v>
      </c>
      <c r="P14" s="88">
        <f>14.09*0.8</f>
        <v>11.272</v>
      </c>
      <c r="Q14" s="56">
        <f t="shared" si="2"/>
        <v>393701.2019199999</v>
      </c>
      <c r="S14" s="95" t="s">
        <v>92</v>
      </c>
      <c r="T14" s="722"/>
      <c r="U14" s="56">
        <f t="shared" si="7"/>
        <v>34927.359999999993</v>
      </c>
      <c r="V14" s="88">
        <f>18.18*0.8</f>
        <v>14.544</v>
      </c>
      <c r="W14" s="56">
        <f t="shared" si="3"/>
        <v>507983.52383999992</v>
      </c>
      <c r="X14" s="158"/>
      <c r="Y14" s="95" t="s">
        <v>103</v>
      </c>
      <c r="Z14" s="88"/>
      <c r="AA14" s="56">
        <f>$AH$16</f>
        <v>34927.359999999993</v>
      </c>
      <c r="AB14" s="88">
        <f>AB13*AH10</f>
        <v>4.4580419580419575</v>
      </c>
      <c r="AC14" s="56">
        <f>AA14*AB14</f>
        <v>155707.63636363632</v>
      </c>
      <c r="AD14" s="158"/>
      <c r="AE14" s="58"/>
      <c r="AF14" s="648" t="s">
        <v>108</v>
      </c>
      <c r="AG14" s="58"/>
      <c r="AH14" s="63">
        <f>'2020 BLS Chart'!C18</f>
        <v>63627.199999999997</v>
      </c>
      <c r="AI14" s="54" t="s">
        <v>96</v>
      </c>
      <c r="AJ14" s="74"/>
      <c r="AK14" s="74"/>
      <c r="AL14" s="628"/>
      <c r="AM14" s="629"/>
    </row>
    <row r="15" spans="1:39" s="97" customFormat="1" x14ac:dyDescent="0.2">
      <c r="A15" s="95" t="s">
        <v>103</v>
      </c>
      <c r="B15" s="88"/>
      <c r="C15" s="56">
        <f t="shared" si="4"/>
        <v>34927.359999999993</v>
      </c>
      <c r="D15" s="88">
        <f>(D13+D14)*AH10</f>
        <v>1.4260384615384614</v>
      </c>
      <c r="E15" s="56">
        <f t="shared" si="0"/>
        <v>49807.758719999983</v>
      </c>
      <c r="F15" s="158"/>
      <c r="G15" s="95" t="s">
        <v>103</v>
      </c>
      <c r="H15" s="88"/>
      <c r="I15" s="56">
        <f t="shared" si="5"/>
        <v>34927.359999999993</v>
      </c>
      <c r="J15" s="88">
        <f>(J13+J14)*AH10</f>
        <v>2.1400384615384613</v>
      </c>
      <c r="K15" s="56">
        <f t="shared" si="1"/>
        <v>74745.893759999977</v>
      </c>
      <c r="L15" s="158"/>
      <c r="M15" s="95" t="s">
        <v>103</v>
      </c>
      <c r="N15" s="88"/>
      <c r="O15" s="56">
        <f t="shared" si="6"/>
        <v>34927.359999999993</v>
      </c>
      <c r="P15" s="88">
        <f>(P13+P14)*AH10</f>
        <v>2.7638076923076924</v>
      </c>
      <c r="Q15" s="56">
        <f t="shared" si="2"/>
        <v>96532.506239999988</v>
      </c>
      <c r="S15" s="95" t="s">
        <v>103</v>
      </c>
      <c r="T15" s="88"/>
      <c r="U15" s="56">
        <f t="shared" si="7"/>
        <v>34927.359999999993</v>
      </c>
      <c r="V15" s="88">
        <f>(V13+V14)*AH10</f>
        <v>3.5660769230769231</v>
      </c>
      <c r="W15" s="56">
        <f t="shared" si="3"/>
        <v>124553.65247999998</v>
      </c>
      <c r="X15" s="158"/>
      <c r="Y15" s="86" t="s">
        <v>94</v>
      </c>
      <c r="Z15" s="88"/>
      <c r="AA15" s="56">
        <f>$AH$18</f>
        <v>34927.359999999993</v>
      </c>
      <c r="AB15" s="88">
        <f>AL28</f>
        <v>2.0833333333333335</v>
      </c>
      <c r="AC15" s="56">
        <f>AA15*AB15</f>
        <v>72765.333333333328</v>
      </c>
      <c r="AD15" s="158"/>
      <c r="AE15" s="58"/>
      <c r="AF15" s="648" t="s">
        <v>132</v>
      </c>
      <c r="AG15" s="58"/>
      <c r="AH15" s="63">
        <f>'2020 BLS Chart'!C8</f>
        <v>45210.880000000005</v>
      </c>
      <c r="AI15" s="54" t="s">
        <v>96</v>
      </c>
      <c r="AJ15" s="74"/>
      <c r="AK15" s="74"/>
      <c r="AL15" s="628"/>
      <c r="AM15" s="629"/>
    </row>
    <row r="16" spans="1:39" s="56" customFormat="1" x14ac:dyDescent="0.2">
      <c r="A16" s="86" t="s">
        <v>94</v>
      </c>
      <c r="B16" s="88"/>
      <c r="C16" s="56">
        <f t="shared" si="4"/>
        <v>34927.359999999993</v>
      </c>
      <c r="D16" s="88">
        <f>AH33</f>
        <v>1.1000000000000001</v>
      </c>
      <c r="E16" s="56">
        <f t="shared" si="0"/>
        <v>38420.095999999998</v>
      </c>
      <c r="F16" s="158"/>
      <c r="G16" s="86" t="s">
        <v>94</v>
      </c>
      <c r="H16" s="88"/>
      <c r="I16" s="56">
        <f t="shared" si="5"/>
        <v>34927.359999999993</v>
      </c>
      <c r="J16" s="88">
        <f>AI28</f>
        <v>1</v>
      </c>
      <c r="K16" s="56">
        <f t="shared" si="1"/>
        <v>34927.359999999993</v>
      </c>
      <c r="L16" s="158"/>
      <c r="M16" s="86" t="s">
        <v>94</v>
      </c>
      <c r="N16" s="88"/>
      <c r="O16" s="56">
        <f t="shared" si="6"/>
        <v>34927.359999999993</v>
      </c>
      <c r="P16" s="88">
        <f>AJ28</f>
        <v>1.25</v>
      </c>
      <c r="Q16" s="56">
        <f t="shared" si="2"/>
        <v>43659.19999999999</v>
      </c>
      <c r="S16" s="86" t="s">
        <v>94</v>
      </c>
      <c r="T16" s="88"/>
      <c r="U16" s="56">
        <f t="shared" si="7"/>
        <v>34927.359999999993</v>
      </c>
      <c r="V16" s="88">
        <f>AK28</f>
        <v>1.6666666666666667</v>
      </c>
      <c r="W16" s="56">
        <f t="shared" si="3"/>
        <v>58212.266666666656</v>
      </c>
      <c r="X16" s="158"/>
      <c r="Y16" s="100" t="s">
        <v>95</v>
      </c>
      <c r="Z16" s="100"/>
      <c r="AA16" s="101"/>
      <c r="AB16" s="102">
        <f>SUM(AB11:AB15)</f>
        <v>34.751981351981357</v>
      </c>
      <c r="AC16" s="101">
        <f>SUM(AC11:AC15)</f>
        <v>1384007.2727272722</v>
      </c>
      <c r="AD16" s="158"/>
      <c r="AE16" s="63"/>
      <c r="AF16" s="671" t="s">
        <v>92</v>
      </c>
      <c r="AG16" s="628"/>
      <c r="AH16" s="63">
        <f>'2020 BLS Chart'!C6</f>
        <v>34927.359999999993</v>
      </c>
      <c r="AI16" s="54" t="s">
        <v>96</v>
      </c>
      <c r="AJ16" s="74"/>
      <c r="AK16" s="74"/>
      <c r="AL16" s="628"/>
      <c r="AM16" s="629"/>
    </row>
    <row r="17" spans="1:39" s="73" customFormat="1" x14ac:dyDescent="0.2">
      <c r="A17" s="100" t="s">
        <v>95</v>
      </c>
      <c r="B17" s="100"/>
      <c r="C17" s="101"/>
      <c r="D17" s="102">
        <f>SUM(D11:D16)</f>
        <v>13.012705128205127</v>
      </c>
      <c r="E17" s="101">
        <f>SUM(E11:E16)</f>
        <v>574611.01333333331</v>
      </c>
      <c r="F17" s="158"/>
      <c r="G17" s="100" t="s">
        <v>95</v>
      </c>
      <c r="H17" s="100"/>
      <c r="I17" s="101"/>
      <c r="J17" s="102">
        <f>SUM(J11:J16)</f>
        <v>17.800038461538463</v>
      </c>
      <c r="K17" s="101">
        <f>SUM(K11:K16)</f>
        <v>764612.91200000001</v>
      </c>
      <c r="L17" s="158"/>
      <c r="M17" s="100" t="s">
        <v>95</v>
      </c>
      <c r="N17" s="100"/>
      <c r="O17" s="101"/>
      <c r="P17" s="102">
        <f>SUM(P11:P16)</f>
        <v>22.320474358974359</v>
      </c>
      <c r="Q17" s="101">
        <f>SUM(Q11:Q16)</f>
        <v>942433.38133333321</v>
      </c>
      <c r="S17" s="100" t="s">
        <v>95</v>
      </c>
      <c r="T17" s="100"/>
      <c r="U17" s="101"/>
      <c r="V17" s="102">
        <f>SUM(V11:V16)</f>
        <v>28.229410256410258</v>
      </c>
      <c r="W17" s="101">
        <f>SUM(W11:W16)</f>
        <v>1174448.7359999998</v>
      </c>
      <c r="X17" s="158"/>
      <c r="Y17" s="74"/>
      <c r="Z17" s="74"/>
      <c r="AA17" s="63"/>
      <c r="AB17" s="104"/>
      <c r="AC17" s="63"/>
      <c r="AD17" s="158"/>
      <c r="AE17" s="63"/>
      <c r="AF17" s="671" t="s">
        <v>103</v>
      </c>
      <c r="AG17" s="628"/>
      <c r="AH17" s="63">
        <f>'2020 BLS Chart'!C6</f>
        <v>34927.359999999993</v>
      </c>
      <c r="AI17" s="54" t="s">
        <v>96</v>
      </c>
      <c r="AJ17" s="74"/>
      <c r="AK17" s="74"/>
      <c r="AL17" s="628"/>
      <c r="AM17" s="629"/>
    </row>
    <row r="18" spans="1:39" s="73" customFormat="1" x14ac:dyDescent="0.2">
      <c r="A18" s="73" t="s">
        <v>98</v>
      </c>
      <c r="C18" s="62"/>
      <c r="D18" s="61"/>
      <c r="E18" s="62"/>
      <c r="F18" s="158"/>
      <c r="G18" s="73" t="s">
        <v>98</v>
      </c>
      <c r="I18" s="62"/>
      <c r="J18" s="61"/>
      <c r="K18" s="62"/>
      <c r="L18" s="158"/>
      <c r="M18" s="73" t="s">
        <v>98</v>
      </c>
      <c r="O18" s="62"/>
      <c r="P18" s="61"/>
      <c r="Q18" s="62"/>
      <c r="S18" s="73" t="s">
        <v>98</v>
      </c>
      <c r="U18" s="62"/>
      <c r="V18" s="61"/>
      <c r="W18" s="62"/>
      <c r="X18" s="158"/>
      <c r="Y18" s="73" t="s">
        <v>98</v>
      </c>
      <c r="AA18" s="62"/>
      <c r="AB18" s="61" t="s">
        <v>99</v>
      </c>
      <c r="AC18" s="62"/>
      <c r="AD18" s="158"/>
      <c r="AE18" s="63"/>
      <c r="AF18" s="648" t="s">
        <v>94</v>
      </c>
      <c r="AG18" s="58"/>
      <c r="AH18" s="63">
        <f>'2020 BLS Chart'!C6</f>
        <v>34927.359999999993</v>
      </c>
      <c r="AI18" s="54" t="s">
        <v>96</v>
      </c>
      <c r="AJ18" s="74"/>
      <c r="AK18" s="74"/>
      <c r="AL18" s="58"/>
      <c r="AM18" s="159"/>
    </row>
    <row r="19" spans="1:39" s="73" customFormat="1" x14ac:dyDescent="0.2">
      <c r="A19" s="56" t="str">
        <f>AF44</f>
        <v>PFMLA Trust Contribution</v>
      </c>
      <c r="B19" s="59"/>
      <c r="C19" s="105">
        <f>'[9]Salary Bench Chart'!C32</f>
        <v>3.7000000000000002E-3</v>
      </c>
      <c r="D19" s="57"/>
      <c r="E19" s="56">
        <f>E17*C19</f>
        <v>2126.0607493333332</v>
      </c>
      <c r="F19" s="158"/>
      <c r="G19" s="56" t="str">
        <f>AF44</f>
        <v>PFMLA Trust Contribution</v>
      </c>
      <c r="H19" s="59"/>
      <c r="I19" s="105">
        <f>'[9]Salary Bench Chart'!C32</f>
        <v>3.7000000000000002E-3</v>
      </c>
      <c r="J19" s="57"/>
      <c r="K19" s="56"/>
      <c r="L19" s="158"/>
      <c r="M19" s="56" t="str">
        <f>AF44</f>
        <v>PFMLA Trust Contribution</v>
      </c>
      <c r="N19" s="59"/>
      <c r="O19" s="105">
        <f>'[9]Salary Bench Chart'!C32</f>
        <v>3.7000000000000002E-3</v>
      </c>
      <c r="P19" s="57"/>
      <c r="Q19" s="56"/>
      <c r="R19" s="59"/>
      <c r="S19" s="56" t="str">
        <f>AF44</f>
        <v>PFMLA Trust Contribution</v>
      </c>
      <c r="T19" s="59"/>
      <c r="U19" s="105">
        <f>'[9]Salary Bench Chart'!C32</f>
        <v>3.7000000000000002E-3</v>
      </c>
      <c r="V19" s="57"/>
      <c r="W19" s="56"/>
      <c r="X19" s="158"/>
      <c r="Y19" s="59" t="s">
        <v>101</v>
      </c>
      <c r="Z19" s="59"/>
      <c r="AA19" s="106">
        <f>$AH$36</f>
        <v>0.224</v>
      </c>
      <c r="AB19" s="57"/>
      <c r="AC19" s="56">
        <f>AA19*AC16</f>
        <v>310017.62909090897</v>
      </c>
      <c r="AD19" s="158"/>
      <c r="AE19" s="58"/>
      <c r="AF19" s="637"/>
      <c r="AG19" s="58"/>
      <c r="AH19" s="54"/>
      <c r="AI19" s="54"/>
      <c r="AJ19" s="54"/>
      <c r="AK19" s="691"/>
      <c r="AL19" s="74"/>
      <c r="AM19" s="136"/>
    </row>
    <row r="20" spans="1:39" s="73" customFormat="1" x14ac:dyDescent="0.2">
      <c r="A20" s="59" t="s">
        <v>101</v>
      </c>
      <c r="B20" s="59"/>
      <c r="C20" s="106">
        <f>'[9]Salary Bench Chart'!C30</f>
        <v>0.224</v>
      </c>
      <c r="D20" s="57"/>
      <c r="E20" s="56">
        <f>C20*E17</f>
        <v>128712.86698666666</v>
      </c>
      <c r="F20" s="158"/>
      <c r="G20" s="59" t="s">
        <v>101</v>
      </c>
      <c r="H20" s="59"/>
      <c r="I20" s="106">
        <f>'[9]Salary Bench Chart'!C30</f>
        <v>0.224</v>
      </c>
      <c r="J20" s="57"/>
      <c r="K20" s="56">
        <f>I20*K17</f>
        <v>171273.292288</v>
      </c>
      <c r="L20" s="158"/>
      <c r="M20" s="59" t="s">
        <v>101</v>
      </c>
      <c r="N20" s="59"/>
      <c r="O20" s="106">
        <f>'[9]Salary Bench Chart'!C30</f>
        <v>0.224</v>
      </c>
      <c r="P20" s="57"/>
      <c r="Q20" s="56">
        <f>O20*Q17</f>
        <v>211105.07741866665</v>
      </c>
      <c r="R20" s="59"/>
      <c r="S20" s="59" t="s">
        <v>101</v>
      </c>
      <c r="T20" s="59"/>
      <c r="U20" s="106">
        <f>'[9]Salary Bench Chart'!C30</f>
        <v>0.224</v>
      </c>
      <c r="V20" s="57"/>
      <c r="W20" s="56">
        <f>U20*W17</f>
        <v>263076.51686399995</v>
      </c>
      <c r="X20" s="158"/>
      <c r="Y20" s="59"/>
      <c r="Z20" s="59"/>
      <c r="AA20" s="106"/>
      <c r="AB20" s="57"/>
      <c r="AC20" s="56"/>
      <c r="AD20" s="158"/>
      <c r="AE20" s="58"/>
      <c r="AF20" s="637"/>
      <c r="AG20" s="58"/>
      <c r="AH20" s="54"/>
      <c r="AI20" s="54"/>
      <c r="AJ20" s="54"/>
      <c r="AK20" s="691"/>
      <c r="AL20" s="74"/>
      <c r="AM20" s="136"/>
    </row>
    <row r="21" spans="1:39" s="59" customFormat="1" x14ac:dyDescent="0.2">
      <c r="A21" s="107" t="s">
        <v>102</v>
      </c>
      <c r="B21" s="107"/>
      <c r="C21" s="108"/>
      <c r="D21" s="109"/>
      <c r="E21" s="101">
        <f>E20+E17+E19</f>
        <v>705449.94106933335</v>
      </c>
      <c r="F21" s="158"/>
      <c r="G21" s="107" t="s">
        <v>102</v>
      </c>
      <c r="H21" s="107"/>
      <c r="I21" s="108"/>
      <c r="J21" s="109">
        <f>K21/K7</f>
        <v>213.67264938082192</v>
      </c>
      <c r="K21" s="101">
        <f>K20+K17</f>
        <v>935886.20428800001</v>
      </c>
      <c r="L21" s="158"/>
      <c r="M21" s="107" t="s">
        <v>102</v>
      </c>
      <c r="N21" s="107"/>
      <c r="O21" s="108"/>
      <c r="P21" s="109">
        <f>Q21/Q7</f>
        <v>203.89544122881128</v>
      </c>
      <c r="Q21" s="101">
        <f>Q20+Q17</f>
        <v>1153538.4587519998</v>
      </c>
      <c r="S21" s="107" t="s">
        <v>102</v>
      </c>
      <c r="T21" s="107"/>
      <c r="U21" s="108"/>
      <c r="V21" s="109">
        <f>W21/W7</f>
        <v>196.92126751561639</v>
      </c>
      <c r="W21" s="101">
        <f>W20+W17</f>
        <v>1437525.2528639997</v>
      </c>
      <c r="X21" s="158"/>
      <c r="Y21" s="107" t="s">
        <v>102</v>
      </c>
      <c r="Z21" s="107"/>
      <c r="AA21" s="108"/>
      <c r="AB21" s="109">
        <f>AC21/AC7</f>
        <v>185.64656458281436</v>
      </c>
      <c r="AC21" s="101">
        <f>AC19+AC16</f>
        <v>1694024.9018181812</v>
      </c>
      <c r="AD21" s="158"/>
      <c r="AE21" s="58"/>
      <c r="AF21" s="637"/>
      <c r="AG21" s="58"/>
      <c r="AH21" s="166">
        <v>8</v>
      </c>
      <c r="AI21" s="166">
        <v>12</v>
      </c>
      <c r="AJ21" s="166">
        <v>15.5</v>
      </c>
      <c r="AK21" s="166">
        <v>20</v>
      </c>
      <c r="AL21" s="167">
        <v>25</v>
      </c>
      <c r="AM21" s="168">
        <v>30</v>
      </c>
    </row>
    <row r="22" spans="1:39" s="59" customFormat="1" x14ac:dyDescent="0.2">
      <c r="C22" s="56"/>
      <c r="D22" s="61" t="s">
        <v>99</v>
      </c>
      <c r="E22" s="56"/>
      <c r="F22" s="158"/>
      <c r="I22" s="56"/>
      <c r="J22" s="61" t="s">
        <v>99</v>
      </c>
      <c r="K22" s="56"/>
      <c r="L22" s="158"/>
      <c r="O22" s="56"/>
      <c r="P22" s="61" t="s">
        <v>99</v>
      </c>
      <c r="Q22" s="56"/>
      <c r="U22" s="56"/>
      <c r="V22" s="61" t="s">
        <v>99</v>
      </c>
      <c r="W22" s="56"/>
      <c r="X22" s="158"/>
      <c r="AA22" s="56"/>
      <c r="AB22" s="57"/>
      <c r="AC22" s="56"/>
      <c r="AD22" s="158"/>
      <c r="AE22" s="58"/>
      <c r="AF22" s="640"/>
      <c r="AG22" s="641" t="s">
        <v>105</v>
      </c>
      <c r="AH22" s="723" t="s">
        <v>86</v>
      </c>
      <c r="AI22" s="723"/>
      <c r="AJ22" s="723"/>
      <c r="AK22" s="723"/>
      <c r="AL22" s="723"/>
      <c r="AM22" s="724"/>
    </row>
    <row r="23" spans="1:39" s="59" customFormat="1" x14ac:dyDescent="0.2">
      <c r="A23" s="59" t="s">
        <v>104</v>
      </c>
      <c r="C23" s="56"/>
      <c r="D23" s="88">
        <f>$AH$38</f>
        <v>42.238306545565408</v>
      </c>
      <c r="E23" s="56">
        <f>D23*E$7</f>
        <v>123335.85511305099</v>
      </c>
      <c r="F23" s="158"/>
      <c r="G23" s="59" t="s">
        <v>104</v>
      </c>
      <c r="I23" s="56"/>
      <c r="J23" s="88">
        <f>$AH$38</f>
        <v>42.238306545565408</v>
      </c>
      <c r="K23" s="56">
        <f>J23*K$7</f>
        <v>185003.7826695765</v>
      </c>
      <c r="L23" s="158"/>
      <c r="M23" s="59" t="s">
        <v>104</v>
      </c>
      <c r="O23" s="56"/>
      <c r="P23" s="88">
        <f>$AH$38</f>
        <v>42.238306545565408</v>
      </c>
      <c r="Q23" s="56">
        <f>P23*Q$7</f>
        <v>238963.21928153629</v>
      </c>
      <c r="S23" s="59" t="s">
        <v>104</v>
      </c>
      <c r="U23" s="56"/>
      <c r="V23" s="88">
        <f>$AH$38</f>
        <v>42.238306545565408</v>
      </c>
      <c r="W23" s="56">
        <f>V23*W$7</f>
        <v>308339.63778262748</v>
      </c>
      <c r="X23" s="158"/>
      <c r="Y23" s="59" t="s">
        <v>104</v>
      </c>
      <c r="AA23" s="56"/>
      <c r="AB23" s="88">
        <f>$AH$38</f>
        <v>42.238306545565408</v>
      </c>
      <c r="AC23" s="56">
        <f>AB23*AC$7</f>
        <v>385424.54722828435</v>
      </c>
      <c r="AD23" s="158"/>
      <c r="AE23" s="58"/>
      <c r="AF23" s="648" t="s">
        <v>89</v>
      </c>
      <c r="AG23" s="58"/>
      <c r="AH23" s="112">
        <v>2.15</v>
      </c>
      <c r="AI23" s="112">
        <v>2.15</v>
      </c>
      <c r="AJ23" s="112">
        <v>2.15</v>
      </c>
      <c r="AK23" s="112">
        <v>2.15</v>
      </c>
      <c r="AL23" s="112">
        <v>2.15</v>
      </c>
      <c r="AM23" s="160">
        <v>2.15</v>
      </c>
    </row>
    <row r="24" spans="1:39" s="59" customFormat="1" x14ac:dyDescent="0.2">
      <c r="C24" s="56"/>
      <c r="D24" s="88"/>
      <c r="E24" s="56"/>
      <c r="F24" s="158"/>
      <c r="I24" s="56"/>
      <c r="J24" s="88"/>
      <c r="K24" s="56"/>
      <c r="L24" s="158"/>
      <c r="O24" s="56"/>
      <c r="P24" s="88"/>
      <c r="Q24" s="56"/>
      <c r="U24" s="56"/>
      <c r="V24" s="88"/>
      <c r="W24" s="56"/>
      <c r="X24" s="158"/>
      <c r="AA24" s="56"/>
      <c r="AB24" s="88"/>
      <c r="AC24" s="56"/>
      <c r="AD24" s="158"/>
      <c r="AE24" s="159"/>
      <c r="AF24" s="129"/>
      <c r="AG24" s="54"/>
      <c r="AH24" s="719" t="s">
        <v>115</v>
      </c>
      <c r="AI24" s="719"/>
      <c r="AJ24" s="719"/>
      <c r="AK24" s="719"/>
      <c r="AL24" s="719"/>
      <c r="AM24" s="720"/>
    </row>
    <row r="25" spans="1:39" s="59" customFormat="1" x14ac:dyDescent="0.2">
      <c r="A25" s="59" t="s">
        <v>107</v>
      </c>
      <c r="C25" s="56"/>
      <c r="D25" s="110">
        <f>$AH42</f>
        <v>18.364580498704061</v>
      </c>
      <c r="E25" s="56">
        <f>D25*E$7</f>
        <v>53624.575056215857</v>
      </c>
      <c r="F25" s="158"/>
      <c r="G25" s="59" t="s">
        <v>107</v>
      </c>
      <c r="I25" s="56"/>
      <c r="J25" s="110">
        <f>$AH42</f>
        <v>18.364580498704061</v>
      </c>
      <c r="K25" s="56">
        <f>J25*K$7</f>
        <v>80436.862584323782</v>
      </c>
      <c r="L25" s="158"/>
      <c r="M25" s="59" t="s">
        <v>107</v>
      </c>
      <c r="O25" s="56"/>
      <c r="P25" s="110">
        <f>$AH42</f>
        <v>18.364580498704061</v>
      </c>
      <c r="Q25" s="56">
        <f>P25*Q$7</f>
        <v>103897.61417141823</v>
      </c>
      <c r="S25" s="59" t="s">
        <v>107</v>
      </c>
      <c r="U25" s="56"/>
      <c r="V25" s="110">
        <f>$AH42</f>
        <v>18.364580498704061</v>
      </c>
      <c r="W25" s="56">
        <f>V25*W$7</f>
        <v>134061.43764053966</v>
      </c>
      <c r="X25" s="158"/>
      <c r="Y25" s="59" t="s">
        <v>107</v>
      </c>
      <c r="AA25" s="56"/>
      <c r="AB25" s="88">
        <f>$AH42</f>
        <v>18.364580498704061</v>
      </c>
      <c r="AC25" s="56">
        <f>AB25*AC$7</f>
        <v>167576.79705067456</v>
      </c>
      <c r="AD25" s="158"/>
      <c r="AE25" s="58"/>
      <c r="AF25" s="648" t="s">
        <v>108</v>
      </c>
      <c r="AG25" s="58"/>
      <c r="AH25" s="112">
        <v>7.5</v>
      </c>
      <c r="AI25" s="112">
        <v>7.5</v>
      </c>
      <c r="AJ25" s="112">
        <v>7.5</v>
      </c>
      <c r="AK25" s="112">
        <v>7.5</v>
      </c>
      <c r="AL25" s="112">
        <v>7.5</v>
      </c>
      <c r="AM25" s="160">
        <v>7.5</v>
      </c>
    </row>
    <row r="26" spans="1:39" s="59" customFormat="1" x14ac:dyDescent="0.2">
      <c r="C26" s="56"/>
      <c r="D26" s="111"/>
      <c r="E26" s="56"/>
      <c r="F26" s="158"/>
      <c r="I26" s="56"/>
      <c r="J26" s="111"/>
      <c r="K26" s="56"/>
      <c r="L26" s="158"/>
      <c r="O26" s="56"/>
      <c r="P26" s="111"/>
      <c r="Q26" s="56"/>
      <c r="U26" s="56"/>
      <c r="V26" s="111"/>
      <c r="W26" s="56"/>
      <c r="X26" s="158"/>
      <c r="AA26" s="56"/>
      <c r="AB26" s="102">
        <f>SUM(AB23:AB25)</f>
        <v>60.602887044269465</v>
      </c>
      <c r="AC26" s="56"/>
      <c r="AD26" s="158"/>
      <c r="AE26" s="58"/>
      <c r="AF26" s="648" t="s">
        <v>94</v>
      </c>
      <c r="AG26" s="58"/>
      <c r="AH26" s="719" t="s">
        <v>86</v>
      </c>
      <c r="AI26" s="719"/>
      <c r="AJ26" s="719"/>
      <c r="AK26" s="719"/>
      <c r="AL26" s="719"/>
      <c r="AM26" s="720"/>
    </row>
    <row r="27" spans="1:39" s="59" customFormat="1" x14ac:dyDescent="0.2">
      <c r="A27" s="100" t="s">
        <v>109</v>
      </c>
      <c r="B27" s="100"/>
      <c r="C27" s="101"/>
      <c r="D27" s="102"/>
      <c r="E27" s="101">
        <f>SUM(E21:E25)</f>
        <v>882410.37123860023</v>
      </c>
      <c r="F27" s="158"/>
      <c r="G27" s="100" t="s">
        <v>109</v>
      </c>
      <c r="H27" s="100"/>
      <c r="I27" s="101"/>
      <c r="J27" s="102"/>
      <c r="K27" s="101">
        <f>SUM(K21:K25)</f>
        <v>1201326.8495419004</v>
      </c>
      <c r="L27" s="158"/>
      <c r="M27" s="100" t="s">
        <v>109</v>
      </c>
      <c r="N27" s="100"/>
      <c r="O27" s="101"/>
      <c r="P27" s="102"/>
      <c r="Q27" s="101">
        <f>SUM(Q21:Q25)</f>
        <v>1496399.2922049542</v>
      </c>
      <c r="S27" s="100" t="s">
        <v>109</v>
      </c>
      <c r="T27" s="100"/>
      <c r="U27" s="101"/>
      <c r="V27" s="102"/>
      <c r="W27" s="101">
        <f>SUM(W21:W25)</f>
        <v>1879926.3282871668</v>
      </c>
      <c r="X27" s="158"/>
      <c r="Y27" s="100" t="s">
        <v>109</v>
      </c>
      <c r="Z27" s="100"/>
      <c r="AA27" s="101"/>
      <c r="AB27" s="102"/>
      <c r="AC27" s="101">
        <f>SUM(AC21:AC25)</f>
        <v>2247026.24609714</v>
      </c>
      <c r="AD27" s="158"/>
      <c r="AE27" s="63"/>
      <c r="AF27" s="637" t="s">
        <v>111</v>
      </c>
      <c r="AG27" s="58"/>
      <c r="AH27" s="161">
        <f>(0.75*7)/12</f>
        <v>0.4375</v>
      </c>
      <c r="AI27" s="161">
        <f>(0.75*12)/12</f>
        <v>0.75</v>
      </c>
      <c r="AJ27" s="161">
        <f>(0.75*15)/12</f>
        <v>0.9375</v>
      </c>
      <c r="AK27" s="161">
        <f>(0.75*20)/12</f>
        <v>1.25</v>
      </c>
      <c r="AL27" s="161">
        <f>(0.75*25)/12</f>
        <v>1.5625</v>
      </c>
      <c r="AM27" s="162">
        <f>(0.75*30)/12</f>
        <v>1.875</v>
      </c>
    </row>
    <row r="28" spans="1:39" s="59" customFormat="1" x14ac:dyDescent="0.2">
      <c r="A28" s="59" t="s">
        <v>110</v>
      </c>
      <c r="C28" s="106">
        <f>'[9]Salary Bench Chart'!C33</f>
        <v>0.12</v>
      </c>
      <c r="D28" s="88"/>
      <c r="E28" s="56">
        <f>C28*E27</f>
        <v>105889.24454863202</v>
      </c>
      <c r="F28" s="158"/>
      <c r="G28" s="59" t="s">
        <v>110</v>
      </c>
      <c r="I28" s="106">
        <f>'[9]Salary Bench Chart'!C33</f>
        <v>0.12</v>
      </c>
      <c r="J28" s="88"/>
      <c r="K28" s="56">
        <f>I28*K27</f>
        <v>144159.22194502805</v>
      </c>
      <c r="L28" s="158"/>
      <c r="M28" s="59" t="s">
        <v>110</v>
      </c>
      <c r="O28" s="106">
        <f>'[9]Salary Bench Chart'!C33</f>
        <v>0.12</v>
      </c>
      <c r="P28" s="88"/>
      <c r="Q28" s="56">
        <f>O28*Q27</f>
        <v>179567.9150645945</v>
      </c>
      <c r="S28" s="59" t="s">
        <v>110</v>
      </c>
      <c r="U28" s="106">
        <f>'[9]Salary Bench Chart'!C33</f>
        <v>0.12</v>
      </c>
      <c r="V28" s="88"/>
      <c r="W28" s="56">
        <f>U28*W27</f>
        <v>225591.15939446</v>
      </c>
      <c r="X28" s="158"/>
      <c r="Y28" s="59" t="s">
        <v>110</v>
      </c>
      <c r="AA28" s="106">
        <f>$AH$45</f>
        <v>0.12</v>
      </c>
      <c r="AB28" s="88"/>
      <c r="AC28" s="56">
        <f>AA28*AC27</f>
        <v>269643.14953165682</v>
      </c>
      <c r="AD28" s="158"/>
      <c r="AE28" s="58"/>
      <c r="AF28" s="637" t="s">
        <v>113</v>
      </c>
      <c r="AG28" s="58"/>
      <c r="AH28" s="161">
        <f>(1*7)/12</f>
        <v>0.58333333333333337</v>
      </c>
      <c r="AI28" s="161">
        <f>(1*12)/12</f>
        <v>1</v>
      </c>
      <c r="AJ28" s="161">
        <f>(1*15)/12</f>
        <v>1.25</v>
      </c>
      <c r="AK28" s="161">
        <f>(1*20)/12</f>
        <v>1.6666666666666667</v>
      </c>
      <c r="AL28" s="161">
        <f>(1*25)/12</f>
        <v>2.0833333333333335</v>
      </c>
      <c r="AM28" s="162">
        <f>(1*30)/12</f>
        <v>2.5</v>
      </c>
    </row>
    <row r="29" spans="1:39" s="59" customFormat="1" ht="15" thickBot="1" x14ac:dyDescent="0.25">
      <c r="A29" s="113" t="s">
        <v>112</v>
      </c>
      <c r="B29" s="113"/>
      <c r="C29" s="114"/>
      <c r="D29" s="115"/>
      <c r="E29" s="114">
        <f>SUM(E27:E28)</f>
        <v>988299.61578723229</v>
      </c>
      <c r="F29" s="158"/>
      <c r="G29" s="113" t="s">
        <v>112</v>
      </c>
      <c r="H29" s="113"/>
      <c r="I29" s="114"/>
      <c r="J29" s="115"/>
      <c r="K29" s="114">
        <f>SUM(K27:K28)</f>
        <v>1345486.0714869285</v>
      </c>
      <c r="L29" s="158"/>
      <c r="M29" s="113" t="s">
        <v>112</v>
      </c>
      <c r="N29" s="113"/>
      <c r="O29" s="114"/>
      <c r="P29" s="115"/>
      <c r="Q29" s="114">
        <f>SUM(Q27:Q28)</f>
        <v>1675967.2072695487</v>
      </c>
      <c r="R29" s="73"/>
      <c r="S29" s="113" t="s">
        <v>112</v>
      </c>
      <c r="T29" s="113"/>
      <c r="U29" s="114"/>
      <c r="V29" s="115"/>
      <c r="W29" s="114">
        <f>SUM(W27:W28)</f>
        <v>2105517.4876816268</v>
      </c>
      <c r="X29" s="158"/>
      <c r="Y29" s="56" t="e">
        <f>#REF!</f>
        <v>#REF!</v>
      </c>
      <c r="AA29" s="106" t="e">
        <f>#REF!</f>
        <v>#REF!</v>
      </c>
      <c r="AB29" s="88"/>
      <c r="AC29" s="56" t="e">
        <f>AC16*AA29</f>
        <v>#REF!</v>
      </c>
      <c r="AD29" s="158"/>
      <c r="AE29" s="58"/>
      <c r="AF29" s="637"/>
      <c r="AG29" s="58"/>
      <c r="AH29" s="112"/>
      <c r="AI29" s="74"/>
      <c r="AJ29" s="74"/>
      <c r="AK29" s="74"/>
      <c r="AL29" s="54"/>
      <c r="AM29" s="163"/>
    </row>
    <row r="30" spans="1:39" s="59" customFormat="1" ht="15.75" thickTop="1" thickBot="1" x14ac:dyDescent="0.25">
      <c r="A30" s="73"/>
      <c r="B30" s="73"/>
      <c r="C30" s="62"/>
      <c r="D30" s="116"/>
      <c r="E30" s="62"/>
      <c r="F30" s="158"/>
      <c r="G30" s="73"/>
      <c r="H30" s="73"/>
      <c r="I30" s="62"/>
      <c r="J30" s="116"/>
      <c r="K30" s="62"/>
      <c r="L30" s="158"/>
      <c r="M30" s="73"/>
      <c r="N30" s="73"/>
      <c r="O30" s="62"/>
      <c r="P30" s="116"/>
      <c r="Q30" s="62"/>
      <c r="R30" s="73"/>
      <c r="S30" s="73"/>
      <c r="T30" s="73"/>
      <c r="U30" s="62"/>
      <c r="V30" s="116"/>
      <c r="W30" s="62"/>
      <c r="X30" s="158"/>
      <c r="Y30" s="113" t="s">
        <v>112</v>
      </c>
      <c r="Z30" s="113"/>
      <c r="AA30" s="114"/>
      <c r="AB30" s="115"/>
      <c r="AC30" s="114" t="e">
        <f>SUM(AC27:AC29)</f>
        <v>#REF!</v>
      </c>
      <c r="AD30" s="158"/>
      <c r="AE30" s="63"/>
      <c r="AF30" s="637"/>
      <c r="AG30" s="58"/>
      <c r="AH30" s="717" t="s">
        <v>115</v>
      </c>
      <c r="AI30" s="717"/>
      <c r="AJ30" s="717"/>
      <c r="AK30" s="717"/>
      <c r="AL30" s="717"/>
      <c r="AM30" s="718"/>
    </row>
    <row r="31" spans="1:39" s="73" customFormat="1" ht="15" customHeight="1" thickTop="1" x14ac:dyDescent="0.2">
      <c r="A31" s="117" t="s">
        <v>114</v>
      </c>
      <c r="B31" s="117"/>
      <c r="C31" s="118"/>
      <c r="D31" s="118"/>
      <c r="E31" s="118">
        <f>E29/E7</f>
        <v>338.45877252987407</v>
      </c>
      <c r="F31" s="158"/>
      <c r="G31" s="117" t="s">
        <v>114</v>
      </c>
      <c r="H31" s="117"/>
      <c r="I31" s="118"/>
      <c r="J31" s="118"/>
      <c r="K31" s="118">
        <f>K29/K7</f>
        <v>307.18860079610238</v>
      </c>
      <c r="L31" s="158"/>
      <c r="M31" s="117" t="s">
        <v>114</v>
      </c>
      <c r="N31" s="117"/>
      <c r="O31" s="118"/>
      <c r="P31" s="118"/>
      <c r="Q31" s="118">
        <f>Q29/Q7</f>
        <v>296.23812766585041</v>
      </c>
      <c r="R31" s="120"/>
      <c r="S31" s="117" t="s">
        <v>114</v>
      </c>
      <c r="T31" s="117"/>
      <c r="U31" s="118"/>
      <c r="V31" s="118"/>
      <c r="W31" s="118">
        <f>W29/W7</f>
        <v>288.42705310707214</v>
      </c>
      <c r="X31" s="158"/>
      <c r="AA31" s="62"/>
      <c r="AB31" s="116"/>
      <c r="AC31" s="62"/>
      <c r="AD31" s="158"/>
      <c r="AE31" s="63"/>
      <c r="AF31" s="637"/>
      <c r="AG31" s="58"/>
      <c r="AH31" s="164"/>
      <c r="AI31" s="164"/>
      <c r="AJ31" s="164"/>
      <c r="AK31" s="164"/>
      <c r="AL31" s="164"/>
      <c r="AM31" s="165"/>
    </row>
    <row r="32" spans="1:39" s="73" customFormat="1" ht="13.9" customHeight="1" thickBot="1" x14ac:dyDescent="0.25">
      <c r="A32" s="117" t="s">
        <v>64</v>
      </c>
      <c r="B32" s="117"/>
      <c r="C32" s="121">
        <f>'[9]Salary Bench Chart'!C31</f>
        <v>1.0633805350099574E-2</v>
      </c>
      <c r="D32" s="118"/>
      <c r="E32" s="118"/>
      <c r="F32" s="158"/>
      <c r="G32" s="117" t="s">
        <v>64</v>
      </c>
      <c r="H32" s="117"/>
      <c r="I32" s="121">
        <f>'[9]Salary Bench Chart'!C31</f>
        <v>1.0633805350099574E-2</v>
      </c>
      <c r="J32" s="118"/>
      <c r="K32" s="118"/>
      <c r="L32" s="158"/>
      <c r="M32" s="117" t="s">
        <v>64</v>
      </c>
      <c r="N32" s="117"/>
      <c r="O32" s="121">
        <f>'[9]Salary Bench Chart'!C31</f>
        <v>1.0633805350099574E-2</v>
      </c>
      <c r="P32" s="118"/>
      <c r="Q32" s="118"/>
      <c r="R32" s="120"/>
      <c r="S32" s="117" t="s">
        <v>64</v>
      </c>
      <c r="T32" s="117"/>
      <c r="U32" s="121">
        <f>'[9]Salary Bench Chart'!C31</f>
        <v>1.0633805350099574E-2</v>
      </c>
      <c r="V32" s="118"/>
      <c r="W32" s="118"/>
      <c r="X32" s="158"/>
      <c r="Y32" s="117" t="s">
        <v>114</v>
      </c>
      <c r="Z32" s="117"/>
      <c r="AA32" s="118"/>
      <c r="AB32" s="118"/>
      <c r="AC32" s="118" t="e">
        <f>AC30/AC7</f>
        <v>#REF!</v>
      </c>
      <c r="AD32" s="158"/>
      <c r="AE32" s="119"/>
      <c r="AF32" s="637"/>
      <c r="AG32" s="641" t="s">
        <v>105</v>
      </c>
      <c r="AH32" s="166">
        <v>8</v>
      </c>
      <c r="AI32" s="166">
        <v>12</v>
      </c>
      <c r="AJ32" s="166">
        <v>15.5</v>
      </c>
      <c r="AK32" s="166">
        <v>20</v>
      </c>
      <c r="AL32" s="167">
        <v>25</v>
      </c>
      <c r="AM32" s="168">
        <v>30</v>
      </c>
    </row>
    <row r="33" spans="1:39" s="120" customFormat="1" ht="15" thickBot="1" x14ac:dyDescent="0.25">
      <c r="A33" s="122" t="s">
        <v>116</v>
      </c>
      <c r="B33" s="123"/>
      <c r="C33" s="124">
        <v>0.9</v>
      </c>
      <c r="D33" s="103"/>
      <c r="E33" s="125">
        <f t="shared" ref="E33:E41" si="8">E$29*(C$32+1)/(E$7*C33)</f>
        <v>380.06430803998933</v>
      </c>
      <c r="F33" s="158"/>
      <c r="G33" s="122" t="s">
        <v>116</v>
      </c>
      <c r="H33" s="123"/>
      <c r="I33" s="124">
        <v>0.9</v>
      </c>
      <c r="J33" s="103"/>
      <c r="K33" s="125">
        <f t="shared" ref="K33:K41" si="9">K$29*(I$32+1)/(K$7*I33)</f>
        <v>344.95020509193068</v>
      </c>
      <c r="L33" s="158"/>
      <c r="M33" s="122" t="s">
        <v>116</v>
      </c>
      <c r="N33" s="123"/>
      <c r="O33" s="124">
        <v>0.9</v>
      </c>
      <c r="P33" s="103"/>
      <c r="Q33" s="125">
        <f t="shared" ref="Q33:Q41" si="10">Q$29*(O$32+1)/(Q$7*O33)</f>
        <v>332.65362916969667</v>
      </c>
      <c r="R33" s="59"/>
      <c r="S33" s="122" t="s">
        <v>116</v>
      </c>
      <c r="T33" s="123"/>
      <c r="U33" s="124">
        <v>0.9</v>
      </c>
      <c r="V33" s="103"/>
      <c r="W33" s="125">
        <f t="shared" ref="W33:W41" si="11">W$29*(U$32+1)/(W$7*U33)</f>
        <v>323.88236694168398</v>
      </c>
      <c r="X33" s="158"/>
      <c r="Y33" s="117" t="s">
        <v>64</v>
      </c>
      <c r="Z33" s="117"/>
      <c r="AA33" s="121">
        <f>AH47</f>
        <v>1.0633805350099574E-2</v>
      </c>
      <c r="AB33" s="118"/>
      <c r="AC33" s="118"/>
      <c r="AD33" s="158"/>
      <c r="AE33" s="119"/>
      <c r="AF33" s="638" t="s">
        <v>117</v>
      </c>
      <c r="AG33" s="58"/>
      <c r="AH33" s="112">
        <v>1.1000000000000001</v>
      </c>
      <c r="AI33" s="112">
        <v>1.1000000000000001</v>
      </c>
      <c r="AJ33" s="112">
        <v>1.1000000000000001</v>
      </c>
      <c r="AK33" s="112">
        <v>1.1000000000000001</v>
      </c>
      <c r="AL33" s="112">
        <v>1.1000000000000001</v>
      </c>
      <c r="AM33" s="160">
        <v>1.1000000000000001</v>
      </c>
    </row>
    <row r="34" spans="1:39" s="120" customFormat="1" ht="15" thickBot="1" x14ac:dyDescent="0.25">
      <c r="A34" s="126"/>
      <c r="B34" s="54"/>
      <c r="C34" s="127">
        <v>0.85</v>
      </c>
      <c r="D34" s="58"/>
      <c r="E34" s="125">
        <f t="shared" si="8"/>
        <v>402.42103204234166</v>
      </c>
      <c r="F34" s="158"/>
      <c r="G34" s="126"/>
      <c r="H34" s="54"/>
      <c r="I34" s="127">
        <v>0.85</v>
      </c>
      <c r="J34" s="58"/>
      <c r="K34" s="125">
        <f t="shared" si="9"/>
        <v>365.2413936267501</v>
      </c>
      <c r="L34" s="158"/>
      <c r="M34" s="126"/>
      <c r="N34" s="54"/>
      <c r="O34" s="127">
        <v>0.85</v>
      </c>
      <c r="P34" s="58"/>
      <c r="Q34" s="125">
        <f t="shared" si="10"/>
        <v>352.22148970909063</v>
      </c>
      <c r="R34" s="59"/>
      <c r="S34" s="126"/>
      <c r="T34" s="54"/>
      <c r="U34" s="127">
        <v>0.85</v>
      </c>
      <c r="V34" s="58"/>
      <c r="W34" s="125">
        <f t="shared" si="11"/>
        <v>342.93427087943013</v>
      </c>
      <c r="X34" s="158"/>
      <c r="Y34" s="122" t="s">
        <v>116</v>
      </c>
      <c r="Z34" s="123"/>
      <c r="AA34" s="124">
        <v>0.9</v>
      </c>
      <c r="AB34" s="103"/>
      <c r="AC34" s="125" t="e">
        <f t="shared" ref="AC34:AC42" si="12">AC$30/(AC$7*AA34)</f>
        <v>#REF!</v>
      </c>
      <c r="AD34" s="158"/>
      <c r="AE34" s="54"/>
      <c r="AF34" s="671" t="s">
        <v>133</v>
      </c>
      <c r="AG34" s="58"/>
      <c r="AH34" s="112"/>
      <c r="AI34" s="54"/>
      <c r="AJ34" s="54"/>
      <c r="AK34" s="54"/>
      <c r="AL34" s="74"/>
      <c r="AM34" s="136"/>
    </row>
    <row r="35" spans="1:39" s="59" customFormat="1" ht="15" thickBot="1" x14ac:dyDescent="0.25">
      <c r="A35" s="126"/>
      <c r="B35" s="54"/>
      <c r="C35" s="127">
        <v>0.8</v>
      </c>
      <c r="D35" s="58"/>
      <c r="E35" s="125">
        <f t="shared" si="8"/>
        <v>427.57234654498802</v>
      </c>
      <c r="F35" s="158"/>
      <c r="G35" s="126"/>
      <c r="H35" s="54"/>
      <c r="I35" s="127">
        <v>0.8</v>
      </c>
      <c r="J35" s="58"/>
      <c r="K35" s="125">
        <f t="shared" si="9"/>
        <v>388.06898072842199</v>
      </c>
      <c r="L35" s="158"/>
      <c r="M35" s="126"/>
      <c r="N35" s="54"/>
      <c r="O35" s="127">
        <v>0.8</v>
      </c>
      <c r="P35" s="58"/>
      <c r="Q35" s="125">
        <f t="shared" si="10"/>
        <v>374.23533281590875</v>
      </c>
      <c r="S35" s="126"/>
      <c r="T35" s="54"/>
      <c r="U35" s="127">
        <v>0.8</v>
      </c>
      <c r="V35" s="58"/>
      <c r="W35" s="125">
        <f t="shared" si="11"/>
        <v>364.36766280939446</v>
      </c>
      <c r="X35" s="158"/>
      <c r="Y35" s="126"/>
      <c r="Z35" s="54"/>
      <c r="AA35" s="127">
        <v>0.85</v>
      </c>
      <c r="AB35" s="58"/>
      <c r="AC35" s="672" t="e">
        <f t="shared" si="12"/>
        <v>#REF!</v>
      </c>
      <c r="AD35" s="158"/>
      <c r="AE35" s="54"/>
      <c r="AF35" s="640" t="s">
        <v>98</v>
      </c>
      <c r="AG35" s="74"/>
      <c r="AH35" s="658"/>
      <c r="AI35" s="54"/>
      <c r="AJ35" s="54"/>
      <c r="AK35" s="54"/>
      <c r="AL35" s="656"/>
      <c r="AM35" s="673"/>
    </row>
    <row r="36" spans="1:39" s="59" customFormat="1" ht="15" thickBot="1" x14ac:dyDescent="0.25">
      <c r="A36" s="126"/>
      <c r="B36" s="54"/>
      <c r="C36" s="127">
        <v>0.75</v>
      </c>
      <c r="D36" s="58"/>
      <c r="E36" s="125">
        <f t="shared" si="8"/>
        <v>456.0771696479872</v>
      </c>
      <c r="F36" s="158"/>
      <c r="G36" s="126"/>
      <c r="H36" s="54"/>
      <c r="I36" s="127">
        <v>0.75</v>
      </c>
      <c r="J36" s="58"/>
      <c r="K36" s="125">
        <f t="shared" si="9"/>
        <v>413.94024611031676</v>
      </c>
      <c r="L36" s="158"/>
      <c r="M36" s="126"/>
      <c r="N36" s="54"/>
      <c r="O36" s="127">
        <v>0.75</v>
      </c>
      <c r="P36" s="58"/>
      <c r="Q36" s="125">
        <f t="shared" si="10"/>
        <v>399.18435500363603</v>
      </c>
      <c r="S36" s="126"/>
      <c r="T36" s="54"/>
      <c r="U36" s="127">
        <v>0.75</v>
      </c>
      <c r="V36" s="58"/>
      <c r="W36" s="125">
        <f t="shared" si="11"/>
        <v>388.65884033002078</v>
      </c>
      <c r="X36" s="158"/>
      <c r="Y36" s="126"/>
      <c r="Z36" s="54"/>
      <c r="AA36" s="127">
        <v>0.8</v>
      </c>
      <c r="AB36" s="58"/>
      <c r="AC36" s="672" t="e">
        <f t="shared" si="12"/>
        <v>#REF!</v>
      </c>
      <c r="AD36" s="158"/>
      <c r="AE36" s="54"/>
      <c r="AF36" s="129" t="s">
        <v>101</v>
      </c>
      <c r="AG36" s="54"/>
      <c r="AH36" s="176">
        <f>'2020 BLS Chart'!C32</f>
        <v>0.224</v>
      </c>
      <c r="AI36" s="54"/>
      <c r="AJ36" s="54"/>
      <c r="AK36" s="54"/>
      <c r="AL36" s="656"/>
      <c r="AM36" s="673"/>
    </row>
    <row r="37" spans="1:39" s="59" customFormat="1" ht="15" thickBot="1" x14ac:dyDescent="0.25">
      <c r="A37" s="126"/>
      <c r="B37" s="54"/>
      <c r="C37" s="127">
        <v>0.7</v>
      </c>
      <c r="D37" s="58"/>
      <c r="E37" s="125">
        <f t="shared" si="8"/>
        <v>488.65411033712923</v>
      </c>
      <c r="F37" s="158"/>
      <c r="G37" s="126"/>
      <c r="H37" s="54"/>
      <c r="I37" s="127">
        <v>0.7</v>
      </c>
      <c r="J37" s="58"/>
      <c r="K37" s="125">
        <f t="shared" si="9"/>
        <v>443.50740654676798</v>
      </c>
      <c r="L37" s="158"/>
      <c r="M37" s="126"/>
      <c r="N37" s="54"/>
      <c r="O37" s="127">
        <v>0.7</v>
      </c>
      <c r="P37" s="58"/>
      <c r="Q37" s="125">
        <f t="shared" si="10"/>
        <v>427.69752321818152</v>
      </c>
      <c r="S37" s="126"/>
      <c r="T37" s="54"/>
      <c r="U37" s="127">
        <v>0.7</v>
      </c>
      <c r="V37" s="58"/>
      <c r="W37" s="125">
        <f t="shared" si="11"/>
        <v>416.4201860678794</v>
      </c>
      <c r="X37" s="158"/>
      <c r="Y37" s="126"/>
      <c r="Z37" s="54"/>
      <c r="AA37" s="127">
        <v>0.75</v>
      </c>
      <c r="AB37" s="58"/>
      <c r="AC37" s="672" t="e">
        <f t="shared" si="12"/>
        <v>#REF!</v>
      </c>
      <c r="AD37" s="158"/>
      <c r="AE37" s="54"/>
      <c r="AF37" s="129"/>
      <c r="AG37" s="54"/>
      <c r="AH37" s="658"/>
      <c r="AI37" s="54"/>
      <c r="AJ37" s="54"/>
      <c r="AK37" s="54"/>
      <c r="AL37" s="54"/>
      <c r="AM37" s="163"/>
    </row>
    <row r="38" spans="1:39" s="59" customFormat="1" ht="15" thickBot="1" x14ac:dyDescent="0.25">
      <c r="A38" s="126"/>
      <c r="B38" s="54"/>
      <c r="C38" s="127">
        <v>0.65</v>
      </c>
      <c r="D38" s="58"/>
      <c r="E38" s="125">
        <f t="shared" si="8"/>
        <v>526.2428880553698</v>
      </c>
      <c r="F38" s="158"/>
      <c r="G38" s="126"/>
      <c r="H38" s="54"/>
      <c r="I38" s="127">
        <v>0.65</v>
      </c>
      <c r="J38" s="58"/>
      <c r="K38" s="125">
        <f t="shared" si="9"/>
        <v>477.62336089651939</v>
      </c>
      <c r="L38" s="158"/>
      <c r="M38" s="126"/>
      <c r="N38" s="54"/>
      <c r="O38" s="127">
        <v>0.65</v>
      </c>
      <c r="P38" s="58"/>
      <c r="Q38" s="125">
        <f t="shared" si="10"/>
        <v>460.59733269650309</v>
      </c>
      <c r="S38" s="126"/>
      <c r="T38" s="54"/>
      <c r="U38" s="127">
        <v>0.65</v>
      </c>
      <c r="V38" s="58"/>
      <c r="W38" s="125">
        <f t="shared" si="11"/>
        <v>448.45250807310089</v>
      </c>
      <c r="X38" s="158"/>
      <c r="Y38" s="126"/>
      <c r="Z38" s="54"/>
      <c r="AA38" s="127">
        <v>0.7</v>
      </c>
      <c r="AB38" s="58"/>
      <c r="AC38" s="672" t="e">
        <f t="shared" si="12"/>
        <v>#REF!</v>
      </c>
      <c r="AD38" s="158"/>
      <c r="AE38" s="54"/>
      <c r="AF38" s="129" t="s">
        <v>120</v>
      </c>
      <c r="AG38" s="54"/>
      <c r="AH38" s="177">
        <f>'FY20 UFR Data'!M29</f>
        <v>42.238306545565408</v>
      </c>
      <c r="AI38" s="54"/>
      <c r="AJ38" s="54"/>
      <c r="AK38" s="54"/>
      <c r="AL38" s="54"/>
      <c r="AM38" s="163"/>
    </row>
    <row r="39" spans="1:39" s="59" customFormat="1" ht="15" thickBot="1" x14ac:dyDescent="0.25">
      <c r="A39" s="126"/>
      <c r="B39" s="54"/>
      <c r="C39" s="127">
        <v>0.6</v>
      </c>
      <c r="D39" s="58"/>
      <c r="E39" s="125">
        <f t="shared" si="8"/>
        <v>570.09646205998399</v>
      </c>
      <c r="F39" s="158"/>
      <c r="G39" s="126"/>
      <c r="H39" s="54"/>
      <c r="I39" s="127">
        <v>0.6</v>
      </c>
      <c r="J39" s="58"/>
      <c r="K39" s="125">
        <f t="shared" si="9"/>
        <v>517.42530763789603</v>
      </c>
      <c r="L39" s="158"/>
      <c r="M39" s="126"/>
      <c r="N39" s="54"/>
      <c r="O39" s="127">
        <v>0.6</v>
      </c>
      <c r="P39" s="58"/>
      <c r="Q39" s="125">
        <f t="shared" si="10"/>
        <v>498.98044375454504</v>
      </c>
      <c r="S39" s="126"/>
      <c r="T39" s="54"/>
      <c r="U39" s="127">
        <v>0.6</v>
      </c>
      <c r="V39" s="58"/>
      <c r="W39" s="125">
        <f t="shared" si="11"/>
        <v>485.823550412526</v>
      </c>
      <c r="X39" s="158"/>
      <c r="Y39" s="126"/>
      <c r="Z39" s="54"/>
      <c r="AA39" s="127">
        <v>0.65</v>
      </c>
      <c r="AB39" s="58"/>
      <c r="AC39" s="672" t="e">
        <f t="shared" si="12"/>
        <v>#REF!</v>
      </c>
      <c r="AD39" s="158"/>
      <c r="AE39" s="54"/>
      <c r="AF39" s="129" t="s">
        <v>122</v>
      </c>
      <c r="AG39" s="54"/>
      <c r="AH39" s="177">
        <f>'FY20 UFR Data'!M30</f>
        <v>21.119153272782704</v>
      </c>
      <c r="AI39" s="54"/>
      <c r="AJ39" s="54"/>
      <c r="AK39" s="54"/>
      <c r="AL39" s="54"/>
      <c r="AM39" s="163"/>
    </row>
    <row r="40" spans="1:39" s="59" customFormat="1" ht="15" thickBot="1" x14ac:dyDescent="0.25">
      <c r="A40" s="126"/>
      <c r="B40" s="54"/>
      <c r="C40" s="127">
        <v>0.55000000000000004</v>
      </c>
      <c r="D40" s="58"/>
      <c r="E40" s="125">
        <f t="shared" si="8"/>
        <v>621.9234131563461</v>
      </c>
      <c r="F40" s="158"/>
      <c r="G40" s="126"/>
      <c r="H40" s="54"/>
      <c r="I40" s="127">
        <v>0.55000000000000004</v>
      </c>
      <c r="J40" s="58"/>
      <c r="K40" s="125">
        <f t="shared" si="9"/>
        <v>564.46397196861381</v>
      </c>
      <c r="L40" s="158"/>
      <c r="M40" s="126"/>
      <c r="N40" s="54"/>
      <c r="O40" s="127">
        <v>0.55000000000000004</v>
      </c>
      <c r="P40" s="58"/>
      <c r="Q40" s="125">
        <f t="shared" si="10"/>
        <v>544.34230227768535</v>
      </c>
      <c r="S40" s="126"/>
      <c r="T40" s="54"/>
      <c r="U40" s="127">
        <v>0.55000000000000004</v>
      </c>
      <c r="V40" s="58"/>
      <c r="W40" s="125">
        <f t="shared" si="11"/>
        <v>529.98932772275555</v>
      </c>
      <c r="X40" s="158"/>
      <c r="Y40" s="126"/>
      <c r="Z40" s="54"/>
      <c r="AA40" s="127">
        <v>0.6</v>
      </c>
      <c r="AB40" s="58"/>
      <c r="AC40" s="672" t="e">
        <f t="shared" si="12"/>
        <v>#REF!</v>
      </c>
      <c r="AD40" s="158"/>
      <c r="AE40" s="54"/>
      <c r="AF40" s="129" t="s">
        <v>123</v>
      </c>
      <c r="AG40" s="54"/>
      <c r="AH40" s="177">
        <f>'FY20 UFR Data'!M31</f>
        <v>7.0397177575942358</v>
      </c>
      <c r="AI40" s="54"/>
      <c r="AJ40" s="54"/>
      <c r="AK40" s="54"/>
      <c r="AL40" s="54"/>
      <c r="AM40" s="163"/>
    </row>
    <row r="41" spans="1:39" s="59" customFormat="1" ht="15" thickBot="1" x14ac:dyDescent="0.25">
      <c r="A41" s="131"/>
      <c r="B41" s="132"/>
      <c r="C41" s="133">
        <v>0.5</v>
      </c>
      <c r="D41" s="134"/>
      <c r="E41" s="135">
        <f t="shared" si="8"/>
        <v>684.11575447198084</v>
      </c>
      <c r="F41" s="158"/>
      <c r="G41" s="131"/>
      <c r="H41" s="132"/>
      <c r="I41" s="133">
        <v>0.5</v>
      </c>
      <c r="J41" s="134"/>
      <c r="K41" s="135">
        <f t="shared" si="9"/>
        <v>620.91036916547523</v>
      </c>
      <c r="L41" s="158"/>
      <c r="M41" s="131"/>
      <c r="N41" s="132"/>
      <c r="O41" s="133">
        <v>0.5</v>
      </c>
      <c r="P41" s="134"/>
      <c r="Q41" s="135">
        <f t="shared" si="10"/>
        <v>598.77653250545404</v>
      </c>
      <c r="S41" s="131"/>
      <c r="T41" s="132"/>
      <c r="U41" s="133">
        <v>0.5</v>
      </c>
      <c r="V41" s="134"/>
      <c r="W41" s="135">
        <f t="shared" si="11"/>
        <v>582.98826049503123</v>
      </c>
      <c r="X41" s="158"/>
      <c r="Y41" s="126"/>
      <c r="Z41" s="54"/>
      <c r="AA41" s="127">
        <v>0.55000000000000004</v>
      </c>
      <c r="AB41" s="58"/>
      <c r="AC41" s="672" t="e">
        <f t="shared" si="12"/>
        <v>#REF!</v>
      </c>
      <c r="AD41" s="158"/>
      <c r="AE41" s="54"/>
      <c r="AF41" s="129"/>
      <c r="AG41" s="54"/>
      <c r="AH41" s="177"/>
      <c r="AI41" s="54"/>
      <c r="AJ41" s="54"/>
      <c r="AK41" s="54"/>
      <c r="AL41" s="54"/>
      <c r="AM41" s="163"/>
    </row>
    <row r="42" spans="1:39" s="59" customFormat="1" ht="15" thickBot="1" x14ac:dyDescent="0.2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31"/>
      <c r="Z42" s="132"/>
      <c r="AA42" s="133">
        <v>0.5</v>
      </c>
      <c r="AB42" s="134"/>
      <c r="AC42" s="674" t="e">
        <f t="shared" si="12"/>
        <v>#REF!</v>
      </c>
      <c r="AD42" s="158"/>
      <c r="AE42" s="54"/>
      <c r="AF42" s="129" t="s">
        <v>107</v>
      </c>
      <c r="AG42" s="54"/>
      <c r="AH42" s="177">
        <f>'[11]Youth Res Rate Models'!AB36</f>
        <v>18.364580498704061</v>
      </c>
      <c r="AI42" s="54"/>
      <c r="AJ42" s="54"/>
      <c r="AK42" s="54"/>
      <c r="AL42" s="54"/>
      <c r="AM42" s="163"/>
    </row>
    <row r="43" spans="1:39" s="59" customFormat="1" x14ac:dyDescent="0.2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646"/>
      <c r="AG43" s="647"/>
      <c r="AH43" s="169"/>
      <c r="AI43" s="681"/>
      <c r="AJ43" s="681"/>
      <c r="AK43" s="681"/>
      <c r="AL43" s="54"/>
      <c r="AM43" s="163"/>
    </row>
    <row r="44" spans="1:39" ht="15" x14ac:dyDescent="0.25">
      <c r="A44" s="681"/>
      <c r="B44" s="688"/>
      <c r="C44" s="681"/>
      <c r="D44" s="681"/>
      <c r="E44" s="681"/>
      <c r="F44" s="681"/>
      <c r="G44" s="681"/>
      <c r="H44" s="688"/>
      <c r="I44" s="681"/>
      <c r="J44" s="681"/>
      <c r="K44" s="681"/>
      <c r="L44" s="681"/>
      <c r="M44" s="681"/>
      <c r="N44" s="688"/>
      <c r="O44" s="681"/>
      <c r="P44" s="681"/>
      <c r="Q44" s="681"/>
      <c r="R44" s="681"/>
      <c r="S44" s="681"/>
      <c r="T44" s="688"/>
      <c r="U44" s="681"/>
      <c r="V44" s="681"/>
      <c r="AF44" s="648" t="s">
        <v>125</v>
      </c>
      <c r="AG44" s="74"/>
      <c r="AH44" s="685">
        <f>'2020 BLS Chart'!C34</f>
        <v>3.7000000000000002E-3</v>
      </c>
      <c r="AI44" s="686" t="s">
        <v>134</v>
      </c>
      <c r="AJ44" s="686"/>
      <c r="AK44" s="681"/>
      <c r="AL44" s="54"/>
      <c r="AM44" s="163"/>
    </row>
    <row r="45" spans="1:39" x14ac:dyDescent="0.2">
      <c r="A45" s="681"/>
      <c r="B45" s="689"/>
      <c r="C45" s="681"/>
      <c r="D45" s="681"/>
      <c r="E45" s="681"/>
      <c r="F45" s="681"/>
      <c r="G45" s="681"/>
      <c r="H45" s="689"/>
      <c r="I45" s="681"/>
      <c r="J45" s="681"/>
      <c r="K45" s="681"/>
      <c r="L45" s="681"/>
      <c r="M45" s="681"/>
      <c r="N45" s="689"/>
      <c r="O45" s="681"/>
      <c r="P45" s="681"/>
      <c r="Q45" s="681"/>
      <c r="R45" s="681"/>
      <c r="S45" s="681"/>
      <c r="T45" s="689"/>
      <c r="U45" s="681"/>
      <c r="V45" s="681"/>
      <c r="AF45" s="129" t="s">
        <v>110</v>
      </c>
      <c r="AG45" s="54"/>
      <c r="AH45" s="176">
        <f>'2020 BLS Chart'!C36</f>
        <v>0.12</v>
      </c>
      <c r="AI45" s="681"/>
      <c r="AJ45" s="681"/>
      <c r="AK45" s="681"/>
      <c r="AL45" s="54"/>
      <c r="AM45" s="163"/>
    </row>
    <row r="46" spans="1:39" x14ac:dyDescent="0.2">
      <c r="A46" s="681"/>
      <c r="B46" s="681"/>
      <c r="C46" s="681"/>
      <c r="D46" s="681"/>
      <c r="E46" s="681"/>
      <c r="F46" s="681"/>
      <c r="G46" s="681"/>
      <c r="H46" s="681"/>
      <c r="I46" s="681"/>
      <c r="J46" s="681"/>
      <c r="K46" s="681"/>
      <c r="L46" s="681"/>
      <c r="M46" s="681"/>
      <c r="N46" s="681"/>
      <c r="O46" s="681"/>
      <c r="P46" s="681"/>
      <c r="Q46" s="681"/>
      <c r="R46" s="681"/>
      <c r="S46" s="681"/>
      <c r="T46" s="681"/>
      <c r="U46" s="681"/>
      <c r="V46" s="681"/>
      <c r="AF46" s="640"/>
      <c r="AG46" s="74"/>
      <c r="AH46" s="82"/>
      <c r="AI46" s="681"/>
      <c r="AJ46" s="681"/>
      <c r="AK46" s="681"/>
      <c r="AL46" s="681"/>
      <c r="AM46" s="682"/>
    </row>
    <row r="47" spans="1:39" ht="15" thickBot="1" x14ac:dyDescent="0.25">
      <c r="AF47" s="649" t="s">
        <v>135</v>
      </c>
      <c r="AG47" s="650"/>
      <c r="AH47" s="144">
        <f>'2020 BLS Chart'!C38</f>
        <v>1.0633805350099574E-2</v>
      </c>
      <c r="AI47" s="170"/>
      <c r="AJ47" s="683"/>
      <c r="AK47" s="683"/>
      <c r="AL47" s="683"/>
      <c r="AM47" s="684"/>
    </row>
    <row r="48" spans="1:39" ht="15" thickBot="1" x14ac:dyDescent="0.25">
      <c r="A48" s="624" t="s">
        <v>136</v>
      </c>
      <c r="B48" s="59"/>
      <c r="C48" s="59"/>
      <c r="D48" s="59"/>
      <c r="E48" s="59"/>
      <c r="G48" s="59"/>
      <c r="H48" s="59"/>
      <c r="I48" s="59"/>
      <c r="J48" s="59"/>
      <c r="K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AH48" s="675"/>
    </row>
    <row r="49" spans="1:39" ht="15" thickBot="1" x14ac:dyDescent="0.25">
      <c r="A49" s="73"/>
      <c r="B49" s="59"/>
      <c r="C49" s="59"/>
      <c r="D49" s="59"/>
      <c r="E49" s="59"/>
      <c r="G49" s="73"/>
      <c r="H49" s="59"/>
      <c r="I49" s="59"/>
      <c r="J49" s="59"/>
      <c r="K49" s="59"/>
      <c r="M49" s="73"/>
      <c r="N49" s="59"/>
      <c r="O49" s="59"/>
      <c r="P49" s="59"/>
      <c r="Q49" s="59"/>
      <c r="R49" s="59"/>
      <c r="S49" s="73"/>
      <c r="T49" s="59"/>
      <c r="U49" s="59"/>
      <c r="V49" s="59"/>
      <c r="W49" s="59"/>
      <c r="Y49" s="59"/>
      <c r="Z49" s="59"/>
      <c r="AA49" s="59"/>
      <c r="AB49" s="59"/>
      <c r="AC49" s="59"/>
      <c r="AE49" s="54"/>
      <c r="AF49" s="676" t="s">
        <v>67</v>
      </c>
      <c r="AG49" s="676"/>
      <c r="AH49" s="676"/>
      <c r="AI49" s="59"/>
      <c r="AJ49" s="59"/>
      <c r="AK49" s="59"/>
    </row>
    <row r="50" spans="1:39" s="59" customFormat="1" ht="15" thickTop="1" x14ac:dyDescent="0.2">
      <c r="F50" s="158"/>
      <c r="L50" s="158"/>
      <c r="M50" s="721"/>
      <c r="N50" s="721"/>
      <c r="O50" s="721"/>
      <c r="P50" s="721"/>
      <c r="Q50" s="721"/>
      <c r="R50" s="721"/>
      <c r="S50" s="721"/>
      <c r="T50" s="721"/>
      <c r="U50" s="721"/>
      <c r="V50" s="721"/>
      <c r="W50" s="721"/>
      <c r="X50" s="158"/>
      <c r="Y50" s="73"/>
      <c r="AD50" s="158"/>
      <c r="AE50" s="54"/>
      <c r="AF50" s="82"/>
      <c r="AG50" s="82"/>
      <c r="AH50" s="82"/>
      <c r="AL50" s="158"/>
      <c r="AM50" s="158"/>
    </row>
    <row r="51" spans="1:39" s="59" customFormat="1" ht="15" thickBot="1" x14ac:dyDescent="0.25">
      <c r="B51" s="54"/>
      <c r="C51" s="60" t="s">
        <v>68</v>
      </c>
      <c r="D51" s="61"/>
      <c r="E51" s="62"/>
      <c r="F51" s="158"/>
      <c r="H51" s="54"/>
      <c r="I51" s="60" t="s">
        <v>69</v>
      </c>
      <c r="J51" s="61"/>
      <c r="K51" s="62"/>
      <c r="L51" s="158"/>
      <c r="M51" s="54"/>
      <c r="N51" s="54"/>
      <c r="O51" s="82"/>
      <c r="P51" s="69"/>
      <c r="Q51" s="63"/>
      <c r="R51" s="54"/>
      <c r="S51" s="54"/>
      <c r="T51" s="54"/>
      <c r="U51" s="82"/>
      <c r="V51" s="69"/>
      <c r="W51" s="63"/>
      <c r="X51" s="158"/>
      <c r="AD51" s="158"/>
      <c r="AE51" s="54"/>
      <c r="AF51" s="73"/>
      <c r="AG51" s="62"/>
      <c r="AH51" s="84"/>
      <c r="AL51" s="158"/>
      <c r="AM51" s="158"/>
    </row>
    <row r="52" spans="1:39" s="59" customFormat="1" x14ac:dyDescent="0.2">
      <c r="A52" s="66" t="s">
        <v>75</v>
      </c>
      <c r="B52" s="67" t="s">
        <v>130</v>
      </c>
      <c r="C52" s="68" t="s">
        <v>77</v>
      </c>
      <c r="D52" s="69">
        <v>365</v>
      </c>
      <c r="E52" s="70">
        <f>D52*B53</f>
        <v>1825</v>
      </c>
      <c r="F52" s="158"/>
      <c r="G52" s="66" t="s">
        <v>75</v>
      </c>
      <c r="H52" s="687" t="s">
        <v>76</v>
      </c>
      <c r="I52" s="68" t="s">
        <v>77</v>
      </c>
      <c r="J52" s="69">
        <v>365</v>
      </c>
      <c r="K52" s="70">
        <f>J52*H53</f>
        <v>3650</v>
      </c>
      <c r="L52" s="71"/>
      <c r="M52" s="660"/>
      <c r="N52" s="74"/>
      <c r="O52" s="661"/>
      <c r="P52" s="69"/>
      <c r="Q52" s="71"/>
      <c r="R52" s="71"/>
      <c r="S52" s="660"/>
      <c r="T52" s="74"/>
      <c r="U52" s="661"/>
      <c r="V52" s="69"/>
      <c r="W52" s="71"/>
      <c r="X52" s="158"/>
      <c r="Z52" s="54"/>
      <c r="AA52" s="60" t="s">
        <v>129</v>
      </c>
      <c r="AB52" s="61"/>
      <c r="AC52" s="62"/>
      <c r="AD52" s="158"/>
      <c r="AE52" s="63"/>
      <c r="AF52" s="625" t="s">
        <v>72</v>
      </c>
      <c r="AG52" s="64" t="s">
        <v>73</v>
      </c>
      <c r="AH52" s="666" t="s">
        <v>74</v>
      </c>
    </row>
    <row r="53" spans="1:39" s="59" customFormat="1" x14ac:dyDescent="0.2">
      <c r="A53" s="66"/>
      <c r="B53" s="74">
        <v>5</v>
      </c>
      <c r="C53" s="68"/>
      <c r="D53" s="69"/>
      <c r="E53" s="70"/>
      <c r="F53" s="158"/>
      <c r="G53" s="66"/>
      <c r="H53" s="74">
        <v>10</v>
      </c>
      <c r="I53" s="68"/>
      <c r="J53" s="69"/>
      <c r="K53" s="70"/>
      <c r="L53" s="71"/>
      <c r="M53" s="660"/>
      <c r="N53" s="74"/>
      <c r="O53" s="661"/>
      <c r="P53" s="69"/>
      <c r="Q53" s="71"/>
      <c r="R53" s="71"/>
      <c r="S53" s="660"/>
      <c r="T53" s="74"/>
      <c r="U53" s="661"/>
      <c r="V53" s="69"/>
      <c r="W53" s="71"/>
      <c r="X53" s="71"/>
      <c r="Y53" s="66" t="s">
        <v>75</v>
      </c>
      <c r="Z53" s="74" t="s">
        <v>80</v>
      </c>
      <c r="AA53" s="68" t="s">
        <v>77</v>
      </c>
      <c r="AB53" s="69">
        <v>365</v>
      </c>
      <c r="AC53" s="70">
        <f>Z54*AB53</f>
        <v>9125</v>
      </c>
      <c r="AD53" s="71"/>
      <c r="AE53" s="71"/>
      <c r="AF53" s="129" t="s">
        <v>81</v>
      </c>
      <c r="AG53" s="75">
        <v>15</v>
      </c>
      <c r="AH53" s="149">
        <f>AG53*8</f>
        <v>120</v>
      </c>
      <c r="AI53" s="73"/>
      <c r="AJ53" s="73"/>
      <c r="AK53" s="73"/>
    </row>
    <row r="54" spans="1:39" s="73" customFormat="1" x14ac:dyDescent="0.2">
      <c r="A54" s="66"/>
      <c r="B54" s="74"/>
      <c r="C54" s="78"/>
      <c r="D54" s="69"/>
      <c r="E54" s="70"/>
      <c r="F54" s="158"/>
      <c r="G54" s="66"/>
      <c r="H54" s="74"/>
      <c r="I54" s="78"/>
      <c r="J54" s="69"/>
      <c r="K54" s="70"/>
      <c r="L54" s="158"/>
      <c r="M54" s="660"/>
      <c r="N54" s="74"/>
      <c r="O54" s="90"/>
      <c r="P54" s="69"/>
      <c r="Q54" s="71"/>
      <c r="R54" s="74"/>
      <c r="S54" s="660"/>
      <c r="T54" s="74"/>
      <c r="U54" s="90"/>
      <c r="V54" s="69"/>
      <c r="W54" s="71"/>
      <c r="X54" s="71"/>
      <c r="Y54" s="66"/>
      <c r="Z54" s="74">
        <v>25</v>
      </c>
      <c r="AA54" s="68"/>
      <c r="AB54" s="69"/>
      <c r="AC54" s="70"/>
      <c r="AD54" s="71"/>
      <c r="AE54" s="71"/>
      <c r="AF54" s="129" t="s">
        <v>82</v>
      </c>
      <c r="AG54" s="75">
        <v>15</v>
      </c>
      <c r="AH54" s="149">
        <f>AG54*8</f>
        <v>120</v>
      </c>
      <c r="AL54" s="59"/>
      <c r="AM54" s="59"/>
    </row>
    <row r="55" spans="1:39" s="73" customFormat="1" ht="25.5" x14ac:dyDescent="0.2">
      <c r="A55" s="79"/>
      <c r="B55" s="80" t="s">
        <v>84</v>
      </c>
      <c r="C55" s="60" t="s">
        <v>85</v>
      </c>
      <c r="D55" s="81" t="s">
        <v>86</v>
      </c>
      <c r="E55" s="60" t="s">
        <v>87</v>
      </c>
      <c r="F55" s="690"/>
      <c r="G55" s="79"/>
      <c r="H55" s="80" t="s">
        <v>84</v>
      </c>
      <c r="I55" s="60" t="s">
        <v>85</v>
      </c>
      <c r="J55" s="81" t="s">
        <v>86</v>
      </c>
      <c r="K55" s="60" t="s">
        <v>87</v>
      </c>
      <c r="L55" s="690"/>
      <c r="M55" s="631"/>
      <c r="N55" s="692"/>
      <c r="O55" s="82"/>
      <c r="P55" s="84"/>
      <c r="Q55" s="82"/>
      <c r="R55" s="631"/>
      <c r="S55" s="631"/>
      <c r="T55" s="692"/>
      <c r="U55" s="82"/>
      <c r="V55" s="84"/>
      <c r="W55" s="82"/>
      <c r="X55" s="158"/>
      <c r="Y55" s="66"/>
      <c r="Z55" s="74"/>
      <c r="AA55" s="78"/>
      <c r="AB55" s="69"/>
      <c r="AC55" s="70"/>
      <c r="AD55" s="158"/>
      <c r="AE55" s="71"/>
      <c r="AF55" s="129" t="s">
        <v>83</v>
      </c>
      <c r="AG55" s="75">
        <v>13</v>
      </c>
      <c r="AH55" s="149">
        <f>AG55*8</f>
        <v>104</v>
      </c>
      <c r="AL55" s="59"/>
      <c r="AM55" s="59"/>
    </row>
    <row r="56" spans="1:39" s="79" customFormat="1" ht="25.5" x14ac:dyDescent="0.2">
      <c r="A56" s="86" t="s">
        <v>89</v>
      </c>
      <c r="B56" s="87"/>
      <c r="C56" s="56">
        <f>$AH$13</f>
        <v>69600</v>
      </c>
      <c r="D56" s="88">
        <f>AH68</f>
        <v>0.25</v>
      </c>
      <c r="E56" s="56">
        <f>C56*D56</f>
        <v>17400</v>
      </c>
      <c r="F56" s="158"/>
      <c r="G56" s="86" t="s">
        <v>89</v>
      </c>
      <c r="H56" s="87"/>
      <c r="I56" s="56">
        <f>$AH$13</f>
        <v>69600</v>
      </c>
      <c r="J56" s="88">
        <f>AI68</f>
        <v>0.25</v>
      </c>
      <c r="K56" s="56">
        <f>I56*J56</f>
        <v>17400</v>
      </c>
      <c r="L56" s="158"/>
      <c r="M56" s="641"/>
      <c r="N56" s="662"/>
      <c r="O56" s="58"/>
      <c r="P56" s="110"/>
      <c r="Q56" s="58"/>
      <c r="R56" s="58"/>
      <c r="S56" s="641"/>
      <c r="T56" s="662"/>
      <c r="U56" s="58"/>
      <c r="V56" s="110"/>
      <c r="W56" s="58"/>
      <c r="X56" s="690"/>
      <c r="Z56" s="80" t="s">
        <v>84</v>
      </c>
      <c r="AA56" s="60" t="s">
        <v>85</v>
      </c>
      <c r="AB56" s="81" t="s">
        <v>86</v>
      </c>
      <c r="AC56" s="60" t="s">
        <v>87</v>
      </c>
      <c r="AD56" s="690"/>
      <c r="AE56" s="82"/>
      <c r="AF56" s="667" t="s">
        <v>88</v>
      </c>
      <c r="AG56" s="83">
        <v>8</v>
      </c>
      <c r="AH56" s="153">
        <f>AG56*8</f>
        <v>64</v>
      </c>
      <c r="AI56" s="73"/>
      <c r="AJ56" s="73"/>
      <c r="AK56" s="73"/>
      <c r="AL56" s="73"/>
      <c r="AM56" s="73"/>
    </row>
    <row r="57" spans="1:39" s="79" customFormat="1" x14ac:dyDescent="0.2">
      <c r="A57" s="86" t="s">
        <v>132</v>
      </c>
      <c r="B57" s="87"/>
      <c r="C57" s="56">
        <v>45211</v>
      </c>
      <c r="D57" s="88">
        <v>0.5</v>
      </c>
      <c r="E57" s="56">
        <f>D57*C57</f>
        <v>22605.5</v>
      </c>
      <c r="F57" s="158"/>
      <c r="G57" s="86"/>
      <c r="H57" s="87"/>
      <c r="I57" s="56">
        <f>C57</f>
        <v>45211</v>
      </c>
      <c r="J57" s="88">
        <v>0.8</v>
      </c>
      <c r="K57" s="56">
        <f>J57*I57</f>
        <v>36168.800000000003</v>
      </c>
      <c r="L57" s="158"/>
      <c r="M57" s="641"/>
      <c r="N57" s="662"/>
      <c r="O57" s="58"/>
      <c r="P57" s="110"/>
      <c r="Q57" s="58"/>
      <c r="R57" s="58"/>
      <c r="S57" s="641"/>
      <c r="T57" s="662"/>
      <c r="U57" s="58"/>
      <c r="V57" s="110"/>
      <c r="W57" s="58"/>
      <c r="X57" s="690"/>
      <c r="Z57" s="80"/>
      <c r="AA57" s="60"/>
      <c r="AB57" s="81"/>
      <c r="AC57" s="60"/>
      <c r="AD57" s="690"/>
      <c r="AE57" s="82"/>
      <c r="AF57" s="129"/>
      <c r="AG57" s="75"/>
      <c r="AH57" s="149"/>
      <c r="AI57" s="73"/>
      <c r="AJ57" s="73"/>
      <c r="AK57" s="73"/>
      <c r="AL57" s="73"/>
      <c r="AM57" s="73"/>
    </row>
    <row r="58" spans="1:39" s="73" customFormat="1" x14ac:dyDescent="0.2">
      <c r="A58" s="95" t="s">
        <v>92</v>
      </c>
      <c r="B58" s="172">
        <v>7.5</v>
      </c>
      <c r="C58" s="56">
        <f>AH16</f>
        <v>34927.359999999993</v>
      </c>
      <c r="D58" s="88">
        <v>0.56999999999999995</v>
      </c>
      <c r="E58" s="56">
        <f>C58*D58</f>
        <v>19908.595199999996</v>
      </c>
      <c r="F58" s="158"/>
      <c r="G58" s="95" t="s">
        <v>92</v>
      </c>
      <c r="H58" s="172">
        <v>7.5</v>
      </c>
      <c r="I58" s="56">
        <f>AH16</f>
        <v>34927.359999999993</v>
      </c>
      <c r="J58" s="88">
        <v>0.8</v>
      </c>
      <c r="K58" s="56">
        <f>I58*J58</f>
        <v>27941.887999999995</v>
      </c>
      <c r="L58" s="158"/>
      <c r="M58" s="663"/>
      <c r="N58" s="664"/>
      <c r="O58" s="58"/>
      <c r="P58" s="110"/>
      <c r="Q58" s="58"/>
      <c r="R58" s="628"/>
      <c r="S58" s="663"/>
      <c r="T58" s="664"/>
      <c r="U58" s="58"/>
      <c r="V58" s="110"/>
      <c r="W58" s="58"/>
      <c r="X58" s="158"/>
      <c r="Y58" s="86" t="s">
        <v>89</v>
      </c>
      <c r="Z58" s="87"/>
      <c r="AA58" s="56">
        <f>$AH$13</f>
        <v>69600</v>
      </c>
      <c r="AB58" s="88">
        <f>AL68</f>
        <v>0.25</v>
      </c>
      <c r="AC58" s="56">
        <f>AA58*AB58</f>
        <v>17400</v>
      </c>
      <c r="AD58" s="158"/>
      <c r="AE58" s="58"/>
      <c r="AF58" s="129"/>
      <c r="AG58" s="89" t="s">
        <v>90</v>
      </c>
      <c r="AH58" s="149">
        <f>SUM(AH53:AH56)</f>
        <v>408</v>
      </c>
      <c r="AI58" s="56"/>
      <c r="AJ58" s="56"/>
      <c r="AK58" s="56"/>
    </row>
    <row r="59" spans="1:39" s="56" customFormat="1" ht="15" thickBot="1" x14ac:dyDescent="0.25">
      <c r="A59" s="86" t="s">
        <v>94</v>
      </c>
      <c r="B59" s="88"/>
      <c r="C59" s="56">
        <f>AH18</f>
        <v>34927.359999999993</v>
      </c>
      <c r="D59" s="88">
        <f>AH73</f>
        <v>5.8333333333333334E-2</v>
      </c>
      <c r="E59" s="56">
        <f>C59*D59</f>
        <v>2037.429333333333</v>
      </c>
      <c r="F59" s="158"/>
      <c r="G59" s="86" t="s">
        <v>94</v>
      </c>
      <c r="H59" s="88"/>
      <c r="I59" s="56">
        <f>AH18</f>
        <v>34927.359999999993</v>
      </c>
      <c r="J59" s="88">
        <f>AI73</f>
        <v>9.9999999999999992E-2</v>
      </c>
      <c r="K59" s="56">
        <f>I59*J59</f>
        <v>3492.735999999999</v>
      </c>
      <c r="L59" s="158"/>
      <c r="M59" s="641"/>
      <c r="N59" s="110"/>
      <c r="O59" s="58"/>
      <c r="P59" s="110"/>
      <c r="Q59" s="58"/>
      <c r="R59" s="58"/>
      <c r="S59" s="641"/>
      <c r="T59" s="110"/>
      <c r="U59" s="58"/>
      <c r="V59" s="110"/>
      <c r="W59" s="58"/>
      <c r="X59" s="158"/>
      <c r="Y59" s="95" t="s">
        <v>103</v>
      </c>
      <c r="Z59" s="88"/>
      <c r="AA59" s="56">
        <f>$AH$16</f>
        <v>34927.359999999993</v>
      </c>
      <c r="AB59" s="88" t="e">
        <f>#REF!*#REF!</f>
        <v>#REF!</v>
      </c>
      <c r="AC59" s="56" t="e">
        <f>AA59*AB59</f>
        <v>#REF!</v>
      </c>
      <c r="AD59" s="158"/>
      <c r="AE59" s="58"/>
      <c r="AF59" s="54"/>
      <c r="AG59" s="54"/>
      <c r="AH59" s="157"/>
      <c r="AI59" s="97"/>
      <c r="AJ59" s="97"/>
      <c r="AK59" s="97"/>
      <c r="AL59" s="73"/>
      <c r="AM59" s="73"/>
    </row>
    <row r="60" spans="1:39" s="97" customFormat="1" x14ac:dyDescent="0.2">
      <c r="A60" s="100" t="s">
        <v>95</v>
      </c>
      <c r="B60" s="100"/>
      <c r="C60" s="101"/>
      <c r="D60" s="102">
        <f>SUM(D56:D59)</f>
        <v>1.3783333333333332</v>
      </c>
      <c r="E60" s="101">
        <f>SUM(E56:E59)</f>
        <v>61951.52453333333</v>
      </c>
      <c r="F60" s="158"/>
      <c r="G60" s="100" t="s">
        <v>95</v>
      </c>
      <c r="H60" s="100"/>
      <c r="I60" s="101"/>
      <c r="J60" s="102">
        <f>SUM(J56:J59)</f>
        <v>1.9500000000000002</v>
      </c>
      <c r="K60" s="101">
        <f>SUM(K56:K59)</f>
        <v>85003.423999999999</v>
      </c>
      <c r="L60" s="158"/>
      <c r="M60" s="74"/>
      <c r="N60" s="74"/>
      <c r="O60" s="63"/>
      <c r="P60" s="104"/>
      <c r="Q60" s="63"/>
      <c r="R60" s="74"/>
      <c r="S60" s="74"/>
      <c r="T60" s="74"/>
      <c r="U60" s="63"/>
      <c r="V60" s="104"/>
      <c r="W60" s="63"/>
      <c r="X60" s="158"/>
      <c r="Y60" s="86" t="s">
        <v>94</v>
      </c>
      <c r="Z60" s="88"/>
      <c r="AA60" s="56">
        <f>$AH$18</f>
        <v>34927.359999999993</v>
      </c>
      <c r="AB60" s="88">
        <f>AL73</f>
        <v>0.20833333333333334</v>
      </c>
      <c r="AC60" s="56">
        <f>AA60*AB60</f>
        <v>7276.5333333333319</v>
      </c>
      <c r="AD60" s="158"/>
      <c r="AE60" s="58"/>
      <c r="AF60" s="625"/>
      <c r="AG60" s="677"/>
      <c r="AH60" s="678" t="s">
        <v>131</v>
      </c>
      <c r="AI60" s="670"/>
      <c r="AJ60" s="670"/>
      <c r="AK60" s="670"/>
      <c r="AL60" s="103"/>
      <c r="AM60" s="627"/>
    </row>
    <row r="61" spans="1:39" s="97" customFormat="1" x14ac:dyDescent="0.2">
      <c r="A61" s="73" t="s">
        <v>98</v>
      </c>
      <c r="B61" s="73"/>
      <c r="C61" s="62"/>
      <c r="D61" s="61"/>
      <c r="E61" s="62"/>
      <c r="F61" s="158"/>
      <c r="G61" s="73" t="s">
        <v>98</v>
      </c>
      <c r="H61" s="73"/>
      <c r="I61" s="62"/>
      <c r="J61" s="61"/>
      <c r="K61" s="62"/>
      <c r="L61" s="158"/>
      <c r="M61" s="74"/>
      <c r="N61" s="74"/>
      <c r="O61" s="63"/>
      <c r="P61" s="69"/>
      <c r="Q61" s="63"/>
      <c r="R61" s="74"/>
      <c r="S61" s="74"/>
      <c r="T61" s="74"/>
      <c r="U61" s="63"/>
      <c r="V61" s="69"/>
      <c r="W61" s="63"/>
      <c r="X61" s="158"/>
      <c r="Y61" s="100" t="s">
        <v>95</v>
      </c>
      <c r="Z61" s="100"/>
      <c r="AA61" s="101"/>
      <c r="AB61" s="102" t="e">
        <f>SUM(AB58:AB60)</f>
        <v>#REF!</v>
      </c>
      <c r="AC61" s="101" t="e">
        <f>SUM(AC58:AC60)</f>
        <v>#REF!</v>
      </c>
      <c r="AD61" s="158"/>
      <c r="AE61" s="58"/>
      <c r="AF61" s="648" t="s">
        <v>89</v>
      </c>
      <c r="AG61" s="58"/>
      <c r="AH61" s="82">
        <f>AH13</f>
        <v>69600</v>
      </c>
      <c r="AI61" s="58"/>
      <c r="AJ61" s="58"/>
      <c r="AK61" s="58"/>
      <c r="AL61" s="58"/>
      <c r="AM61" s="159"/>
    </row>
    <row r="62" spans="1:39" s="56" customFormat="1" x14ac:dyDescent="0.2">
      <c r="A62" s="59" t="str">
        <f>'2020 BLS Chart'!B34</f>
        <v>PFMLA</v>
      </c>
      <c r="B62" s="59"/>
      <c r="C62" s="105">
        <f>'2020 BLS Chart'!C34</f>
        <v>3.7000000000000002E-3</v>
      </c>
      <c r="D62" s="61"/>
      <c r="E62" s="56">
        <f>E60*C62</f>
        <v>229.22064077333334</v>
      </c>
      <c r="F62" s="158"/>
      <c r="G62" s="59" t="str">
        <f>A62</f>
        <v>PFMLA</v>
      </c>
      <c r="H62" s="59"/>
      <c r="I62" s="105">
        <f>C62</f>
        <v>3.7000000000000002E-3</v>
      </c>
      <c r="J62" s="61"/>
      <c r="K62" s="56">
        <f>K60*I62</f>
        <v>314.51266880000003</v>
      </c>
      <c r="L62" s="158"/>
      <c r="M62" s="54"/>
      <c r="N62" s="54"/>
      <c r="O62" s="665"/>
      <c r="P62" s="226"/>
      <c r="Q62" s="58"/>
      <c r="R62" s="54"/>
      <c r="S62" s="54"/>
      <c r="T62" s="54"/>
      <c r="U62" s="665"/>
      <c r="V62" s="69"/>
      <c r="W62" s="58"/>
      <c r="X62" s="158"/>
      <c r="Y62" s="74"/>
      <c r="Z62" s="74"/>
      <c r="AA62" s="63"/>
      <c r="AB62" s="104"/>
      <c r="AC62" s="63"/>
      <c r="AD62" s="158"/>
      <c r="AE62" s="63"/>
      <c r="AF62" s="648" t="s">
        <v>108</v>
      </c>
      <c r="AG62" s="58"/>
      <c r="AH62" s="82">
        <f>AH14</f>
        <v>63627.199999999997</v>
      </c>
      <c r="AI62" s="74"/>
      <c r="AJ62" s="74"/>
      <c r="AK62" s="74"/>
      <c r="AL62" s="628"/>
      <c r="AM62" s="629"/>
    </row>
    <row r="63" spans="1:39" s="73" customFormat="1" x14ac:dyDescent="0.2">
      <c r="A63" s="59" t="s">
        <v>101</v>
      </c>
      <c r="B63" s="59"/>
      <c r="C63" s="106">
        <f>'[9]Salary Bench Chart'!C30</f>
        <v>0.224</v>
      </c>
      <c r="D63" s="57"/>
      <c r="E63" s="56">
        <f>C63*E60</f>
        <v>13877.141495466665</v>
      </c>
      <c r="F63" s="158"/>
      <c r="G63" s="59" t="s">
        <v>101</v>
      </c>
      <c r="H63" s="59"/>
      <c r="I63" s="106">
        <f>'[9]Salary Bench Chart'!C30</f>
        <v>0.224</v>
      </c>
      <c r="J63" s="57"/>
      <c r="K63" s="56">
        <f>I63*K60</f>
        <v>19040.766975999999</v>
      </c>
      <c r="L63" s="158"/>
      <c r="M63" s="54"/>
      <c r="N63" s="54"/>
      <c r="O63" s="121"/>
      <c r="P63" s="226"/>
      <c r="Q63" s="58"/>
      <c r="R63" s="54"/>
      <c r="S63" s="54"/>
      <c r="T63" s="54"/>
      <c r="U63" s="121"/>
      <c r="V63" s="226"/>
      <c r="W63" s="58"/>
      <c r="X63" s="158"/>
      <c r="Y63" s="73" t="s">
        <v>98</v>
      </c>
      <c r="AA63" s="62"/>
      <c r="AB63" s="61" t="s">
        <v>99</v>
      </c>
      <c r="AC63" s="62"/>
      <c r="AD63" s="158"/>
      <c r="AE63" s="63"/>
      <c r="AF63" s="671" t="s">
        <v>117</v>
      </c>
      <c r="AG63" s="628"/>
      <c r="AH63" s="82">
        <f>AH16</f>
        <v>34927.359999999993</v>
      </c>
      <c r="AI63" s="74"/>
      <c r="AJ63" s="74"/>
      <c r="AK63" s="74"/>
      <c r="AL63" s="628"/>
      <c r="AM63" s="629"/>
    </row>
    <row r="64" spans="1:39" s="73" customFormat="1" x14ac:dyDescent="0.2">
      <c r="A64" s="107" t="s">
        <v>102</v>
      </c>
      <c r="B64" s="107"/>
      <c r="C64" s="108"/>
      <c r="D64" s="109">
        <f>E64/E52</f>
        <v>41.675554339492237</v>
      </c>
      <c r="E64" s="101">
        <f>E63+E60+E62</f>
        <v>76057.88666957333</v>
      </c>
      <c r="F64" s="158"/>
      <c r="G64" s="107" t="s">
        <v>102</v>
      </c>
      <c r="H64" s="107"/>
      <c r="I64" s="108"/>
      <c r="J64" s="109">
        <f>K64/K52</f>
        <v>28.591425656109589</v>
      </c>
      <c r="K64" s="101">
        <f>K63+K60+K62</f>
        <v>104358.7036448</v>
      </c>
      <c r="L64" s="158"/>
      <c r="M64" s="54"/>
      <c r="N64" s="54"/>
      <c r="O64" s="58"/>
      <c r="P64" s="110"/>
      <c r="Q64" s="63"/>
      <c r="R64" s="54"/>
      <c r="S64" s="54"/>
      <c r="T64" s="54"/>
      <c r="U64" s="58"/>
      <c r="V64" s="110"/>
      <c r="W64" s="63"/>
      <c r="X64" s="158"/>
      <c r="Y64" s="59" t="s">
        <v>101</v>
      </c>
      <c r="Z64" s="59"/>
      <c r="AA64" s="106">
        <f>$AH$36</f>
        <v>0.224</v>
      </c>
      <c r="AB64" s="57"/>
      <c r="AC64" s="56" t="e">
        <f>AA64*AC61</f>
        <v>#REF!</v>
      </c>
      <c r="AD64" s="158"/>
      <c r="AE64" s="63"/>
      <c r="AF64" s="648" t="s">
        <v>94</v>
      </c>
      <c r="AG64" s="58"/>
      <c r="AH64" s="82">
        <f>AH18</f>
        <v>34927.359999999993</v>
      </c>
      <c r="AI64" s="74"/>
      <c r="AJ64" s="74"/>
      <c r="AK64" s="74"/>
      <c r="AL64" s="58"/>
      <c r="AM64" s="159"/>
    </row>
    <row r="65" spans="1:39" s="73" customFormat="1" x14ac:dyDescent="0.2">
      <c r="A65" s="59"/>
      <c r="B65" s="59"/>
      <c r="C65" s="56"/>
      <c r="D65" s="57"/>
      <c r="E65" s="56"/>
      <c r="F65" s="158"/>
      <c r="G65" s="59"/>
      <c r="H65" s="59"/>
      <c r="I65" s="56"/>
      <c r="J65" s="57"/>
      <c r="K65" s="56"/>
      <c r="L65" s="158"/>
      <c r="M65" s="54"/>
      <c r="N65" s="54"/>
      <c r="O65" s="58"/>
      <c r="P65" s="226"/>
      <c r="Q65" s="58"/>
      <c r="R65" s="54"/>
      <c r="S65" s="54"/>
      <c r="T65" s="54"/>
      <c r="U65" s="58"/>
      <c r="V65" s="226"/>
      <c r="W65" s="58"/>
      <c r="X65" s="158"/>
      <c r="Y65" s="107" t="s">
        <v>102</v>
      </c>
      <c r="Z65" s="107"/>
      <c r="AA65" s="108"/>
      <c r="AB65" s="109" t="e">
        <f>AC65/AC53</f>
        <v>#REF!</v>
      </c>
      <c r="AC65" s="101" t="e">
        <f>AC64+AC61</f>
        <v>#REF!</v>
      </c>
      <c r="AD65" s="158"/>
      <c r="AE65" s="58"/>
      <c r="AF65" s="637"/>
      <c r="AG65" s="58"/>
      <c r="AH65" s="82"/>
      <c r="AI65" s="54"/>
      <c r="AJ65" s="54"/>
      <c r="AK65" s="54"/>
      <c r="AL65" s="74"/>
      <c r="AM65" s="136"/>
    </row>
    <row r="66" spans="1:39" s="59" customFormat="1" x14ac:dyDescent="0.2">
      <c r="A66" s="59" t="s">
        <v>137</v>
      </c>
      <c r="C66" s="56"/>
      <c r="D66" s="88">
        <v>42.5</v>
      </c>
      <c r="E66" s="56">
        <f>D66*E$7</f>
        <v>124100</v>
      </c>
      <c r="F66" s="158"/>
      <c r="G66" s="59" t="str">
        <f>A66</f>
        <v>Occupancy &amp; other Expences</v>
      </c>
      <c r="I66" s="56"/>
      <c r="J66" s="88">
        <v>65</v>
      </c>
      <c r="K66" s="56">
        <f>J66*K$52</f>
        <v>237250</v>
      </c>
      <c r="L66" s="158"/>
      <c r="M66" s="54"/>
      <c r="N66" s="54"/>
      <c r="O66" s="58"/>
      <c r="P66" s="110"/>
      <c r="Q66" s="58"/>
      <c r="R66" s="54"/>
      <c r="S66" s="54"/>
      <c r="T66" s="54"/>
      <c r="U66" s="58"/>
      <c r="V66" s="110"/>
      <c r="W66" s="58"/>
      <c r="X66" s="158"/>
      <c r="AA66" s="56"/>
      <c r="AB66" s="57"/>
      <c r="AC66" s="56"/>
      <c r="AD66" s="158"/>
      <c r="AE66" s="58"/>
      <c r="AF66" s="637"/>
      <c r="AG66" s="58"/>
      <c r="AH66" s="679" t="s">
        <v>86</v>
      </c>
      <c r="AI66" s="679"/>
      <c r="AJ66" s="679"/>
      <c r="AK66" s="679"/>
      <c r="AL66" s="679"/>
      <c r="AM66" s="680"/>
    </row>
    <row r="67" spans="1:39" s="59" customFormat="1" x14ac:dyDescent="0.2">
      <c r="C67" s="56"/>
      <c r="D67" s="88"/>
      <c r="E67" s="56"/>
      <c r="F67" s="158"/>
      <c r="I67" s="56"/>
      <c r="J67" s="88"/>
      <c r="K67" s="56"/>
      <c r="L67" s="158"/>
      <c r="M67" s="54"/>
      <c r="N67" s="54"/>
      <c r="O67" s="58"/>
      <c r="P67" s="110"/>
      <c r="Q67" s="58"/>
      <c r="R67" s="54"/>
      <c r="S67" s="54"/>
      <c r="T67" s="54"/>
      <c r="U67" s="58"/>
      <c r="V67" s="110"/>
      <c r="W67" s="58"/>
      <c r="X67" s="158"/>
      <c r="Y67" s="59" t="s">
        <v>104</v>
      </c>
      <c r="AA67" s="56"/>
      <c r="AB67" s="88">
        <f>AH83</f>
        <v>42.238306545565408</v>
      </c>
      <c r="AC67" s="56">
        <f>AB67*AC53</f>
        <v>385424.54722828435</v>
      </c>
      <c r="AD67" s="158"/>
      <c r="AE67" s="58"/>
      <c r="AF67" s="640"/>
      <c r="AG67" s="641" t="s">
        <v>105</v>
      </c>
      <c r="AH67" s="166">
        <v>8</v>
      </c>
      <c r="AI67" s="166">
        <v>12</v>
      </c>
      <c r="AJ67" s="166">
        <v>15.5</v>
      </c>
      <c r="AK67" s="166">
        <v>20</v>
      </c>
      <c r="AL67" s="167">
        <v>25</v>
      </c>
      <c r="AM67" s="168">
        <v>30</v>
      </c>
    </row>
    <row r="68" spans="1:39" s="59" customFormat="1" x14ac:dyDescent="0.2">
      <c r="A68" s="59" t="s">
        <v>107</v>
      </c>
      <c r="C68" s="56"/>
      <c r="D68" s="110"/>
      <c r="E68" s="56">
        <f>D68*E$7</f>
        <v>0</v>
      </c>
      <c r="F68" s="158"/>
      <c r="G68" s="59" t="s">
        <v>107</v>
      </c>
      <c r="I68" s="56"/>
      <c r="J68" s="110"/>
      <c r="K68" s="56">
        <f>J68*K$7</f>
        <v>0</v>
      </c>
      <c r="L68" s="158"/>
      <c r="M68" s="54"/>
      <c r="N68" s="54"/>
      <c r="O68" s="58"/>
      <c r="P68" s="110"/>
      <c r="Q68" s="58"/>
      <c r="R68" s="54"/>
      <c r="S68" s="54"/>
      <c r="T68" s="54"/>
      <c r="U68" s="58"/>
      <c r="V68" s="110"/>
      <c r="W68" s="58"/>
      <c r="X68" s="158"/>
      <c r="AA68" s="56"/>
      <c r="AB68" s="88"/>
      <c r="AC68" s="56"/>
      <c r="AD68" s="158"/>
      <c r="AE68" s="58"/>
      <c r="AF68" s="648" t="s">
        <v>89</v>
      </c>
      <c r="AG68" s="58"/>
      <c r="AH68" s="112">
        <v>0.25</v>
      </c>
      <c r="AI68" s="112">
        <v>0.25</v>
      </c>
      <c r="AJ68" s="112">
        <v>0.25</v>
      </c>
      <c r="AK68" s="112">
        <v>0.25</v>
      </c>
      <c r="AL68" s="112">
        <v>0.25</v>
      </c>
      <c r="AM68" s="173">
        <v>0.25</v>
      </c>
    </row>
    <row r="69" spans="1:39" s="59" customFormat="1" x14ac:dyDescent="0.2">
      <c r="C69" s="56"/>
      <c r="D69" s="111"/>
      <c r="E69" s="56"/>
      <c r="F69" s="158"/>
      <c r="I69" s="56"/>
      <c r="J69" s="111"/>
      <c r="K69" s="56"/>
      <c r="L69" s="158"/>
      <c r="M69" s="54"/>
      <c r="N69" s="54"/>
      <c r="O69" s="58"/>
      <c r="P69" s="104"/>
      <c r="Q69" s="58"/>
      <c r="R69" s="54"/>
      <c r="S69" s="54"/>
      <c r="T69" s="54"/>
      <c r="U69" s="58"/>
      <c r="V69" s="104"/>
      <c r="W69" s="58"/>
      <c r="X69" s="158"/>
      <c r="Y69" s="59" t="s">
        <v>107</v>
      </c>
      <c r="AA69" s="56"/>
      <c r="AB69" s="88">
        <f>$AH87</f>
        <v>18.364580498704061</v>
      </c>
      <c r="AC69" s="56">
        <f>AB69*AC53</f>
        <v>167576.79705067456</v>
      </c>
      <c r="AD69" s="158"/>
      <c r="AE69" s="58"/>
      <c r="AF69" s="648" t="s">
        <v>108</v>
      </c>
      <c r="AG69" s="58"/>
      <c r="AH69" s="112">
        <v>0</v>
      </c>
      <c r="AI69" s="112">
        <v>0</v>
      </c>
      <c r="AJ69" s="112">
        <v>0</v>
      </c>
      <c r="AK69" s="112">
        <v>0</v>
      </c>
      <c r="AL69" s="112">
        <v>0</v>
      </c>
      <c r="AM69" s="160">
        <v>0</v>
      </c>
    </row>
    <row r="70" spans="1:39" s="59" customFormat="1" x14ac:dyDescent="0.2">
      <c r="A70" s="100" t="s">
        <v>109</v>
      </c>
      <c r="B70" s="100"/>
      <c r="C70" s="101"/>
      <c r="D70" s="102"/>
      <c r="E70" s="101">
        <f>SUM(E64:E68)</f>
        <v>200157.88666957332</v>
      </c>
      <c r="F70" s="158"/>
      <c r="G70" s="100" t="s">
        <v>109</v>
      </c>
      <c r="H70" s="100"/>
      <c r="I70" s="101"/>
      <c r="J70" s="102"/>
      <c r="K70" s="101">
        <f>SUM(K64:K68)</f>
        <v>341608.7036448</v>
      </c>
      <c r="L70" s="158"/>
      <c r="M70" s="74"/>
      <c r="N70" s="74"/>
      <c r="O70" s="63"/>
      <c r="P70" s="104"/>
      <c r="Q70" s="63"/>
      <c r="R70" s="54"/>
      <c r="S70" s="74"/>
      <c r="T70" s="74"/>
      <c r="U70" s="63"/>
      <c r="V70" s="104"/>
      <c r="W70" s="63"/>
      <c r="X70" s="158"/>
      <c r="AA70" s="56"/>
      <c r="AB70" s="102">
        <f>SUM(AB67:AB69)</f>
        <v>60.602887044269465</v>
      </c>
      <c r="AC70" s="56"/>
      <c r="AD70" s="158"/>
      <c r="AE70" s="58"/>
      <c r="AF70" s="637"/>
      <c r="AG70" s="58"/>
      <c r="AH70" s="112"/>
      <c r="AI70" s="54"/>
      <c r="AJ70" s="54"/>
      <c r="AK70" s="54"/>
      <c r="AL70" s="54"/>
      <c r="AM70" s="163"/>
    </row>
    <row r="71" spans="1:39" s="59" customFormat="1" x14ac:dyDescent="0.2">
      <c r="A71" s="59" t="s">
        <v>110</v>
      </c>
      <c r="C71" s="106">
        <f>'[9]Salary Bench Chart'!C33</f>
        <v>0.12</v>
      </c>
      <c r="D71" s="88"/>
      <c r="E71" s="56">
        <f>C71*E70</f>
        <v>24018.946400348796</v>
      </c>
      <c r="F71" s="158"/>
      <c r="G71" s="59" t="s">
        <v>110</v>
      </c>
      <c r="I71" s="106">
        <f>'[9]Salary Bench Chart'!C33</f>
        <v>0.12</v>
      </c>
      <c r="J71" s="88"/>
      <c r="K71" s="56">
        <f>I71*K70</f>
        <v>40993.044437375996</v>
      </c>
      <c r="L71" s="158"/>
      <c r="M71" s="54"/>
      <c r="N71" s="54"/>
      <c r="O71" s="121"/>
      <c r="P71" s="110"/>
      <c r="Q71" s="58"/>
      <c r="R71" s="54"/>
      <c r="S71" s="54"/>
      <c r="T71" s="54"/>
      <c r="U71" s="121"/>
      <c r="V71" s="110"/>
      <c r="W71" s="58"/>
      <c r="X71" s="158"/>
      <c r="Y71" s="100" t="s">
        <v>109</v>
      </c>
      <c r="Z71" s="100"/>
      <c r="AA71" s="101"/>
      <c r="AB71" s="102"/>
      <c r="AC71" s="101" t="e">
        <f>SUM(AC65:AC69)</f>
        <v>#REF!</v>
      </c>
      <c r="AD71" s="158"/>
      <c r="AE71" s="58"/>
      <c r="AF71" s="648" t="s">
        <v>94</v>
      </c>
      <c r="AG71" s="58"/>
      <c r="AH71" s="112"/>
      <c r="AI71" s="54"/>
      <c r="AJ71" s="54"/>
      <c r="AK71" s="54"/>
      <c r="AL71" s="54"/>
      <c r="AM71" s="163"/>
    </row>
    <row r="72" spans="1:39" s="59" customFormat="1" ht="15" thickBot="1" x14ac:dyDescent="0.25">
      <c r="A72" s="113" t="s">
        <v>112</v>
      </c>
      <c r="B72" s="113"/>
      <c r="C72" s="114"/>
      <c r="D72" s="115"/>
      <c r="E72" s="114">
        <f>SUM(E70:E71)</f>
        <v>224176.83306992211</v>
      </c>
      <c r="F72" s="158"/>
      <c r="G72" s="113" t="s">
        <v>112</v>
      </c>
      <c r="H72" s="113"/>
      <c r="I72" s="114"/>
      <c r="J72" s="115"/>
      <c r="K72" s="114">
        <f>SUM(K70:K71)</f>
        <v>382601.74808217597</v>
      </c>
      <c r="L72" s="158"/>
      <c r="M72" s="74"/>
      <c r="N72" s="74"/>
      <c r="O72" s="63"/>
      <c r="P72" s="104"/>
      <c r="Q72" s="63"/>
      <c r="R72" s="74"/>
      <c r="S72" s="74"/>
      <c r="T72" s="74"/>
      <c r="U72" s="63"/>
      <c r="V72" s="104"/>
      <c r="W72" s="63"/>
      <c r="X72" s="158"/>
      <c r="Y72" s="59" t="s">
        <v>110</v>
      </c>
      <c r="AA72" s="106">
        <f>$AH$45</f>
        <v>0.12</v>
      </c>
      <c r="AB72" s="88"/>
      <c r="AC72" s="56" t="e">
        <f>AA72*AC71</f>
        <v>#REF!</v>
      </c>
      <c r="AD72" s="158"/>
      <c r="AE72" s="63"/>
      <c r="AF72" s="637" t="s">
        <v>111</v>
      </c>
      <c r="AG72" s="58"/>
      <c r="AH72" s="161">
        <f>(0.75*7)/12</f>
        <v>0.4375</v>
      </c>
      <c r="AI72" s="161">
        <f>(0.75*8)/12</f>
        <v>0.5</v>
      </c>
      <c r="AJ72" s="161">
        <v>0.75</v>
      </c>
      <c r="AK72" s="161">
        <f>(0.75*20)/12</f>
        <v>1.25</v>
      </c>
      <c r="AL72" s="161">
        <f>(0.75*25)/12</f>
        <v>1.5625</v>
      </c>
      <c r="AM72" s="162">
        <f>(0.75*30)/12</f>
        <v>1.875</v>
      </c>
    </row>
    <row r="73" spans="1:39" s="59" customFormat="1" ht="15" thickTop="1" x14ac:dyDescent="0.2">
      <c r="A73" s="73"/>
      <c r="B73" s="73"/>
      <c r="C73" s="62"/>
      <c r="D73" s="116"/>
      <c r="E73" s="62"/>
      <c r="F73" s="158"/>
      <c r="G73" s="73"/>
      <c r="H73" s="73"/>
      <c r="I73" s="62"/>
      <c r="J73" s="116"/>
      <c r="K73" s="62"/>
      <c r="L73" s="158"/>
      <c r="M73" s="74"/>
      <c r="N73" s="74"/>
      <c r="O73" s="63"/>
      <c r="P73" s="104"/>
      <c r="Q73" s="63"/>
      <c r="R73" s="74"/>
      <c r="S73" s="74"/>
      <c r="T73" s="74"/>
      <c r="U73" s="63"/>
      <c r="V73" s="104"/>
      <c r="W73" s="63"/>
      <c r="X73" s="158"/>
      <c r="Y73" s="59" t="s">
        <v>125</v>
      </c>
      <c r="AA73" s="106">
        <v>6.3E-3</v>
      </c>
      <c r="AB73" s="88"/>
      <c r="AC73" s="56" t="e">
        <f>AC61*AA73</f>
        <v>#REF!</v>
      </c>
      <c r="AD73" s="158"/>
      <c r="AE73" s="63"/>
      <c r="AF73" s="637" t="s">
        <v>113</v>
      </c>
      <c r="AG73" s="58"/>
      <c r="AH73" s="161">
        <f>(0.075*7)/9</f>
        <v>5.8333333333333334E-2</v>
      </c>
      <c r="AI73" s="161">
        <f>(0.075*12)/9</f>
        <v>9.9999999999999992E-2</v>
      </c>
      <c r="AJ73" s="161">
        <f>(0.075*15)/9</f>
        <v>0.125</v>
      </c>
      <c r="AK73" s="161">
        <f>(0.075*20)/9</f>
        <v>0.16666666666666666</v>
      </c>
      <c r="AL73" s="161">
        <f>(0.075*25)/9</f>
        <v>0.20833333333333334</v>
      </c>
      <c r="AM73" s="162">
        <f>(0.075*30)/9</f>
        <v>0.25</v>
      </c>
    </row>
    <row r="74" spans="1:39" s="59" customFormat="1" ht="15" thickBot="1" x14ac:dyDescent="0.25">
      <c r="A74" s="117" t="s">
        <v>114</v>
      </c>
      <c r="B74" s="117"/>
      <c r="C74" s="118"/>
      <c r="D74" s="118"/>
      <c r="E74" s="118">
        <f>E72/E52</f>
        <v>122.83662086023129</v>
      </c>
      <c r="F74" s="158"/>
      <c r="G74" s="117" t="s">
        <v>114</v>
      </c>
      <c r="H74" s="117"/>
      <c r="I74" s="118"/>
      <c r="J74" s="118"/>
      <c r="K74" s="118">
        <f>K72/K52</f>
        <v>104.82239673484273</v>
      </c>
      <c r="L74" s="158"/>
      <c r="M74" s="118"/>
      <c r="N74" s="118"/>
      <c r="O74" s="118"/>
      <c r="P74" s="118"/>
      <c r="Q74" s="118"/>
      <c r="R74" s="656"/>
      <c r="S74" s="118"/>
      <c r="T74" s="118"/>
      <c r="U74" s="118"/>
      <c r="V74" s="118"/>
      <c r="W74" s="118"/>
      <c r="X74" s="158"/>
      <c r="Y74" s="113" t="s">
        <v>112</v>
      </c>
      <c r="Z74" s="113"/>
      <c r="AA74" s="114"/>
      <c r="AB74" s="115"/>
      <c r="AC74" s="114" t="e">
        <f>SUM(AC71:AC73)</f>
        <v>#REF!</v>
      </c>
      <c r="AD74" s="158"/>
      <c r="AE74" s="58"/>
      <c r="AF74" s="637"/>
      <c r="AG74" s="58"/>
      <c r="AH74" s="112"/>
      <c r="AI74" s="74"/>
      <c r="AJ74" s="74"/>
      <c r="AK74" s="74"/>
      <c r="AL74" s="54"/>
      <c r="AM74" s="163"/>
    </row>
    <row r="75" spans="1:39" s="59" customFormat="1" ht="15.75" thickTop="1" thickBot="1" x14ac:dyDescent="0.25">
      <c r="A75" s="117" t="s">
        <v>64</v>
      </c>
      <c r="B75" s="117"/>
      <c r="C75" s="121">
        <f>'[9]Salary Bench Chart'!C31</f>
        <v>1.0633805350099574E-2</v>
      </c>
      <c r="D75" s="118"/>
      <c r="E75" s="118"/>
      <c r="F75" s="158"/>
      <c r="G75" s="117" t="s">
        <v>64</v>
      </c>
      <c r="H75" s="117"/>
      <c r="I75" s="121">
        <f>'[9]Salary Bench Chart'!C31</f>
        <v>1.0633805350099574E-2</v>
      </c>
      <c r="J75" s="118"/>
      <c r="K75" s="118"/>
      <c r="L75" s="158"/>
      <c r="M75" s="118"/>
      <c r="N75" s="118"/>
      <c r="O75" s="121"/>
      <c r="P75" s="118"/>
      <c r="Q75" s="118"/>
      <c r="R75" s="656"/>
      <c r="S75" s="118"/>
      <c r="T75" s="118"/>
      <c r="U75" s="121"/>
      <c r="V75" s="118"/>
      <c r="W75" s="118"/>
      <c r="X75" s="158"/>
      <c r="Y75" s="73"/>
      <c r="Z75" s="73"/>
      <c r="AA75" s="62"/>
      <c r="AB75" s="116"/>
      <c r="AC75" s="62"/>
      <c r="AD75" s="158"/>
      <c r="AE75" s="63"/>
      <c r="AF75" s="637"/>
      <c r="AG75" s="58"/>
      <c r="AH75" s="112"/>
      <c r="AI75" s="74"/>
      <c r="AJ75" s="74"/>
      <c r="AK75" s="74"/>
      <c r="AL75" s="54"/>
      <c r="AM75" s="163"/>
    </row>
    <row r="76" spans="1:39" s="73" customFormat="1" ht="15" customHeight="1" thickBot="1" x14ac:dyDescent="0.25">
      <c r="A76" s="122" t="s">
        <v>116</v>
      </c>
      <c r="B76" s="123"/>
      <c r="C76" s="124">
        <v>0.9</v>
      </c>
      <c r="D76" s="103"/>
      <c r="E76" s="125">
        <f t="shared" ref="E76:E84" si="13">E$72*(C$75+1)/(E$52*C76)</f>
        <v>137.93649064035887</v>
      </c>
      <c r="F76" s="158"/>
      <c r="G76" s="122" t="s">
        <v>116</v>
      </c>
      <c r="H76" s="123"/>
      <c r="I76" s="124">
        <v>0.9</v>
      </c>
      <c r="J76" s="103"/>
      <c r="K76" s="125">
        <f t="shared" ref="K76:K84" si="14">K$72*(I$75+1)/(K$52*I76)</f>
        <v>117.7078418867244</v>
      </c>
      <c r="L76" s="158"/>
      <c r="M76" s="118"/>
      <c r="N76" s="54"/>
      <c r="O76" s="127"/>
      <c r="P76" s="58"/>
      <c r="Q76" s="118"/>
      <c r="R76" s="54"/>
      <c r="S76" s="118"/>
      <c r="T76" s="54"/>
      <c r="U76" s="127"/>
      <c r="V76" s="58"/>
      <c r="W76" s="118"/>
      <c r="X76" s="158"/>
      <c r="Y76" s="117" t="s">
        <v>114</v>
      </c>
      <c r="Z76" s="117"/>
      <c r="AA76" s="118"/>
      <c r="AB76" s="118"/>
      <c r="AC76" s="118" t="e">
        <f>AC74/AC53</f>
        <v>#REF!</v>
      </c>
      <c r="AD76" s="158"/>
      <c r="AE76" s="63"/>
      <c r="AF76" s="637"/>
      <c r="AG76" s="58"/>
      <c r="AH76" s="174" t="s">
        <v>115</v>
      </c>
      <c r="AI76" s="174"/>
      <c r="AJ76" s="174"/>
      <c r="AK76" s="174"/>
      <c r="AL76" s="174"/>
      <c r="AM76" s="175"/>
    </row>
    <row r="77" spans="1:39" s="73" customFormat="1" ht="15" thickBot="1" x14ac:dyDescent="0.25">
      <c r="A77" s="126"/>
      <c r="B77" s="54"/>
      <c r="C77" s="127">
        <v>0.85</v>
      </c>
      <c r="D77" s="58"/>
      <c r="E77" s="125">
        <f t="shared" si="13"/>
        <v>146.05040185449764</v>
      </c>
      <c r="F77" s="158"/>
      <c r="G77" s="126"/>
      <c r="H77" s="54"/>
      <c r="I77" s="127">
        <v>0.85</v>
      </c>
      <c r="J77" s="58"/>
      <c r="K77" s="125">
        <f t="shared" si="14"/>
        <v>124.63183258594349</v>
      </c>
      <c r="L77" s="158"/>
      <c r="M77" s="118"/>
      <c r="N77" s="54"/>
      <c r="O77" s="127"/>
      <c r="P77" s="58"/>
      <c r="Q77" s="118"/>
      <c r="R77" s="54"/>
      <c r="S77" s="118"/>
      <c r="T77" s="54"/>
      <c r="U77" s="127"/>
      <c r="V77" s="58"/>
      <c r="W77" s="118"/>
      <c r="X77" s="158"/>
      <c r="Y77" s="117" t="s">
        <v>64</v>
      </c>
      <c r="Z77" s="117"/>
      <c r="AA77" s="121">
        <f>AI92</f>
        <v>1.0633805350099574E-2</v>
      </c>
      <c r="AB77" s="118"/>
      <c r="AC77" s="118"/>
      <c r="AD77" s="158"/>
      <c r="AE77" s="119"/>
      <c r="AF77" s="637"/>
      <c r="AG77" s="641" t="s">
        <v>105</v>
      </c>
      <c r="AH77" s="166">
        <v>8</v>
      </c>
      <c r="AI77" s="166">
        <v>12</v>
      </c>
      <c r="AJ77" s="166">
        <v>15.5</v>
      </c>
      <c r="AK77" s="166">
        <v>20</v>
      </c>
      <c r="AL77" s="167">
        <v>25</v>
      </c>
      <c r="AM77" s="168">
        <v>30</v>
      </c>
    </row>
    <row r="78" spans="1:39" s="120" customFormat="1" ht="15" thickBot="1" x14ac:dyDescent="0.25">
      <c r="A78" s="126"/>
      <c r="B78" s="54"/>
      <c r="C78" s="127">
        <v>0.8</v>
      </c>
      <c r="D78" s="58"/>
      <c r="E78" s="125">
        <f t="shared" si="13"/>
        <v>155.17855197040373</v>
      </c>
      <c r="F78" s="158"/>
      <c r="G78" s="126"/>
      <c r="H78" s="54"/>
      <c r="I78" s="127">
        <v>0.8</v>
      </c>
      <c r="J78" s="58"/>
      <c r="K78" s="125">
        <f t="shared" si="14"/>
        <v>132.42132212256496</v>
      </c>
      <c r="L78" s="158"/>
      <c r="M78" s="118"/>
      <c r="N78" s="54"/>
      <c r="O78" s="127"/>
      <c r="P78" s="58"/>
      <c r="Q78" s="118"/>
      <c r="R78" s="54"/>
      <c r="S78" s="118"/>
      <c r="T78" s="54"/>
      <c r="U78" s="127"/>
      <c r="V78" s="58"/>
      <c r="W78" s="118"/>
      <c r="X78" s="158"/>
      <c r="Y78" s="122" t="s">
        <v>116</v>
      </c>
      <c r="Z78" s="123"/>
      <c r="AA78" s="124">
        <v>0.9</v>
      </c>
      <c r="AB78" s="103"/>
      <c r="AC78" s="125" t="e">
        <f t="shared" ref="AC78:AC86" si="15">AC$74/(AC$53*AA78)</f>
        <v>#REF!</v>
      </c>
      <c r="AD78" s="158"/>
      <c r="AE78" s="119"/>
      <c r="AF78" s="638" t="s">
        <v>117</v>
      </c>
      <c r="AG78" s="58"/>
      <c r="AH78" s="161">
        <v>7.5</v>
      </c>
      <c r="AI78" s="161">
        <v>7.5</v>
      </c>
      <c r="AJ78" s="161">
        <v>7.5</v>
      </c>
      <c r="AK78" s="161">
        <v>7.5</v>
      </c>
      <c r="AL78" s="161">
        <v>7.5</v>
      </c>
      <c r="AM78" s="162">
        <v>7.5</v>
      </c>
    </row>
    <row r="79" spans="1:39" s="120" customFormat="1" ht="15" thickBot="1" x14ac:dyDescent="0.25">
      <c r="A79" s="126"/>
      <c r="B79" s="54"/>
      <c r="C79" s="127">
        <v>0.75</v>
      </c>
      <c r="D79" s="58"/>
      <c r="E79" s="125">
        <f t="shared" si="13"/>
        <v>165.52378876843065</v>
      </c>
      <c r="F79" s="158"/>
      <c r="G79" s="126"/>
      <c r="H79" s="54"/>
      <c r="I79" s="127">
        <v>0.75</v>
      </c>
      <c r="J79" s="58"/>
      <c r="K79" s="125">
        <f t="shared" si="14"/>
        <v>141.24941026406927</v>
      </c>
      <c r="L79" s="158"/>
      <c r="M79" s="118"/>
      <c r="N79" s="54"/>
      <c r="O79" s="127"/>
      <c r="P79" s="58"/>
      <c r="Q79" s="118"/>
      <c r="R79" s="54"/>
      <c r="S79" s="118"/>
      <c r="T79" s="54"/>
      <c r="U79" s="127"/>
      <c r="V79" s="58"/>
      <c r="W79" s="118"/>
      <c r="X79" s="158"/>
      <c r="Y79" s="126"/>
      <c r="Z79" s="54"/>
      <c r="AA79" s="127">
        <v>0.85</v>
      </c>
      <c r="AB79" s="58"/>
      <c r="AC79" s="672" t="e">
        <f t="shared" si="15"/>
        <v>#REF!</v>
      </c>
      <c r="AD79" s="158"/>
      <c r="AE79" s="54"/>
      <c r="AF79" s="638"/>
      <c r="AG79" s="58"/>
      <c r="AH79" s="112"/>
      <c r="AI79" s="54"/>
      <c r="AJ79" s="54"/>
      <c r="AK79" s="54"/>
      <c r="AL79" s="74"/>
      <c r="AM79" s="136"/>
    </row>
    <row r="80" spans="1:39" s="59" customFormat="1" ht="15" thickBot="1" x14ac:dyDescent="0.25">
      <c r="A80" s="126"/>
      <c r="B80" s="54"/>
      <c r="C80" s="127">
        <v>0.7</v>
      </c>
      <c r="D80" s="58"/>
      <c r="E80" s="125">
        <f t="shared" si="13"/>
        <v>177.34691653760427</v>
      </c>
      <c r="F80" s="158"/>
      <c r="G80" s="126"/>
      <c r="H80" s="54"/>
      <c r="I80" s="127">
        <v>0.7</v>
      </c>
      <c r="J80" s="58"/>
      <c r="K80" s="125">
        <f t="shared" si="14"/>
        <v>151.33865385435993</v>
      </c>
      <c r="L80" s="158"/>
      <c r="M80" s="118"/>
      <c r="N80" s="54"/>
      <c r="O80" s="127"/>
      <c r="P80" s="58"/>
      <c r="Q80" s="118"/>
      <c r="R80" s="54"/>
      <c r="S80" s="118"/>
      <c r="T80" s="54"/>
      <c r="U80" s="127"/>
      <c r="V80" s="58"/>
      <c r="W80" s="118"/>
      <c r="X80" s="158"/>
      <c r="Y80" s="126"/>
      <c r="Z80" s="54"/>
      <c r="AA80" s="127">
        <v>0.8</v>
      </c>
      <c r="AB80" s="58"/>
      <c r="AC80" s="672" t="e">
        <f t="shared" si="15"/>
        <v>#REF!</v>
      </c>
      <c r="AD80" s="158"/>
      <c r="AE80" s="54"/>
      <c r="AF80" s="640" t="s">
        <v>98</v>
      </c>
      <c r="AG80" s="74"/>
      <c r="AH80" s="658"/>
      <c r="AI80" s="54"/>
      <c r="AJ80" s="54"/>
      <c r="AK80" s="54"/>
      <c r="AL80" s="656"/>
      <c r="AM80" s="673"/>
    </row>
    <row r="81" spans="1:39" s="59" customFormat="1" ht="15" thickBot="1" x14ac:dyDescent="0.25">
      <c r="A81" s="126"/>
      <c r="B81" s="54"/>
      <c r="C81" s="127">
        <v>0.65</v>
      </c>
      <c r="D81" s="58"/>
      <c r="E81" s="125">
        <f t="shared" si="13"/>
        <v>190.98898704049691</v>
      </c>
      <c r="F81" s="158"/>
      <c r="G81" s="126"/>
      <c r="H81" s="54"/>
      <c r="I81" s="127">
        <v>0.65</v>
      </c>
      <c r="J81" s="58"/>
      <c r="K81" s="125">
        <f t="shared" si="14"/>
        <v>162.98008876623379</v>
      </c>
      <c r="L81" s="158"/>
      <c r="M81" s="118"/>
      <c r="N81" s="54"/>
      <c r="O81" s="127"/>
      <c r="P81" s="58"/>
      <c r="Q81" s="118"/>
      <c r="R81" s="54"/>
      <c r="S81" s="118"/>
      <c r="T81" s="54"/>
      <c r="U81" s="127"/>
      <c r="V81" s="58"/>
      <c r="W81" s="118"/>
      <c r="X81" s="158"/>
      <c r="Y81" s="126"/>
      <c r="Z81" s="54"/>
      <c r="AA81" s="127">
        <v>0.75</v>
      </c>
      <c r="AB81" s="58"/>
      <c r="AC81" s="672" t="e">
        <f t="shared" si="15"/>
        <v>#REF!</v>
      </c>
      <c r="AD81" s="158"/>
      <c r="AE81" s="54"/>
      <c r="AF81" s="129" t="s">
        <v>101</v>
      </c>
      <c r="AG81" s="54"/>
      <c r="AH81" s="176">
        <f>'[11]Rate Options'!$AJ$30</f>
        <v>0.25578770213785851</v>
      </c>
      <c r="AI81" s="54"/>
      <c r="AJ81" s="54"/>
      <c r="AK81" s="54"/>
      <c r="AL81" s="656"/>
      <c r="AM81" s="673"/>
    </row>
    <row r="82" spans="1:39" s="59" customFormat="1" ht="15" thickBot="1" x14ac:dyDescent="0.25">
      <c r="A82" s="126"/>
      <c r="B82" s="54"/>
      <c r="C82" s="127">
        <v>0.6</v>
      </c>
      <c r="D82" s="58"/>
      <c r="E82" s="125">
        <f t="shared" si="13"/>
        <v>206.90473596053832</v>
      </c>
      <c r="F82" s="158"/>
      <c r="G82" s="126"/>
      <c r="H82" s="54"/>
      <c r="I82" s="127">
        <v>0.6</v>
      </c>
      <c r="J82" s="58"/>
      <c r="K82" s="125">
        <f t="shared" si="14"/>
        <v>176.56176283008659</v>
      </c>
      <c r="L82" s="158"/>
      <c r="M82" s="118"/>
      <c r="N82" s="54"/>
      <c r="O82" s="127"/>
      <c r="P82" s="58"/>
      <c r="Q82" s="118"/>
      <c r="R82" s="54"/>
      <c r="S82" s="118"/>
      <c r="T82" s="54"/>
      <c r="U82" s="127"/>
      <c r="V82" s="58"/>
      <c r="W82" s="118"/>
      <c r="X82" s="158"/>
      <c r="Y82" s="126"/>
      <c r="Z82" s="54"/>
      <c r="AA82" s="127">
        <v>0.7</v>
      </c>
      <c r="AB82" s="58"/>
      <c r="AC82" s="672" t="e">
        <f t="shared" si="15"/>
        <v>#REF!</v>
      </c>
      <c r="AD82" s="158"/>
      <c r="AE82" s="54"/>
      <c r="AF82" s="129"/>
      <c r="AG82" s="54"/>
      <c r="AH82" s="658"/>
      <c r="AI82" s="54"/>
      <c r="AJ82" s="54"/>
      <c r="AK82" s="54"/>
      <c r="AL82" s="54"/>
      <c r="AM82" s="163"/>
    </row>
    <row r="83" spans="1:39" s="59" customFormat="1" ht="15" thickBot="1" x14ac:dyDescent="0.25">
      <c r="A83" s="126"/>
      <c r="B83" s="54"/>
      <c r="C83" s="127">
        <v>0.55000000000000004</v>
      </c>
      <c r="D83" s="58"/>
      <c r="E83" s="125">
        <f t="shared" si="13"/>
        <v>225.71425741149631</v>
      </c>
      <c r="F83" s="158"/>
      <c r="G83" s="126"/>
      <c r="H83" s="54"/>
      <c r="I83" s="127">
        <v>0.55000000000000004</v>
      </c>
      <c r="J83" s="58"/>
      <c r="K83" s="125">
        <f t="shared" si="14"/>
        <v>192.61283217827628</v>
      </c>
      <c r="L83" s="158"/>
      <c r="M83" s="118"/>
      <c r="N83" s="54"/>
      <c r="O83" s="127"/>
      <c r="P83" s="58"/>
      <c r="Q83" s="118"/>
      <c r="R83" s="54"/>
      <c r="S83" s="118"/>
      <c r="T83" s="54"/>
      <c r="U83" s="127"/>
      <c r="V83" s="58"/>
      <c r="W83" s="118"/>
      <c r="X83" s="158"/>
      <c r="Y83" s="126"/>
      <c r="Z83" s="54"/>
      <c r="AA83" s="127">
        <v>0.65</v>
      </c>
      <c r="AB83" s="58"/>
      <c r="AC83" s="672" t="e">
        <f t="shared" si="15"/>
        <v>#REF!</v>
      </c>
      <c r="AD83" s="158"/>
      <c r="AE83" s="54"/>
      <c r="AF83" s="129" t="s">
        <v>120</v>
      </c>
      <c r="AG83" s="54"/>
      <c r="AH83" s="177">
        <f>AH38</f>
        <v>42.238306545565408</v>
      </c>
      <c r="AI83" s="54"/>
      <c r="AJ83" s="54"/>
      <c r="AK83" s="54"/>
      <c r="AL83" s="54"/>
      <c r="AM83" s="163"/>
    </row>
    <row r="84" spans="1:39" s="59" customFormat="1" ht="15" thickBot="1" x14ac:dyDescent="0.25">
      <c r="A84" s="131"/>
      <c r="B84" s="132"/>
      <c r="C84" s="133">
        <v>0.5</v>
      </c>
      <c r="D84" s="134"/>
      <c r="E84" s="135">
        <f t="shared" si="13"/>
        <v>248.28568315264596</v>
      </c>
      <c r="F84" s="158"/>
      <c r="G84" s="131"/>
      <c r="H84" s="132"/>
      <c r="I84" s="133">
        <v>0.5</v>
      </c>
      <c r="J84" s="134"/>
      <c r="K84" s="135">
        <f t="shared" si="14"/>
        <v>211.87411539610392</v>
      </c>
      <c r="L84" s="158"/>
      <c r="M84" s="118"/>
      <c r="N84" s="54"/>
      <c r="O84" s="127"/>
      <c r="P84" s="58"/>
      <c r="Q84" s="118"/>
      <c r="R84" s="54"/>
      <c r="S84" s="118"/>
      <c r="T84" s="54"/>
      <c r="U84" s="127"/>
      <c r="V84" s="58"/>
      <c r="W84" s="118"/>
      <c r="X84" s="158"/>
      <c r="Y84" s="126"/>
      <c r="Z84" s="54"/>
      <c r="AA84" s="127">
        <v>0.6</v>
      </c>
      <c r="AB84" s="58"/>
      <c r="AC84" s="672" t="e">
        <f t="shared" si="15"/>
        <v>#REF!</v>
      </c>
      <c r="AD84" s="158"/>
      <c r="AE84" s="54"/>
      <c r="AF84" s="129" t="s">
        <v>122</v>
      </c>
      <c r="AG84" s="54"/>
      <c r="AH84" s="177">
        <f>AH39</f>
        <v>21.119153272782704</v>
      </c>
      <c r="AI84" s="54"/>
      <c r="AJ84" s="54"/>
      <c r="AK84" s="54"/>
      <c r="AL84" s="54"/>
      <c r="AM84" s="163"/>
    </row>
    <row r="85" spans="1:39" s="59" customFormat="1" x14ac:dyDescent="0.2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681"/>
      <c r="N85" s="681"/>
      <c r="O85" s="681"/>
      <c r="P85" s="681"/>
      <c r="Q85" s="681"/>
      <c r="R85" s="681"/>
      <c r="S85" s="681"/>
      <c r="T85" s="681"/>
      <c r="U85" s="681"/>
      <c r="V85" s="681"/>
      <c r="W85" s="681"/>
      <c r="X85" s="158"/>
      <c r="Y85" s="126"/>
      <c r="Z85" s="54"/>
      <c r="AA85" s="127">
        <v>0.55000000000000004</v>
      </c>
      <c r="AB85" s="58"/>
      <c r="AC85" s="672" t="e">
        <f t="shared" si="15"/>
        <v>#REF!</v>
      </c>
      <c r="AD85" s="158"/>
      <c r="AE85" s="54"/>
      <c r="AF85" s="129" t="s">
        <v>123</v>
      </c>
      <c r="AG85" s="54"/>
      <c r="AH85" s="177">
        <f>AH40</f>
        <v>7.0397177575942358</v>
      </c>
      <c r="AI85" s="54"/>
      <c r="AJ85" s="54"/>
      <c r="AK85" s="54"/>
      <c r="AL85" s="54"/>
      <c r="AM85" s="163"/>
    </row>
    <row r="86" spans="1:39" s="59" customFormat="1" ht="15" thickBot="1" x14ac:dyDescent="0.25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31"/>
      <c r="Z86" s="132"/>
      <c r="AA86" s="133">
        <v>0.5</v>
      </c>
      <c r="AB86" s="134"/>
      <c r="AC86" s="674" t="e">
        <f t="shared" si="15"/>
        <v>#REF!</v>
      </c>
      <c r="AD86" s="158"/>
      <c r="AE86" s="54"/>
      <c r="AF86" s="129"/>
      <c r="AG86" s="54"/>
      <c r="AH86" s="177"/>
      <c r="AI86" s="54"/>
      <c r="AJ86" s="54"/>
      <c r="AK86" s="54"/>
      <c r="AL86" s="54"/>
      <c r="AM86" s="163"/>
    </row>
    <row r="87" spans="1:39" s="59" customFormat="1" x14ac:dyDescent="0.2">
      <c r="A87" s="681"/>
      <c r="B87" s="688"/>
      <c r="C87" s="681"/>
      <c r="D87" s="681"/>
      <c r="E87" s="681"/>
      <c r="F87" s="681"/>
      <c r="G87" s="681"/>
      <c r="H87" s="688"/>
      <c r="I87" s="681"/>
      <c r="J87" s="681"/>
      <c r="K87" s="681"/>
      <c r="L87" s="681"/>
      <c r="M87" s="681"/>
      <c r="N87" s="688"/>
      <c r="O87" s="681"/>
      <c r="P87" s="681"/>
      <c r="Q87" s="681"/>
      <c r="R87" s="681"/>
      <c r="S87" s="681"/>
      <c r="T87" s="688"/>
      <c r="U87" s="681"/>
      <c r="V87" s="681"/>
      <c r="W87" s="681"/>
      <c r="X87" s="158"/>
      <c r="Y87" s="158"/>
      <c r="Z87" s="158"/>
      <c r="AA87" s="158"/>
      <c r="AB87" s="158"/>
      <c r="AC87" s="158"/>
      <c r="AD87" s="158"/>
      <c r="AE87" s="54"/>
      <c r="AF87" s="129" t="s">
        <v>107</v>
      </c>
      <c r="AG87" s="54"/>
      <c r="AH87" s="177">
        <f>AH42</f>
        <v>18.364580498704061</v>
      </c>
      <c r="AI87" s="54"/>
      <c r="AJ87" s="54"/>
      <c r="AK87" s="54"/>
      <c r="AL87" s="54"/>
      <c r="AM87" s="163"/>
    </row>
    <row r="88" spans="1:39" s="59" customFormat="1" x14ac:dyDescent="0.2">
      <c r="A88" s="681"/>
      <c r="B88" s="689"/>
      <c r="C88" s="681"/>
      <c r="D88" s="681"/>
      <c r="E88" s="681"/>
      <c r="F88" s="681"/>
      <c r="G88" s="681"/>
      <c r="H88" s="689"/>
      <c r="I88" s="681"/>
      <c r="J88" s="681"/>
      <c r="K88" s="681"/>
      <c r="L88" s="681"/>
      <c r="M88" s="681"/>
      <c r="N88" s="689"/>
      <c r="O88" s="681"/>
      <c r="P88" s="681"/>
      <c r="Q88" s="681"/>
      <c r="R88" s="681"/>
      <c r="S88" s="681"/>
      <c r="T88" s="689"/>
      <c r="U88" s="681"/>
      <c r="V88" s="681"/>
      <c r="W88" s="681"/>
      <c r="X88" s="158"/>
      <c r="Y88" s="158"/>
      <c r="Z88" s="158"/>
      <c r="AA88" s="158"/>
      <c r="AB88" s="158"/>
      <c r="AC88" s="158"/>
      <c r="AD88" s="158"/>
      <c r="AE88" s="158"/>
      <c r="AF88" s="646"/>
      <c r="AG88" s="647"/>
      <c r="AH88" s="169"/>
      <c r="AI88" s="681"/>
      <c r="AJ88" s="681"/>
      <c r="AK88" s="681"/>
      <c r="AL88" s="54"/>
      <c r="AM88" s="163"/>
    </row>
    <row r="89" spans="1:39" x14ac:dyDescent="0.2">
      <c r="A89" s="681"/>
      <c r="B89" s="681"/>
      <c r="C89" s="681"/>
      <c r="D89" s="681"/>
      <c r="E89" s="681"/>
      <c r="F89" s="681"/>
      <c r="G89" s="681"/>
      <c r="H89" s="681"/>
      <c r="I89" s="681"/>
      <c r="J89" s="681"/>
      <c r="K89" s="681"/>
      <c r="L89" s="681"/>
      <c r="M89" s="681"/>
      <c r="N89" s="681"/>
      <c r="O89" s="681"/>
      <c r="P89" s="681"/>
      <c r="Q89" s="681"/>
      <c r="R89" s="681"/>
      <c r="S89" s="681"/>
      <c r="T89" s="681"/>
      <c r="U89" s="681"/>
      <c r="V89" s="681"/>
      <c r="W89" s="681"/>
      <c r="AF89" s="637"/>
      <c r="AG89" s="74"/>
      <c r="AH89" s="82"/>
      <c r="AI89" s="681"/>
      <c r="AJ89" s="681"/>
      <c r="AK89" s="681"/>
      <c r="AL89" s="54"/>
      <c r="AM89" s="163"/>
    </row>
    <row r="90" spans="1:39" x14ac:dyDescent="0.2">
      <c r="A90" s="681"/>
      <c r="B90" s="681"/>
      <c r="C90" s="681"/>
      <c r="D90" s="681"/>
      <c r="E90" s="681"/>
      <c r="F90" s="681"/>
      <c r="G90" s="681"/>
      <c r="H90" s="681"/>
      <c r="I90" s="681"/>
      <c r="J90" s="681"/>
      <c r="K90" s="681"/>
      <c r="L90" s="681"/>
      <c r="M90" s="681"/>
      <c r="N90" s="681"/>
      <c r="O90" s="681"/>
      <c r="P90" s="681"/>
      <c r="Q90" s="681"/>
      <c r="R90" s="681"/>
      <c r="S90" s="681"/>
      <c r="T90" s="681"/>
      <c r="U90" s="681"/>
      <c r="V90" s="681"/>
      <c r="W90" s="681"/>
      <c r="AF90" s="129" t="s">
        <v>110</v>
      </c>
      <c r="AG90" s="54"/>
      <c r="AH90" s="176">
        <v>0.12</v>
      </c>
      <c r="AI90" s="681"/>
      <c r="AJ90" s="681"/>
      <c r="AK90" s="681"/>
      <c r="AL90" s="54"/>
      <c r="AM90" s="163"/>
    </row>
    <row r="91" spans="1:39" x14ac:dyDescent="0.2">
      <c r="AF91" s="640"/>
      <c r="AG91" s="74"/>
      <c r="AH91" s="82" t="s">
        <v>138</v>
      </c>
      <c r="AI91" s="681"/>
      <c r="AJ91" s="681"/>
      <c r="AK91" s="681"/>
      <c r="AL91" s="681"/>
      <c r="AM91" s="682"/>
    </row>
    <row r="92" spans="1:39" ht="15" thickBot="1" x14ac:dyDescent="0.25">
      <c r="AF92" s="649" t="s">
        <v>135</v>
      </c>
      <c r="AG92" s="650"/>
      <c r="AH92" s="650"/>
      <c r="AI92" s="170">
        <f>'CAF Spring 2021'!CB24</f>
        <v>1.0633805350099574E-2</v>
      </c>
      <c r="AJ92" s="683"/>
      <c r="AK92" s="683"/>
      <c r="AL92" s="683"/>
      <c r="AM92" s="684"/>
    </row>
    <row r="93" spans="1:39" x14ac:dyDescent="0.2">
      <c r="AH93" s="675"/>
      <c r="AL93" s="681"/>
    </row>
    <row r="94" spans="1:39" x14ac:dyDescent="0.2">
      <c r="AH94" s="675"/>
      <c r="AL94" s="681"/>
    </row>
    <row r="95" spans="1:39" x14ac:dyDescent="0.2">
      <c r="AH95" s="675"/>
      <c r="AL95" s="681"/>
    </row>
    <row r="96" spans="1:39" x14ac:dyDescent="0.2">
      <c r="AH96" s="675"/>
    </row>
    <row r="97" spans="34:34" x14ac:dyDescent="0.2">
      <c r="AH97" s="675"/>
    </row>
    <row r="98" spans="34:34" x14ac:dyDescent="0.2">
      <c r="AH98" s="675"/>
    </row>
    <row r="99" spans="34:34" x14ac:dyDescent="0.2">
      <c r="AH99" s="675"/>
    </row>
    <row r="100" spans="34:34" x14ac:dyDescent="0.2">
      <c r="AH100" s="675"/>
    </row>
    <row r="101" spans="34:34" x14ac:dyDescent="0.2">
      <c r="AH101" s="675"/>
    </row>
    <row r="102" spans="34:34" x14ac:dyDescent="0.2">
      <c r="AH102" s="675"/>
    </row>
    <row r="103" spans="34:34" x14ac:dyDescent="0.2">
      <c r="AH103" s="675"/>
    </row>
    <row r="104" spans="34:34" x14ac:dyDescent="0.2">
      <c r="AH104" s="675"/>
    </row>
    <row r="105" spans="34:34" x14ac:dyDescent="0.2">
      <c r="AH105" s="675"/>
    </row>
    <row r="106" spans="34:34" x14ac:dyDescent="0.2">
      <c r="AH106" s="675"/>
    </row>
    <row r="107" spans="34:34" x14ac:dyDescent="0.2">
      <c r="AH107" s="675"/>
    </row>
    <row r="108" spans="34:34" x14ac:dyDescent="0.2">
      <c r="AH108" s="675"/>
    </row>
    <row r="109" spans="34:34" x14ac:dyDescent="0.2">
      <c r="AH109" s="675"/>
    </row>
    <row r="110" spans="34:34" x14ac:dyDescent="0.2">
      <c r="AH110" s="675"/>
    </row>
    <row r="111" spans="34:34" x14ac:dyDescent="0.2">
      <c r="AH111" s="675"/>
    </row>
    <row r="112" spans="34:34" x14ac:dyDescent="0.2">
      <c r="AH112" s="675"/>
    </row>
  </sheetData>
  <mergeCells count="10">
    <mergeCell ref="B13:B14"/>
    <mergeCell ref="H13:H14"/>
    <mergeCell ref="N13:N14"/>
    <mergeCell ref="T13:T14"/>
    <mergeCell ref="AH22:AM22"/>
    <mergeCell ref="AH24:AM24"/>
    <mergeCell ref="AH26:AM26"/>
    <mergeCell ref="AH30:AM30"/>
    <mergeCell ref="M50:W50"/>
    <mergeCell ref="AF1:AH1"/>
  </mergeCells>
  <pageMargins left="0.75" right="0.75" top="0.42" bottom="0.41" header="0.17" footer="0.18"/>
  <pageSetup paperSize="5" scale="33" fitToHeight="0" orientation="landscape" r:id="rId1"/>
  <headerFooter alignWithMargins="0">
    <oddHeader>&amp;C&amp;A</oddHeader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5"/>
  <sheetViews>
    <sheetView topLeftCell="A22" zoomScaleNormal="100" workbookViewId="0">
      <selection activeCell="K60" sqref="K60"/>
    </sheetView>
  </sheetViews>
  <sheetFormatPr defaultRowHeight="14.25" x14ac:dyDescent="0.2"/>
  <cols>
    <col min="1" max="1" width="29.25" customWidth="1"/>
    <col min="2" max="2" width="14.5" customWidth="1"/>
    <col min="3" max="3" width="11" customWidth="1"/>
    <col min="4" max="4" width="5.75" hidden="1" customWidth="1"/>
    <col min="5" max="5" width="10.5" style="156" bestFit="1" customWidth="1"/>
    <col min="6" max="6" width="9.625" bestFit="1" customWidth="1"/>
    <col min="7" max="7" width="8.875" style="171" bestFit="1" customWidth="1"/>
    <col min="8" max="8" width="7.25" bestFit="1" customWidth="1"/>
    <col min="9" max="9" width="3.75" customWidth="1"/>
    <col min="10" max="10" width="20.5" bestFit="1" customWidth="1"/>
    <col min="11" max="11" width="15.25" customWidth="1"/>
    <col min="12" max="12" width="10.5" bestFit="1" customWidth="1"/>
    <col min="13" max="13" width="9.625" bestFit="1" customWidth="1"/>
    <col min="14" max="14" width="8.875" style="171" bestFit="1" customWidth="1"/>
    <col min="15" max="15" width="7.25" bestFit="1" customWidth="1"/>
    <col min="16" max="16" width="29.375" bestFit="1" customWidth="1"/>
    <col min="17" max="17" width="10.25" bestFit="1" customWidth="1"/>
    <col min="18" max="18" width="13.125" bestFit="1" customWidth="1"/>
    <col min="19" max="19" width="4" bestFit="1" customWidth="1"/>
    <col min="20" max="20" width="11.375" bestFit="1" customWidth="1"/>
    <col min="21" max="21" width="10.5" bestFit="1" customWidth="1"/>
    <col min="22" max="22" width="5" bestFit="1" customWidth="1"/>
    <col min="24" max="24" width="31.25" customWidth="1"/>
    <col min="25" max="25" width="10.25" bestFit="1" customWidth="1"/>
  </cols>
  <sheetData>
    <row r="1" spans="1:19" s="180" customFormat="1" ht="13.9" hidden="1" customHeight="1" thickBot="1" x14ac:dyDescent="0.25">
      <c r="A1" s="178"/>
      <c r="B1" s="178"/>
      <c r="C1" s="178"/>
      <c r="D1" s="179"/>
      <c r="E1" s="59"/>
    </row>
    <row r="2" spans="1:19" s="180" customFormat="1" ht="12.75" hidden="1" x14ac:dyDescent="0.2">
      <c r="A2" s="181"/>
      <c r="B2" s="182"/>
      <c r="C2" s="183" t="s">
        <v>69</v>
      </c>
      <c r="D2" s="184"/>
      <c r="E2" s="62"/>
      <c r="G2" s="186"/>
      <c r="J2" s="181"/>
      <c r="K2" s="182"/>
      <c r="L2" s="185"/>
      <c r="M2" s="187"/>
      <c r="N2" s="186"/>
    </row>
    <row r="3" spans="1:19" s="193" customFormat="1" ht="12.75" hidden="1" x14ac:dyDescent="0.2">
      <c r="A3" s="188" t="s">
        <v>75</v>
      </c>
      <c r="B3" s="189" t="s">
        <v>79</v>
      </c>
      <c r="C3" s="190" t="s">
        <v>77</v>
      </c>
      <c r="D3" s="191">
        <v>30</v>
      </c>
      <c r="E3" s="70">
        <f>B4*D3</f>
        <v>600</v>
      </c>
      <c r="G3" s="180"/>
      <c r="J3" s="188" t="s">
        <v>75</v>
      </c>
      <c r="K3" s="189" t="s">
        <v>106</v>
      </c>
      <c r="L3" s="192" t="e">
        <f>#REF!*#REF!</f>
        <v>#REF!</v>
      </c>
      <c r="N3" s="180"/>
      <c r="O3" s="194"/>
      <c r="R3" s="194"/>
      <c r="S3" s="194"/>
    </row>
    <row r="4" spans="1:19" s="193" customFormat="1" ht="12.75" hidden="1" x14ac:dyDescent="0.2">
      <c r="A4" s="192"/>
      <c r="B4" s="189">
        <v>20</v>
      </c>
      <c r="C4" s="188"/>
      <c r="E4" s="68"/>
      <c r="F4" s="191"/>
      <c r="G4" s="195"/>
      <c r="H4" s="191"/>
      <c r="I4" s="192"/>
      <c r="K4" s="188"/>
      <c r="L4" s="191"/>
      <c r="M4" s="192"/>
      <c r="N4" s="195"/>
      <c r="O4" s="194"/>
      <c r="R4" s="194"/>
      <c r="S4" s="194"/>
    </row>
    <row r="5" spans="1:19" s="180" customFormat="1" ht="12.75" hidden="1" x14ac:dyDescent="0.2">
      <c r="A5" s="196"/>
      <c r="B5" s="196"/>
      <c r="C5" s="196"/>
      <c r="D5" s="179"/>
      <c r="E5" s="59"/>
      <c r="I5" s="179"/>
      <c r="J5" s="196"/>
      <c r="K5" s="196"/>
    </row>
    <row r="6" spans="1:19" s="180" customFormat="1" ht="12.75" hidden="1" x14ac:dyDescent="0.2">
      <c r="B6" s="179"/>
      <c r="C6" s="197" t="s">
        <v>139</v>
      </c>
      <c r="D6" s="197" t="s">
        <v>86</v>
      </c>
      <c r="E6" s="693" t="s">
        <v>140</v>
      </c>
      <c r="G6" s="197"/>
      <c r="K6" s="179"/>
      <c r="L6" s="197" t="s">
        <v>140</v>
      </c>
      <c r="N6" s="197"/>
    </row>
    <row r="7" spans="1:19" s="180" customFormat="1" ht="13.5" hidden="1" thickBot="1" x14ac:dyDescent="0.25">
      <c r="A7" s="198" t="s">
        <v>141</v>
      </c>
      <c r="C7" s="199">
        <f>Q8</f>
        <v>30625</v>
      </c>
      <c r="D7" s="200">
        <f>2*0.16</f>
        <v>0.32</v>
      </c>
      <c r="E7" s="694">
        <f>C7*D7</f>
        <v>9800</v>
      </c>
      <c r="G7" s="201"/>
      <c r="J7" s="198" t="s">
        <v>141</v>
      </c>
      <c r="L7" s="201" t="e">
        <f>#REF!*#REF!</f>
        <v>#REF!</v>
      </c>
      <c r="N7" s="201"/>
      <c r="P7" s="725" t="s">
        <v>67</v>
      </c>
      <c r="Q7" s="726"/>
    </row>
    <row r="8" spans="1:19" s="180" customFormat="1" ht="12.75" hidden="1" x14ac:dyDescent="0.2">
      <c r="A8" s="198" t="s">
        <v>142</v>
      </c>
      <c r="C8" s="199">
        <f>Q9</f>
        <v>37812.5</v>
      </c>
      <c r="D8" s="200">
        <v>0.16</v>
      </c>
      <c r="E8" s="694">
        <f>C8*D8</f>
        <v>6050</v>
      </c>
      <c r="G8" s="201"/>
      <c r="J8" s="198" t="s">
        <v>142</v>
      </c>
      <c r="L8" s="201" t="e">
        <f>#REF!*#REF!</f>
        <v>#REF!</v>
      </c>
      <c r="N8" s="201"/>
      <c r="P8" s="202" t="s">
        <v>143</v>
      </c>
      <c r="Q8" s="203">
        <f>4900/0.16</f>
        <v>30625</v>
      </c>
    </row>
    <row r="9" spans="1:19" s="180" customFormat="1" ht="13.5" hidden="1" thickBot="1" x14ac:dyDescent="0.25">
      <c r="A9" s="198" t="s">
        <v>144</v>
      </c>
      <c r="B9" s="204">
        <f>'[9]Rate Options'!$AJ$30</f>
        <v>0.25578770213785851</v>
      </c>
      <c r="C9" s="201"/>
      <c r="D9" s="201"/>
      <c r="E9" s="694">
        <f>(E7+E8)*B9</f>
        <v>4054.2350788850572</v>
      </c>
      <c r="G9" s="205"/>
      <c r="J9" s="198" t="s">
        <v>144</v>
      </c>
      <c r="K9" s="204">
        <f>'[9]Rate Options'!$AJ$30</f>
        <v>0.25578770213785851</v>
      </c>
      <c r="L9" s="201" t="e">
        <f>(L7+L8)*K9</f>
        <v>#REF!</v>
      </c>
      <c r="N9" s="205"/>
      <c r="P9" s="206" t="s">
        <v>145</v>
      </c>
      <c r="Q9" s="207">
        <f>6050/0.16</f>
        <v>37812.5</v>
      </c>
    </row>
    <row r="10" spans="1:19" s="180" customFormat="1" ht="12.75" hidden="1" x14ac:dyDescent="0.2">
      <c r="A10" s="198" t="s">
        <v>146</v>
      </c>
      <c r="B10" s="204" t="e">
        <f>'[9]Rate Options'!$AJ$42</f>
        <v>#REF!</v>
      </c>
      <c r="C10" s="201"/>
      <c r="D10" s="201"/>
      <c r="E10" s="694" t="e">
        <f>SUM(E7:E9)*B10</f>
        <v>#REF!</v>
      </c>
      <c r="F10" s="201"/>
      <c r="G10" s="205"/>
      <c r="H10" s="201"/>
      <c r="J10" s="198" t="s">
        <v>146</v>
      </c>
      <c r="K10" s="204" t="e">
        <f>'[9]Rate Options'!$AJ$42</f>
        <v>#REF!</v>
      </c>
      <c r="L10" s="201" t="e">
        <f>SUM(L7:L9)*K10</f>
        <v>#REF!</v>
      </c>
      <c r="N10" s="205"/>
    </row>
    <row r="11" spans="1:19" s="180" customFormat="1" ht="12.75" hidden="1" x14ac:dyDescent="0.2">
      <c r="A11" s="208" t="s">
        <v>112</v>
      </c>
      <c r="B11" s="209"/>
      <c r="C11" s="209"/>
      <c r="D11" s="209"/>
      <c r="E11" s="695" t="e">
        <f>SUM(E7:E10)</f>
        <v>#REF!</v>
      </c>
      <c r="G11" s="211"/>
      <c r="J11" s="208" t="s">
        <v>112</v>
      </c>
      <c r="K11" s="209"/>
      <c r="L11" s="210" t="e">
        <f>SUM(L7:L10)</f>
        <v>#REF!</v>
      </c>
      <c r="N11" s="211"/>
    </row>
    <row r="12" spans="1:19" s="180" customFormat="1" ht="12.75" hidden="1" x14ac:dyDescent="0.2">
      <c r="C12" s="190"/>
      <c r="D12" s="190"/>
      <c r="E12" s="258" t="e">
        <f>E11/E3</f>
        <v>#REF!</v>
      </c>
      <c r="F12" s="213" t="s">
        <v>147</v>
      </c>
      <c r="G12" s="214" t="s">
        <v>148</v>
      </c>
      <c r="L12" s="212" t="e">
        <f>L11/L3</f>
        <v>#REF!</v>
      </c>
      <c r="M12" s="213" t="s">
        <v>147</v>
      </c>
      <c r="N12" s="214" t="s">
        <v>148</v>
      </c>
    </row>
    <row r="13" spans="1:19" s="180" customFormat="1" ht="12.75" hidden="1" x14ac:dyDescent="0.2">
      <c r="A13" s="188" t="s">
        <v>64</v>
      </c>
      <c r="B13" s="215">
        <f>'[9]Rate Options'!$AK$43</f>
        <v>4.4640068153077195E-2</v>
      </c>
      <c r="C13" s="190"/>
      <c r="D13" s="190"/>
      <c r="E13" s="59"/>
      <c r="F13" s="216" t="e">
        <f>ROUND(E12*(1+B$13),2)</f>
        <v>#REF!</v>
      </c>
      <c r="G13" s="217">
        <v>0.9</v>
      </c>
      <c r="H13" s="218" t="e">
        <f t="shared" ref="H13:H21" si="0">$F$13/G13</f>
        <v>#REF!</v>
      </c>
      <c r="J13" s="188" t="s">
        <v>64</v>
      </c>
      <c r="K13" s="215">
        <f>'[9]Rate Options'!$AK$43</f>
        <v>4.4640068153077195E-2</v>
      </c>
      <c r="M13" s="216" t="e">
        <f>ROUND(L12*(1+K$13),2)</f>
        <v>#REF!</v>
      </c>
      <c r="N13" s="217">
        <v>0.9</v>
      </c>
      <c r="O13" s="218" t="e">
        <f t="shared" ref="O13:O21" si="1">$M$13/N13</f>
        <v>#REF!</v>
      </c>
    </row>
    <row r="14" spans="1:19" s="180" customFormat="1" ht="12.75" hidden="1" x14ac:dyDescent="0.2">
      <c r="E14" s="59"/>
      <c r="G14" s="217">
        <v>0.85</v>
      </c>
      <c r="H14" s="218" t="e">
        <f t="shared" si="0"/>
        <v>#REF!</v>
      </c>
      <c r="N14" s="217">
        <v>0.85</v>
      </c>
      <c r="O14" s="218" t="e">
        <f t="shared" si="1"/>
        <v>#REF!</v>
      </c>
    </row>
    <row r="15" spans="1:19" s="219" customFormat="1" hidden="1" x14ac:dyDescent="0.2">
      <c r="A15" s="188"/>
      <c r="C15" s="190"/>
      <c r="D15" s="190"/>
      <c r="E15" s="156"/>
      <c r="G15" s="217">
        <v>0.8</v>
      </c>
      <c r="H15" s="218" t="e">
        <f t="shared" si="0"/>
        <v>#REF!</v>
      </c>
      <c r="N15" s="217">
        <v>0.8</v>
      </c>
      <c r="O15" s="218" t="e">
        <f t="shared" si="1"/>
        <v>#REF!</v>
      </c>
    </row>
    <row r="16" spans="1:19" s="219" customFormat="1" hidden="1" x14ac:dyDescent="0.2">
      <c r="E16" s="156"/>
      <c r="G16" s="217">
        <v>0.75</v>
      </c>
      <c r="H16" s="218" t="e">
        <f t="shared" si="0"/>
        <v>#REF!</v>
      </c>
      <c r="N16" s="217">
        <v>0.75</v>
      </c>
      <c r="O16" s="218" t="e">
        <f t="shared" si="1"/>
        <v>#REF!</v>
      </c>
    </row>
    <row r="17" spans="1:15" s="219" customFormat="1" hidden="1" x14ac:dyDescent="0.2">
      <c r="E17" s="156"/>
      <c r="G17" s="217">
        <v>0.7</v>
      </c>
      <c r="H17" s="218" t="e">
        <f t="shared" si="0"/>
        <v>#REF!</v>
      </c>
      <c r="N17" s="217">
        <v>0.7</v>
      </c>
      <c r="O17" s="218" t="e">
        <f t="shared" si="1"/>
        <v>#REF!</v>
      </c>
    </row>
    <row r="18" spans="1:15" s="219" customFormat="1" hidden="1" x14ac:dyDescent="0.2">
      <c r="E18" s="156"/>
      <c r="G18" s="217">
        <v>0.65</v>
      </c>
      <c r="H18" s="218" t="e">
        <f t="shared" si="0"/>
        <v>#REF!</v>
      </c>
      <c r="N18" s="217">
        <v>0.65</v>
      </c>
      <c r="O18" s="218" t="e">
        <f t="shared" si="1"/>
        <v>#REF!</v>
      </c>
    </row>
    <row r="19" spans="1:15" s="219" customFormat="1" hidden="1" x14ac:dyDescent="0.2">
      <c r="E19" s="156"/>
      <c r="G19" s="217">
        <v>0.6</v>
      </c>
      <c r="H19" s="218" t="e">
        <f t="shared" si="0"/>
        <v>#REF!</v>
      </c>
      <c r="N19" s="217">
        <v>0.6</v>
      </c>
      <c r="O19" s="218" t="e">
        <f t="shared" si="1"/>
        <v>#REF!</v>
      </c>
    </row>
    <row r="20" spans="1:15" s="219" customFormat="1" hidden="1" x14ac:dyDescent="0.2">
      <c r="E20" s="156"/>
      <c r="G20" s="217">
        <v>0.55000000000000004</v>
      </c>
      <c r="H20" s="218" t="e">
        <f t="shared" si="0"/>
        <v>#REF!</v>
      </c>
      <c r="N20" s="217">
        <v>0.55000000000000004</v>
      </c>
      <c r="O20" s="218" t="e">
        <f t="shared" si="1"/>
        <v>#REF!</v>
      </c>
    </row>
    <row r="21" spans="1:15" s="219" customFormat="1" hidden="1" x14ac:dyDescent="0.2">
      <c r="E21" s="156"/>
      <c r="G21" s="217">
        <v>0.5</v>
      </c>
      <c r="H21" s="218" t="e">
        <f t="shared" si="0"/>
        <v>#REF!</v>
      </c>
      <c r="N21" s="217">
        <v>0.5</v>
      </c>
      <c r="O21" s="218" t="e">
        <f t="shared" si="1"/>
        <v>#REF!</v>
      </c>
    </row>
    <row r="22" spans="1:15" x14ac:dyDescent="0.2">
      <c r="B22" s="220"/>
      <c r="F22" s="221"/>
      <c r="G22" s="222"/>
      <c r="H22" s="221"/>
      <c r="K22" s="220"/>
      <c r="M22" s="221"/>
      <c r="N22" s="222"/>
    </row>
    <row r="23" spans="1:15" s="52" customFormat="1" ht="13.5" thickBot="1" x14ac:dyDescent="0.25">
      <c r="A23" s="53"/>
      <c r="B23" s="53"/>
      <c r="C23" s="53"/>
      <c r="D23" s="53"/>
      <c r="E23" s="59"/>
    </row>
    <row r="24" spans="1:15" s="52" customFormat="1" ht="13.5" thickBot="1" x14ac:dyDescent="0.25">
      <c r="A24" s="51" t="s">
        <v>149</v>
      </c>
      <c r="B24" s="74" t="s">
        <v>150</v>
      </c>
      <c r="C24" s="223">
        <f>365*12</f>
        <v>4380</v>
      </c>
      <c r="D24" s="140"/>
      <c r="E24" s="62"/>
      <c r="F24" s="54"/>
      <c r="G24" s="55"/>
      <c r="H24" s="54"/>
      <c r="N24" s="55"/>
    </row>
    <row r="25" spans="1:15" s="52" customFormat="1" ht="12.75" x14ac:dyDescent="0.2">
      <c r="B25" s="77" t="s">
        <v>151</v>
      </c>
      <c r="C25" s="223">
        <v>12</v>
      </c>
      <c r="E25" s="59"/>
      <c r="F25" s="152"/>
      <c r="G25" s="224"/>
      <c r="H25" s="152"/>
      <c r="N25" s="224"/>
    </row>
    <row r="26" spans="1:15" s="52" customFormat="1" ht="12.75" x14ac:dyDescent="0.2">
      <c r="B26" s="142" t="s">
        <v>152</v>
      </c>
      <c r="C26" s="225">
        <v>1</v>
      </c>
      <c r="E26" s="59"/>
      <c r="F26" s="152"/>
      <c r="G26" s="224"/>
      <c r="H26" s="152"/>
      <c r="N26" s="224"/>
    </row>
    <row r="27" spans="1:15" s="52" customFormat="1" ht="12.75" x14ac:dyDescent="0.2">
      <c r="E27" s="59"/>
      <c r="F27" s="54"/>
      <c r="G27" s="226"/>
      <c r="H27" s="54"/>
      <c r="N27" s="226"/>
    </row>
    <row r="28" spans="1:15" s="52" customFormat="1" ht="13.5" thickBot="1" x14ac:dyDescent="0.25">
      <c r="A28" s="77"/>
      <c r="B28" s="74"/>
      <c r="C28" s="85" t="s">
        <v>85</v>
      </c>
      <c r="D28" s="85" t="s">
        <v>86</v>
      </c>
      <c r="E28" s="79" t="s">
        <v>87</v>
      </c>
      <c r="F28" s="54"/>
      <c r="H28" s="54"/>
    </row>
    <row r="29" spans="1:15" s="52" customFormat="1" ht="13.5" thickBot="1" x14ac:dyDescent="0.25">
      <c r="A29" s="142" t="s">
        <v>97</v>
      </c>
      <c r="C29" s="227">
        <f>'2020 BLS Chart'!C20</f>
        <v>84385.600000000006</v>
      </c>
      <c r="D29" s="228">
        <f>C26</f>
        <v>1</v>
      </c>
      <c r="E29" s="696">
        <f>C29*C26</f>
        <v>84385.600000000006</v>
      </c>
      <c r="F29" s="54"/>
      <c r="H29" s="54"/>
      <c r="J29" s="229" t="s">
        <v>153</v>
      </c>
      <c r="K29" s="230" t="s">
        <v>154</v>
      </c>
      <c r="L29" s="231" t="s">
        <v>155</v>
      </c>
    </row>
    <row r="30" spans="1:15" s="52" customFormat="1" ht="12.75" x14ac:dyDescent="0.2">
      <c r="A30" s="142" t="s">
        <v>144</v>
      </c>
      <c r="B30" s="232">
        <f>'[9]Salary Bench Chart'!C30</f>
        <v>0.224</v>
      </c>
      <c r="C30" s="233"/>
      <c r="D30" s="233"/>
      <c r="E30" s="696">
        <f>E29*B30</f>
        <v>18902.374400000001</v>
      </c>
      <c r="F30" s="54"/>
      <c r="G30" s="234"/>
      <c r="H30" s="54"/>
      <c r="J30" s="235" t="s">
        <v>97</v>
      </c>
      <c r="K30" s="236" t="s">
        <v>156</v>
      </c>
      <c r="L30" s="237">
        <v>29.75</v>
      </c>
      <c r="N30" s="234"/>
    </row>
    <row r="31" spans="1:15" s="52" customFormat="1" ht="12.75" x14ac:dyDescent="0.2">
      <c r="A31" s="142" t="s">
        <v>146</v>
      </c>
      <c r="B31" s="232">
        <f>'[9]Salary Bench Chart'!C33</f>
        <v>0.12</v>
      </c>
      <c r="C31" s="233"/>
      <c r="D31" s="233"/>
      <c r="E31" s="696">
        <f>SUM(E29+E30+E32)*B31</f>
        <v>12432.024134400001</v>
      </c>
      <c r="F31" s="54"/>
      <c r="G31" s="233"/>
      <c r="H31" s="54"/>
      <c r="J31" s="238" t="s">
        <v>157</v>
      </c>
      <c r="K31" s="239" t="s">
        <v>156</v>
      </c>
      <c r="L31" s="240">
        <v>22.43</v>
      </c>
      <c r="N31" s="233"/>
    </row>
    <row r="32" spans="1:15" s="52" customFormat="1" ht="13.5" thickBot="1" x14ac:dyDescent="0.25">
      <c r="A32" s="142" t="s">
        <v>125</v>
      </c>
      <c r="B32" s="232">
        <f>'[9]Salary Bench Chart'!C32</f>
        <v>3.7000000000000002E-3</v>
      </c>
      <c r="C32" s="233"/>
      <c r="D32" s="233"/>
      <c r="E32" s="696">
        <f>E29*B32</f>
        <v>312.22672000000006</v>
      </c>
      <c r="F32" s="54"/>
      <c r="G32" s="233"/>
      <c r="H32" s="54"/>
      <c r="J32" s="241" t="s">
        <v>92</v>
      </c>
      <c r="K32" s="242" t="s">
        <v>156</v>
      </c>
      <c r="L32" s="243">
        <v>12.31</v>
      </c>
      <c r="N32" s="233"/>
    </row>
    <row r="33" spans="1:14" s="52" customFormat="1" ht="13.15" customHeight="1" x14ac:dyDescent="0.2">
      <c r="A33" s="244" t="s">
        <v>112</v>
      </c>
      <c r="B33" s="245"/>
      <c r="C33" s="245"/>
      <c r="D33" s="245"/>
      <c r="E33" s="697">
        <f>SUM(E29:E32)</f>
        <v>116032.22525440001</v>
      </c>
      <c r="F33" s="54"/>
      <c r="G33" s="233"/>
      <c r="H33" s="54"/>
      <c r="N33" s="233"/>
    </row>
    <row r="34" spans="1:14" s="52" customFormat="1" ht="12.75" x14ac:dyDescent="0.2">
      <c r="A34" s="142" t="s">
        <v>64</v>
      </c>
      <c r="B34" s="246">
        <f>'2020 BLS Chart'!C38</f>
        <v>1.0633805350099574E-2</v>
      </c>
      <c r="C34" s="143"/>
      <c r="D34" s="247">
        <v>0.9</v>
      </c>
      <c r="E34" s="698">
        <f>E33*(B34+1)/C24/(D34)</f>
        <v>29.747866400835665</v>
      </c>
      <c r="F34" s="74" t="s">
        <v>158</v>
      </c>
      <c r="G34" s="233"/>
      <c r="H34" s="54"/>
      <c r="N34" s="233"/>
    </row>
    <row r="35" spans="1:14" s="52" customFormat="1" ht="12.75" x14ac:dyDescent="0.2">
      <c r="A35" s="142"/>
      <c r="B35" s="67"/>
      <c r="C35" s="143"/>
      <c r="D35" s="143"/>
      <c r="E35" s="248"/>
      <c r="F35" s="54"/>
      <c r="G35" s="249"/>
      <c r="H35" s="54"/>
      <c r="N35" s="249"/>
    </row>
    <row r="36" spans="1:14" s="180" customFormat="1" ht="12.75" hidden="1" x14ac:dyDescent="0.2">
      <c r="A36" s="198" t="s">
        <v>75</v>
      </c>
      <c r="B36" s="182" t="s">
        <v>159</v>
      </c>
      <c r="C36" s="250" t="s">
        <v>77</v>
      </c>
      <c r="D36" s="251">
        <v>365</v>
      </c>
      <c r="E36" s="699">
        <f>B37*D36</f>
        <v>10950</v>
      </c>
      <c r="G36" s="252"/>
      <c r="N36" s="252"/>
    </row>
    <row r="37" spans="1:14" s="180" customFormat="1" ht="12.75" hidden="1" x14ac:dyDescent="0.2">
      <c r="A37" s="198"/>
      <c r="B37" s="182">
        <v>30</v>
      </c>
      <c r="C37" s="253" t="s">
        <v>160</v>
      </c>
      <c r="D37" s="251"/>
      <c r="E37" s="700">
        <f>E$33/E36</f>
        <v>10.59655025154338</v>
      </c>
      <c r="F37" s="216">
        <f>ROUND(E37*(1+B$34),2)</f>
        <v>10.71</v>
      </c>
      <c r="G37" s="217">
        <v>0.9</v>
      </c>
      <c r="H37" s="254">
        <f>$F$37/G37</f>
        <v>11.9</v>
      </c>
      <c r="N37" s="217"/>
    </row>
    <row r="38" spans="1:14" s="180" customFormat="1" ht="12.75" hidden="1" x14ac:dyDescent="0.2">
      <c r="A38" s="198"/>
      <c r="B38" s="182"/>
      <c r="C38" s="253"/>
      <c r="D38" s="251"/>
      <c r="E38" s="700"/>
      <c r="F38" s="216"/>
      <c r="G38" s="217">
        <v>0.85</v>
      </c>
      <c r="H38" s="254">
        <f t="shared" ref="H38:H45" si="2">$F$37/G38</f>
        <v>12.600000000000001</v>
      </c>
      <c r="N38" s="217"/>
    </row>
    <row r="39" spans="1:14" s="180" customFormat="1" ht="12.75" hidden="1" x14ac:dyDescent="0.2">
      <c r="A39" s="198"/>
      <c r="B39" s="182"/>
      <c r="C39" s="253"/>
      <c r="D39" s="251"/>
      <c r="E39" s="700"/>
      <c r="F39" s="216"/>
      <c r="G39" s="217">
        <v>0.8</v>
      </c>
      <c r="H39" s="254">
        <f t="shared" si="2"/>
        <v>13.387500000000001</v>
      </c>
      <c r="N39" s="217"/>
    </row>
    <row r="40" spans="1:14" s="180" customFormat="1" ht="12.75" hidden="1" x14ac:dyDescent="0.2">
      <c r="A40" s="198"/>
      <c r="B40" s="182"/>
      <c r="C40" s="253"/>
      <c r="D40" s="251"/>
      <c r="E40" s="700"/>
      <c r="F40" s="216"/>
      <c r="G40" s="217">
        <v>0.75</v>
      </c>
      <c r="H40" s="254">
        <f t="shared" si="2"/>
        <v>14.280000000000001</v>
      </c>
      <c r="N40" s="217"/>
    </row>
    <row r="41" spans="1:14" s="180" customFormat="1" ht="12.75" hidden="1" x14ac:dyDescent="0.2">
      <c r="A41" s="198"/>
      <c r="B41" s="182"/>
      <c r="C41" s="253"/>
      <c r="D41" s="251"/>
      <c r="E41" s="700"/>
      <c r="F41" s="216"/>
      <c r="G41" s="217">
        <v>0.7</v>
      </c>
      <c r="H41" s="254">
        <f t="shared" si="2"/>
        <v>15.300000000000002</v>
      </c>
      <c r="N41" s="217"/>
    </row>
    <row r="42" spans="1:14" s="180" customFormat="1" ht="12.75" hidden="1" x14ac:dyDescent="0.2">
      <c r="A42" s="198"/>
      <c r="B42" s="182"/>
      <c r="C42" s="253"/>
      <c r="D42" s="251"/>
      <c r="E42" s="700"/>
      <c r="F42" s="216"/>
      <c r="G42" s="217">
        <v>0.65</v>
      </c>
      <c r="H42" s="254">
        <f t="shared" si="2"/>
        <v>16.476923076923079</v>
      </c>
      <c r="N42" s="217"/>
    </row>
    <row r="43" spans="1:14" s="180" customFormat="1" ht="12.75" hidden="1" x14ac:dyDescent="0.2">
      <c r="A43" s="198"/>
      <c r="B43" s="182"/>
      <c r="C43" s="253"/>
      <c r="D43" s="251"/>
      <c r="E43" s="700"/>
      <c r="F43" s="216"/>
      <c r="G43" s="217">
        <v>0.6</v>
      </c>
      <c r="H43" s="254">
        <f t="shared" si="2"/>
        <v>17.850000000000001</v>
      </c>
      <c r="N43" s="217"/>
    </row>
    <row r="44" spans="1:14" s="180" customFormat="1" ht="12.75" hidden="1" x14ac:dyDescent="0.2">
      <c r="A44" s="198"/>
      <c r="B44" s="182"/>
      <c r="C44" s="253"/>
      <c r="D44" s="251"/>
      <c r="E44" s="700"/>
      <c r="F44" s="216"/>
      <c r="G44" s="217">
        <v>0.55000000000000004</v>
      </c>
      <c r="H44" s="254">
        <f t="shared" si="2"/>
        <v>19.472727272727273</v>
      </c>
      <c r="N44" s="217"/>
    </row>
    <row r="45" spans="1:14" s="180" customFormat="1" ht="12.75" hidden="1" x14ac:dyDescent="0.2">
      <c r="A45" s="198"/>
      <c r="B45" s="182"/>
      <c r="C45" s="253"/>
      <c r="D45" s="251"/>
      <c r="E45" s="700"/>
      <c r="F45" s="216"/>
      <c r="G45" s="217">
        <v>0.5</v>
      </c>
      <c r="H45" s="254">
        <f t="shared" si="2"/>
        <v>21.42</v>
      </c>
      <c r="N45" s="217"/>
    </row>
    <row r="46" spans="1:14" s="180" customFormat="1" ht="12.75" hidden="1" x14ac:dyDescent="0.2">
      <c r="E46" s="699"/>
      <c r="G46" s="252"/>
      <c r="N46" s="252"/>
    </row>
    <row r="47" spans="1:14" s="52" customFormat="1" ht="13.5" thickBot="1" x14ac:dyDescent="0.25">
      <c r="A47" s="53"/>
      <c r="B47" s="53"/>
      <c r="C47" s="53"/>
      <c r="D47" s="53"/>
      <c r="E47" s="699"/>
    </row>
    <row r="48" spans="1:14" s="52" customFormat="1" ht="13.5" thickBot="1" x14ac:dyDescent="0.25">
      <c r="A48" s="51" t="s">
        <v>161</v>
      </c>
      <c r="B48" s="74" t="s">
        <v>150</v>
      </c>
      <c r="C48" s="223">
        <f>365*12</f>
        <v>4380</v>
      </c>
      <c r="D48" s="140"/>
      <c r="E48" s="700"/>
      <c r="F48" s="54"/>
      <c r="G48" s="55"/>
      <c r="H48" s="54"/>
      <c r="N48" s="55"/>
    </row>
    <row r="49" spans="1:14" s="52" customFormat="1" ht="12.75" x14ac:dyDescent="0.2">
      <c r="B49" s="77" t="s">
        <v>151</v>
      </c>
      <c r="C49" s="223">
        <v>12</v>
      </c>
      <c r="E49" s="699"/>
      <c r="F49" s="152"/>
      <c r="G49" s="224"/>
      <c r="H49" s="152"/>
      <c r="N49" s="224"/>
    </row>
    <row r="50" spans="1:14" s="52" customFormat="1" ht="12.75" x14ac:dyDescent="0.2">
      <c r="B50" s="142" t="s">
        <v>152</v>
      </c>
      <c r="C50" s="225">
        <v>1</v>
      </c>
      <c r="E50" s="699"/>
      <c r="F50" s="152"/>
      <c r="G50" s="224"/>
      <c r="H50" s="152"/>
      <c r="N50" s="224"/>
    </row>
    <row r="51" spans="1:14" s="52" customFormat="1" ht="12.75" x14ac:dyDescent="0.2">
      <c r="A51" s="77"/>
      <c r="B51" s="77"/>
      <c r="C51" s="77"/>
      <c r="D51" s="77"/>
      <c r="E51" s="700"/>
      <c r="F51" s="54"/>
      <c r="G51" s="226"/>
      <c r="H51" s="54"/>
      <c r="N51" s="226"/>
    </row>
    <row r="52" spans="1:14" s="52" customFormat="1" ht="12.75" x14ac:dyDescent="0.2">
      <c r="A52" s="77"/>
      <c r="B52" s="74"/>
      <c r="C52" s="85" t="s">
        <v>85</v>
      </c>
      <c r="D52" s="85" t="s">
        <v>86</v>
      </c>
      <c r="E52" s="79" t="s">
        <v>87</v>
      </c>
      <c r="F52" s="54"/>
      <c r="H52" s="54"/>
    </row>
    <row r="53" spans="1:14" s="52" customFormat="1" ht="12.75" x14ac:dyDescent="0.2">
      <c r="A53" s="142" t="s">
        <v>157</v>
      </c>
      <c r="C53" s="227">
        <f>'2020 BLS Chart'!C18</f>
        <v>63627.199999999997</v>
      </c>
      <c r="D53" s="255">
        <f>C50</f>
        <v>1</v>
      </c>
      <c r="E53" s="696">
        <f>C53*C26</f>
        <v>63627.199999999997</v>
      </c>
      <c r="F53" s="54"/>
      <c r="H53" s="54"/>
    </row>
    <row r="54" spans="1:14" s="52" customFormat="1" ht="12.75" x14ac:dyDescent="0.2">
      <c r="A54" s="142" t="s">
        <v>144</v>
      </c>
      <c r="B54" s="232">
        <f>'[9]Salary Bench Chart'!C30</f>
        <v>0.224</v>
      </c>
      <c r="C54" s="233"/>
      <c r="D54" s="233"/>
      <c r="E54" s="696">
        <f>E53*B54</f>
        <v>14252.4928</v>
      </c>
      <c r="F54" s="54"/>
      <c r="G54" s="234"/>
      <c r="H54" s="54"/>
      <c r="N54" s="234"/>
    </row>
    <row r="55" spans="1:14" s="52" customFormat="1" ht="12.75" x14ac:dyDescent="0.2">
      <c r="A55" s="142" t="s">
        <v>146</v>
      </c>
      <c r="B55" s="232">
        <f>'[9]Salary Bench Chart'!C33</f>
        <v>0.12</v>
      </c>
      <c r="C55" s="233"/>
      <c r="D55" s="233"/>
      <c r="E55" s="696">
        <f>SUM(E53+E54+E56)*B55</f>
        <v>9373.8136127999987</v>
      </c>
      <c r="F55" s="54"/>
      <c r="G55" s="233"/>
      <c r="H55" s="54"/>
      <c r="N55" s="233"/>
    </row>
    <row r="56" spans="1:14" s="52" customFormat="1" ht="12.75" x14ac:dyDescent="0.2">
      <c r="A56" s="142" t="s">
        <v>125</v>
      </c>
      <c r="B56" s="232">
        <f>'[9]Salary Bench Chart'!C32</f>
        <v>3.7000000000000002E-3</v>
      </c>
      <c r="C56" s="233"/>
      <c r="D56" s="233"/>
      <c r="E56" s="696">
        <f>E53*B56</f>
        <v>235.42063999999999</v>
      </c>
      <c r="F56" s="54"/>
      <c r="G56" s="233"/>
      <c r="H56" s="54"/>
      <c r="N56" s="233"/>
    </row>
    <row r="57" spans="1:14" s="52" customFormat="1" ht="12.75" x14ac:dyDescent="0.2">
      <c r="A57" s="244" t="s">
        <v>112</v>
      </c>
      <c r="B57" s="245"/>
      <c r="C57" s="245"/>
      <c r="D57" s="245"/>
      <c r="E57" s="697">
        <f>SUM(E53:E56)</f>
        <v>87488.927052799991</v>
      </c>
      <c r="F57" s="54"/>
      <c r="G57" s="233"/>
      <c r="H57" s="54"/>
      <c r="N57" s="233"/>
    </row>
    <row r="58" spans="1:14" s="52" customFormat="1" ht="13.15" customHeight="1" x14ac:dyDescent="0.2">
      <c r="A58" s="142" t="s">
        <v>64</v>
      </c>
      <c r="B58" s="246">
        <f>B34</f>
        <v>1.0633805350099574E-2</v>
      </c>
      <c r="C58" s="143"/>
      <c r="D58" s="256">
        <f>D34</f>
        <v>0.9</v>
      </c>
      <c r="E58" s="698">
        <f>E57*(B58+1)/C48/(D58)</f>
        <v>22.430052580763199</v>
      </c>
      <c r="F58" s="74" t="s">
        <v>158</v>
      </c>
      <c r="G58" s="233"/>
      <c r="H58" s="54"/>
      <c r="N58" s="233"/>
    </row>
    <row r="59" spans="1:14" s="52" customFormat="1" ht="12.75" x14ac:dyDescent="0.2">
      <c r="B59" s="67"/>
      <c r="C59" s="143"/>
      <c r="D59" s="143"/>
      <c r="E59" s="248"/>
      <c r="F59" s="54"/>
      <c r="G59" s="257"/>
      <c r="H59" s="54"/>
      <c r="N59" s="257"/>
    </row>
    <row r="60" spans="1:14" s="52" customFormat="1" ht="12.75" x14ac:dyDescent="0.2">
      <c r="A60" s="142"/>
      <c r="B60" s="67"/>
      <c r="C60" s="143"/>
      <c r="D60" s="143"/>
      <c r="E60" s="248"/>
      <c r="F60" s="54"/>
      <c r="G60" s="226"/>
      <c r="H60" s="54"/>
      <c r="N60" s="226"/>
    </row>
    <row r="61" spans="1:14" s="52" customFormat="1" ht="12.75" x14ac:dyDescent="0.2">
      <c r="A61" s="53"/>
      <c r="B61" s="53"/>
      <c r="C61" s="53"/>
      <c r="D61" s="53"/>
      <c r="E61" s="699"/>
    </row>
    <row r="62" spans="1:14" s="52" customFormat="1" ht="13.5" thickBot="1" x14ac:dyDescent="0.25">
      <c r="A62" s="150"/>
      <c r="B62" s="151"/>
      <c r="C62" s="139"/>
      <c r="D62" s="140"/>
      <c r="E62" s="700"/>
      <c r="F62" s="54"/>
      <c r="G62" s="55"/>
      <c r="H62" s="54"/>
      <c r="N62" s="55"/>
    </row>
    <row r="63" spans="1:14" s="52" customFormat="1" ht="13.15" customHeight="1" thickBot="1" x14ac:dyDescent="0.25">
      <c r="A63" s="51" t="s">
        <v>162</v>
      </c>
      <c r="B63" s="74" t="s">
        <v>150</v>
      </c>
      <c r="C63" s="223">
        <f>365*12</f>
        <v>4380</v>
      </c>
      <c r="E63" s="699"/>
      <c r="F63" s="152"/>
      <c r="G63" s="224"/>
      <c r="H63" s="152"/>
      <c r="N63" s="224"/>
    </row>
    <row r="64" spans="1:14" s="52" customFormat="1" ht="12.75" x14ac:dyDescent="0.2">
      <c r="B64" s="77" t="s">
        <v>151</v>
      </c>
      <c r="C64" s="223">
        <v>12</v>
      </c>
      <c r="E64" s="699"/>
      <c r="F64" s="152"/>
      <c r="G64" s="224"/>
      <c r="H64" s="152"/>
      <c r="N64" s="224"/>
    </row>
    <row r="65" spans="1:14" s="52" customFormat="1" ht="12.75" x14ac:dyDescent="0.2">
      <c r="B65" s="142" t="s">
        <v>152</v>
      </c>
      <c r="C65" s="225">
        <v>1</v>
      </c>
      <c r="E65" s="699"/>
      <c r="F65" s="152"/>
      <c r="G65" s="224"/>
      <c r="H65" s="152"/>
      <c r="N65" s="224"/>
    </row>
    <row r="66" spans="1:14" s="52" customFormat="1" ht="12.75" x14ac:dyDescent="0.2">
      <c r="E66" s="699"/>
      <c r="F66" s="54"/>
      <c r="G66" s="226"/>
      <c r="H66" s="54"/>
      <c r="N66" s="226"/>
    </row>
    <row r="67" spans="1:14" s="52" customFormat="1" ht="12.75" x14ac:dyDescent="0.2">
      <c r="A67" s="77"/>
      <c r="B67" s="74"/>
      <c r="C67" s="85" t="s">
        <v>85</v>
      </c>
      <c r="D67" s="85" t="s">
        <v>86</v>
      </c>
      <c r="E67" s="79" t="s">
        <v>87</v>
      </c>
      <c r="F67" s="54"/>
      <c r="H67" s="54"/>
    </row>
    <row r="68" spans="1:14" s="52" customFormat="1" ht="12.75" x14ac:dyDescent="0.2">
      <c r="A68" s="142" t="s">
        <v>92</v>
      </c>
      <c r="C68" s="227">
        <f>'2020 BLS Chart'!C6</f>
        <v>34927.359999999993</v>
      </c>
      <c r="D68" s="255">
        <v>1</v>
      </c>
      <c r="E68" s="696">
        <f>C68*C65</f>
        <v>34927.359999999993</v>
      </c>
      <c r="F68" s="54"/>
      <c r="H68" s="54"/>
    </row>
    <row r="69" spans="1:14" s="52" customFormat="1" ht="12.75" x14ac:dyDescent="0.2">
      <c r="A69" s="142" t="s">
        <v>144</v>
      </c>
      <c r="B69" s="232">
        <f>'[9]Salary Bench Chart'!C30</f>
        <v>0.224</v>
      </c>
      <c r="C69" s="233"/>
      <c r="D69" s="233"/>
      <c r="E69" s="696">
        <f>E68*B69</f>
        <v>7823.7286399999984</v>
      </c>
      <c r="F69" s="54"/>
      <c r="G69" s="234"/>
      <c r="H69" s="54"/>
      <c r="N69" s="234"/>
    </row>
    <row r="70" spans="1:14" s="52" customFormat="1" ht="12.75" x14ac:dyDescent="0.2">
      <c r="A70" s="142" t="s">
        <v>146</v>
      </c>
      <c r="B70" s="232">
        <f>'[9]Salary Bench Chart'!C33</f>
        <v>0.12</v>
      </c>
      <c r="C70" s="233"/>
      <c r="D70" s="233"/>
      <c r="E70" s="696">
        <f>SUM(E68+E69+E71)*B70</f>
        <v>5145.6383846399985</v>
      </c>
      <c r="F70" s="54"/>
      <c r="G70" s="233"/>
      <c r="H70" s="54"/>
      <c r="N70" s="233"/>
    </row>
    <row r="71" spans="1:14" s="52" customFormat="1" ht="12.75" x14ac:dyDescent="0.2">
      <c r="A71" s="142" t="s">
        <v>125</v>
      </c>
      <c r="B71" s="232">
        <f>'[9]Salary Bench Chart'!C32</f>
        <v>3.7000000000000002E-3</v>
      </c>
      <c r="C71" s="233"/>
      <c r="D71" s="233"/>
      <c r="E71" s="696">
        <f>E68*B71</f>
        <v>129.23123199999998</v>
      </c>
      <c r="F71" s="54"/>
      <c r="G71" s="233"/>
      <c r="H71" s="54"/>
      <c r="N71" s="233"/>
    </row>
    <row r="72" spans="1:14" s="52" customFormat="1" ht="12.75" x14ac:dyDescent="0.2">
      <c r="A72" s="244" t="s">
        <v>112</v>
      </c>
      <c r="B72" s="245"/>
      <c r="C72" s="245"/>
      <c r="D72" s="245"/>
      <c r="E72" s="697">
        <f>SUM(E68:E71)</f>
        <v>48025.958256639991</v>
      </c>
      <c r="F72" s="54"/>
      <c r="G72" s="233"/>
      <c r="H72" s="54"/>
      <c r="N72" s="233"/>
    </row>
    <row r="73" spans="1:14" s="52" customFormat="1" ht="13.15" customHeight="1" x14ac:dyDescent="0.2">
      <c r="A73" s="142" t="s">
        <v>64</v>
      </c>
      <c r="B73" s="246">
        <f>B58</f>
        <v>1.0633805350099574E-2</v>
      </c>
      <c r="C73" s="143"/>
      <c r="D73" s="256">
        <v>0.9</v>
      </c>
      <c r="E73" s="698">
        <f>E72*(B73+1)/C63/D73</f>
        <v>12.312698363392467</v>
      </c>
      <c r="F73" s="74" t="s">
        <v>158</v>
      </c>
      <c r="G73" s="233"/>
      <c r="H73" s="54"/>
      <c r="N73" s="233"/>
    </row>
    <row r="74" spans="1:14" s="52" customFormat="1" ht="12.75" x14ac:dyDescent="0.2">
      <c r="B74" s="67"/>
      <c r="C74" s="143"/>
      <c r="D74" s="143"/>
      <c r="E74" s="258"/>
      <c r="F74" s="54"/>
      <c r="G74" s="257"/>
      <c r="H74" s="54"/>
      <c r="N74" s="257"/>
    </row>
    <row r="75" spans="1:14" s="52" customFormat="1" ht="12.75" x14ac:dyDescent="0.2">
      <c r="A75" s="142"/>
      <c r="B75" s="67"/>
      <c r="C75" s="143"/>
      <c r="D75" s="143"/>
      <c r="E75" s="258"/>
      <c r="F75" s="54"/>
      <c r="G75" s="226"/>
      <c r="H75" s="54"/>
      <c r="N75" s="226"/>
    </row>
  </sheetData>
  <mergeCells count="1">
    <mergeCell ref="P7:Q7"/>
  </mergeCells>
  <printOptions horizontalCentered="1"/>
  <pageMargins left="0" right="0" top="0.56999999999999995" bottom="0.37" header="0.32" footer="0.23"/>
  <pageSetup scale="34" orientation="portrait" r:id="rId1"/>
  <headerFooter alignWithMargins="0">
    <oddHeader>&amp;C&amp;"Arial,Bold Italic"&amp;20YOUTH INTERMEDIATE TERM ADD-ON  RATES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04"/>
  <sheetViews>
    <sheetView topLeftCell="A25" zoomScale="90" zoomScaleNormal="90" workbookViewId="0">
      <selection activeCell="J28" sqref="J28"/>
    </sheetView>
  </sheetViews>
  <sheetFormatPr defaultRowHeight="14.25" x14ac:dyDescent="0.2"/>
  <cols>
    <col min="2" max="2" width="19.75" customWidth="1"/>
    <col min="3" max="4" width="16.75" customWidth="1"/>
    <col min="5" max="5" width="16.75" style="261" customWidth="1"/>
    <col min="6" max="7" width="16.75" customWidth="1"/>
    <col min="8" max="8" width="16.75" style="261" customWidth="1"/>
    <col min="9" max="10" width="16.75" customWidth="1"/>
    <col min="11" max="11" width="16.75" style="261" customWidth="1"/>
    <col min="12" max="12" width="28.25" customWidth="1"/>
    <col min="13" max="13" width="12.125" bestFit="1" customWidth="1"/>
    <col min="14" max="14" width="16.75" customWidth="1"/>
    <col min="15" max="15" width="12.125" bestFit="1" customWidth="1"/>
    <col min="16" max="22" width="11.875" bestFit="1" customWidth="1"/>
  </cols>
  <sheetData>
    <row r="1" spans="1:17" x14ac:dyDescent="0.2">
      <c r="C1" s="259"/>
      <c r="D1" s="260" t="s">
        <v>163</v>
      </c>
      <c r="E1" s="261">
        <v>62470</v>
      </c>
      <c r="G1" s="260" t="s">
        <v>163</v>
      </c>
      <c r="H1" s="261">
        <v>35898.718415979187</v>
      </c>
      <c r="J1" s="260" t="s">
        <v>163</v>
      </c>
      <c r="K1" s="261">
        <v>52138.709677419356</v>
      </c>
    </row>
    <row r="2" spans="1:17" x14ac:dyDescent="0.2">
      <c r="D2" s="260" t="s">
        <v>164</v>
      </c>
      <c r="E2" s="261">
        <v>71274</v>
      </c>
      <c r="G2" s="260" t="s">
        <v>164</v>
      </c>
      <c r="H2" s="261">
        <v>87993.530742269941</v>
      </c>
      <c r="J2" s="260" t="s">
        <v>164</v>
      </c>
      <c r="K2" s="261">
        <v>52138.709677419356</v>
      </c>
    </row>
    <row r="3" spans="1:17" x14ac:dyDescent="0.2">
      <c r="D3" s="262" t="s">
        <v>165</v>
      </c>
      <c r="E3" s="263" t="str">
        <f ca="1">IF(COUNT(E12:OFFSET(E12,$C$1-1,0))&gt;0,AVERAGE(E12:OFFSET(E12,$C$1-1,0)),"-")</f>
        <v>-</v>
      </c>
      <c r="G3" s="262" t="s">
        <v>165</v>
      </c>
      <c r="H3" s="263">
        <f ca="1">IF(COUNT(H12:OFFSET(H12,$C$1-1,0))&gt;0,AVERAGE(H12:OFFSET(H12,$C$1-1,0)),"-")</f>
        <v>79801.818181818177</v>
      </c>
      <c r="J3" s="262" t="s">
        <v>165</v>
      </c>
      <c r="K3" s="263">
        <f ca="1">IF(COUNT(K12:OFFSET(K12,$C$1-1,0))&gt;0,AVERAGE(K12:OFFSET(K12,$C$1-1,0)),"-")</f>
        <v>52138.709677419356</v>
      </c>
    </row>
    <row r="4" spans="1:17" x14ac:dyDescent="0.2">
      <c r="D4" s="264" t="s">
        <v>166</v>
      </c>
      <c r="E4" s="265" t="str">
        <f ca="1">IF(COUNT(E12:OFFSET(E12,$C$1-1,0))&gt;0,SUMIF(E12:OFFSET(E12,$C$1-1,0),"&gt;0",C12:OFFSET(C12,$C$1-1,0)) / SUMIF(E12:OFFSET(E12,$C$1-1,0),"&gt;0",D12:OFFSET(D12,$C$1-1,0)),"-")</f>
        <v>-</v>
      </c>
      <c r="G4" s="264" t="s">
        <v>166</v>
      </c>
      <c r="H4" s="265">
        <f ca="1">IF(COUNT(H12:OFFSET(H12,$C$1-1,0))&gt;0,SUMIF(H12:OFFSET(H12,$C$1-1,0),"&gt;0",F12:OFFSET(F12,$C$1-1,0)) / SUMIF(H12:OFFSET(H12,$C$1-1,0),"&gt;0",G12:OFFSET(G12,$C$1-1,0)),"-")</f>
        <v>79801.818181818177</v>
      </c>
      <c r="J4" s="264" t="s">
        <v>166</v>
      </c>
      <c r="K4" s="265">
        <f ca="1">IF(COUNT(K12:OFFSET(K12,$C$1-1,0))&gt;0,SUMIF(K12:OFFSET(K12,$C$1-1,0),"&gt;0",I12:OFFSET(I12,$C$1-1,0)) / SUMIF(K12:OFFSET(K12,$C$1-1,0),"&gt;0",J12:OFFSET(J12,$C$1-1,0)),"-")</f>
        <v>52138.709677419356</v>
      </c>
    </row>
    <row r="5" spans="1:17" x14ac:dyDescent="0.2">
      <c r="D5" s="264" t="s">
        <v>167</v>
      </c>
      <c r="E5" s="265" t="str">
        <f ca="1">IF(COUNT(E12:OFFSET(E12,$C$1-1,0))&gt;0,MEDIAN(E12:OFFSET(E12,$C$1-1,0)),"-")</f>
        <v>-</v>
      </c>
      <c r="G5" s="264" t="s">
        <v>167</v>
      </c>
      <c r="H5" s="265">
        <f ca="1">IF(COUNT(H12:OFFSET(H12,$C$1-1,0))&gt;0,MEDIAN(H12:OFFSET(H12,$C$1-1,0)),"-")</f>
        <v>79801.818181818177</v>
      </c>
      <c r="J5" s="264" t="s">
        <v>167</v>
      </c>
      <c r="K5" s="265">
        <f ca="1">IF(COUNT(K12:OFFSET(K12,$C$1-1,0))&gt;0,MEDIAN(K12:OFFSET(K12,$C$1-1,0)),"-")</f>
        <v>52138.709677419356</v>
      </c>
    </row>
    <row r="6" spans="1:17" x14ac:dyDescent="0.2">
      <c r="D6" s="264" t="s">
        <v>168</v>
      </c>
      <c r="E6" s="265" t="str">
        <f ca="1">IF(COUNT(E12:OFFSET(E12,$C$1-1,0))&gt;0,MAX(E12:OFFSET(E12,$C$1-1,0)),"-")</f>
        <v>-</v>
      </c>
      <c r="G6" s="264" t="s">
        <v>168</v>
      </c>
      <c r="H6" s="265">
        <f ca="1">IF(COUNT(H12:OFFSET(H12,$C$1-1,0))&gt;0,MAX(H12:OFFSET(H12,$C$1-1,0)),"-")</f>
        <v>79801.818181818177</v>
      </c>
      <c r="J6" s="264" t="s">
        <v>168</v>
      </c>
      <c r="K6" s="265">
        <f ca="1">IF(COUNT(K12:OFFSET(K12,$C$1-1,0))&gt;0,MAX(K12:OFFSET(K12,$C$1-1,0)),"-")</f>
        <v>52138.709677419356</v>
      </c>
    </row>
    <row r="7" spans="1:17" x14ac:dyDescent="0.2">
      <c r="D7" s="266" t="s">
        <v>169</v>
      </c>
      <c r="E7" s="267" t="str">
        <f ca="1">IF(COUNT(E12:OFFSET(E12,$C$1-1,0))&gt;0,MIN(E12:OFFSET(E12,$C$1-1,0)),"-")</f>
        <v>-</v>
      </c>
      <c r="G7" s="266" t="s">
        <v>169</v>
      </c>
      <c r="H7" s="267">
        <f ca="1">IF(COUNT(H12:OFFSET(H12,$C$1-1,0))&gt;0,MIN(H12:OFFSET(H12,$C$1-1,0)),"-")</f>
        <v>79801.818181818177</v>
      </c>
      <c r="J7" s="266" t="s">
        <v>169</v>
      </c>
      <c r="K7" s="267">
        <f ca="1">IF(COUNT(K12:OFFSET(K12,$C$1-1,0))&gt;0,MIN(K12:OFFSET(K12,$C$1-1,0)),"-")</f>
        <v>52138.709677419356</v>
      </c>
    </row>
    <row r="9" spans="1:17" x14ac:dyDescent="0.2">
      <c r="C9" s="268" t="s">
        <v>170</v>
      </c>
      <c r="D9" s="269"/>
      <c r="E9" s="270"/>
      <c r="F9" s="268" t="s">
        <v>171</v>
      </c>
      <c r="G9" s="269"/>
      <c r="H9" s="270"/>
      <c r="I9" s="268" t="s">
        <v>172</v>
      </c>
      <c r="J9" s="269"/>
      <c r="K9" s="270"/>
      <c r="L9" s="268" t="s">
        <v>173</v>
      </c>
      <c r="N9" s="268" t="s">
        <v>174</v>
      </c>
      <c r="O9" s="268" t="s">
        <v>175</v>
      </c>
      <c r="P9" s="268" t="s">
        <v>176</v>
      </c>
      <c r="Q9" s="268" t="s">
        <v>177</v>
      </c>
    </row>
    <row r="10" spans="1:17" ht="57" x14ac:dyDescent="0.2">
      <c r="A10" s="268" t="s">
        <v>178</v>
      </c>
      <c r="B10" s="271" t="s">
        <v>179</v>
      </c>
      <c r="C10" s="272" t="s">
        <v>180</v>
      </c>
      <c r="D10" s="273"/>
      <c r="E10" s="274"/>
      <c r="F10" s="272" t="s">
        <v>181</v>
      </c>
      <c r="G10" s="273"/>
      <c r="H10" s="274"/>
      <c r="I10" s="272" t="s">
        <v>182</v>
      </c>
      <c r="J10" s="273"/>
      <c r="K10" s="274"/>
      <c r="L10" s="272" t="s">
        <v>183</v>
      </c>
      <c r="N10" s="272" t="s">
        <v>184</v>
      </c>
      <c r="O10" s="272" t="s">
        <v>185</v>
      </c>
      <c r="P10" s="272" t="s">
        <v>186</v>
      </c>
      <c r="Q10" s="272" t="s">
        <v>187</v>
      </c>
    </row>
    <row r="11" spans="1:17" x14ac:dyDescent="0.2">
      <c r="A11" s="268" t="s">
        <v>188</v>
      </c>
      <c r="B11" s="275">
        <v>15.25</v>
      </c>
      <c r="C11" s="268" t="s">
        <v>189</v>
      </c>
      <c r="D11" s="271" t="s">
        <v>179</v>
      </c>
      <c r="E11" s="270"/>
      <c r="F11" s="268" t="s">
        <v>189</v>
      </c>
      <c r="G11" s="271" t="s">
        <v>179</v>
      </c>
      <c r="H11" s="270"/>
      <c r="I11" s="268" t="s">
        <v>189</v>
      </c>
      <c r="J11" s="271" t="s">
        <v>179</v>
      </c>
      <c r="K11" s="270"/>
      <c r="L11" s="268" t="s">
        <v>189</v>
      </c>
      <c r="N11" s="268" t="s">
        <v>189</v>
      </c>
      <c r="O11" s="268" t="s">
        <v>189</v>
      </c>
      <c r="P11" s="268" t="s">
        <v>189</v>
      </c>
      <c r="Q11" s="268" t="s">
        <v>189</v>
      </c>
    </row>
    <row r="12" spans="1:17" x14ac:dyDescent="0.2">
      <c r="A12" s="276"/>
      <c r="B12" s="277">
        <v>11.81</v>
      </c>
      <c r="C12" s="278"/>
      <c r="D12" s="275"/>
      <c r="E12" s="265" t="s">
        <v>190</v>
      </c>
      <c r="F12" s="279">
        <v>43891</v>
      </c>
      <c r="G12" s="275">
        <v>0.55000000000000004</v>
      </c>
      <c r="H12" s="265">
        <v>79801.818181818177</v>
      </c>
      <c r="I12" s="278">
        <v>16163</v>
      </c>
      <c r="J12" s="275">
        <v>0.31</v>
      </c>
      <c r="K12" s="265">
        <v>52138.709677419356</v>
      </c>
      <c r="L12" s="278">
        <v>25676</v>
      </c>
      <c r="N12" s="278">
        <v>3210</v>
      </c>
      <c r="O12" s="278">
        <v>851</v>
      </c>
      <c r="P12" s="278"/>
      <c r="Q12" s="278">
        <v>3688</v>
      </c>
    </row>
    <row r="13" spans="1:17" x14ac:dyDescent="0.2">
      <c r="A13" s="268" t="s">
        <v>191</v>
      </c>
      <c r="B13" s="275">
        <v>9.6732867327321603</v>
      </c>
      <c r="C13" s="280">
        <v>69073</v>
      </c>
      <c r="D13" s="277">
        <v>1</v>
      </c>
      <c r="E13" s="265">
        <v>69073</v>
      </c>
      <c r="F13" s="280"/>
      <c r="G13" s="277"/>
      <c r="H13" s="265" t="s">
        <v>190</v>
      </c>
      <c r="I13" s="280"/>
      <c r="J13" s="277"/>
      <c r="K13" s="265" t="s">
        <v>190</v>
      </c>
      <c r="L13" s="280">
        <v>183978</v>
      </c>
      <c r="N13" s="280">
        <v>231</v>
      </c>
      <c r="O13" s="280">
        <v>685</v>
      </c>
      <c r="P13" s="280">
        <v>1692</v>
      </c>
      <c r="Q13" s="280">
        <v>90909</v>
      </c>
    </row>
    <row r="14" spans="1:17" x14ac:dyDescent="0.2">
      <c r="A14" s="276"/>
      <c r="B14" s="277">
        <v>0.89924404549597703</v>
      </c>
      <c r="C14" s="278"/>
      <c r="D14" s="275"/>
      <c r="E14" s="265" t="s">
        <v>190</v>
      </c>
      <c r="F14" s="278">
        <v>115710</v>
      </c>
      <c r="G14" s="275">
        <v>2.3563312018897902</v>
      </c>
      <c r="H14" s="265">
        <v>49105.999999999985</v>
      </c>
      <c r="I14" s="278"/>
      <c r="J14" s="275"/>
      <c r="K14" s="265" t="s">
        <v>190</v>
      </c>
      <c r="L14" s="278">
        <v>183625</v>
      </c>
      <c r="N14" s="278">
        <v>4282</v>
      </c>
      <c r="O14" s="278"/>
      <c r="P14" s="278">
        <v>74334</v>
      </c>
      <c r="Q14" s="278">
        <v>2200</v>
      </c>
    </row>
    <row r="15" spans="1:17" x14ac:dyDescent="0.2">
      <c r="A15" s="268" t="s">
        <v>192</v>
      </c>
      <c r="B15" s="275">
        <v>11.225</v>
      </c>
      <c r="C15" s="280"/>
      <c r="D15" s="277"/>
      <c r="E15" s="265" t="s">
        <v>190</v>
      </c>
      <c r="F15" s="280"/>
      <c r="G15" s="277"/>
      <c r="H15" s="265" t="s">
        <v>190</v>
      </c>
      <c r="I15" s="280"/>
      <c r="J15" s="277"/>
      <c r="K15" s="265" t="s">
        <v>190</v>
      </c>
      <c r="L15" s="280">
        <v>1021</v>
      </c>
      <c r="N15" s="280"/>
      <c r="O15" s="280"/>
      <c r="P15" s="280"/>
      <c r="Q15" s="280">
        <v>140</v>
      </c>
    </row>
    <row r="16" spans="1:17" x14ac:dyDescent="0.2">
      <c r="A16" s="268" t="s">
        <v>193</v>
      </c>
      <c r="B16" s="275">
        <v>2.12</v>
      </c>
      <c r="C16" s="278">
        <v>64671</v>
      </c>
      <c r="D16" s="275">
        <v>1</v>
      </c>
      <c r="E16" s="265">
        <v>64671</v>
      </c>
      <c r="F16" s="278"/>
      <c r="G16" s="275"/>
      <c r="H16" s="265" t="s">
        <v>190</v>
      </c>
      <c r="I16" s="278"/>
      <c r="J16" s="275"/>
      <c r="K16" s="265" t="s">
        <v>190</v>
      </c>
      <c r="L16" s="278">
        <v>335174</v>
      </c>
      <c r="N16" s="278">
        <v>1720</v>
      </c>
      <c r="O16" s="278"/>
      <c r="P16" s="278">
        <v>73793</v>
      </c>
      <c r="Q16" s="278">
        <v>36798</v>
      </c>
    </row>
    <row r="17" spans="2:17" x14ac:dyDescent="0.2">
      <c r="C17" s="278"/>
      <c r="D17" s="275"/>
      <c r="E17" s="265" t="s">
        <v>190</v>
      </c>
      <c r="F17" s="278">
        <v>40990</v>
      </c>
      <c r="G17" s="275">
        <v>0.72</v>
      </c>
      <c r="H17" s="265">
        <v>56930.555555555555</v>
      </c>
      <c r="I17" s="278"/>
      <c r="J17" s="275"/>
      <c r="K17" s="265" t="s">
        <v>190</v>
      </c>
      <c r="L17" s="278">
        <v>44407</v>
      </c>
      <c r="N17" s="278"/>
      <c r="O17" s="278"/>
      <c r="P17" s="278"/>
      <c r="Q17" s="278">
        <v>913</v>
      </c>
    </row>
    <row r="18" spans="2:17" x14ac:dyDescent="0.2">
      <c r="E18" s="265" t="s">
        <v>190</v>
      </c>
      <c r="H18" s="265" t="s">
        <v>190</v>
      </c>
      <c r="K18" s="265" t="s">
        <v>190</v>
      </c>
    </row>
    <row r="19" spans="2:17" x14ac:dyDescent="0.2">
      <c r="B19" s="281">
        <f>SUM(B11:B16)</f>
        <v>50.977530778228136</v>
      </c>
      <c r="E19" s="265" t="s">
        <v>190</v>
      </c>
      <c r="H19" s="265" t="s">
        <v>190</v>
      </c>
      <c r="K19" s="265" t="s">
        <v>190</v>
      </c>
    </row>
    <row r="20" spans="2:17" x14ac:dyDescent="0.2">
      <c r="E20" s="265" t="s">
        <v>190</v>
      </c>
      <c r="H20" s="265" t="s">
        <v>190</v>
      </c>
      <c r="K20" s="265" t="s">
        <v>190</v>
      </c>
    </row>
    <row r="21" spans="2:17" x14ac:dyDescent="0.2">
      <c r="E21" s="265" t="s">
        <v>190</v>
      </c>
      <c r="H21" s="265" t="s">
        <v>190</v>
      </c>
      <c r="K21" s="265" t="s">
        <v>190</v>
      </c>
    </row>
    <row r="22" spans="2:17" x14ac:dyDescent="0.2">
      <c r="E22" s="265" t="s">
        <v>190</v>
      </c>
      <c r="H22" s="265" t="s">
        <v>190</v>
      </c>
      <c r="K22" s="265" t="s">
        <v>190</v>
      </c>
    </row>
    <row r="23" spans="2:17" x14ac:dyDescent="0.2">
      <c r="E23" s="265" t="s">
        <v>190</v>
      </c>
      <c r="H23" s="265" t="s">
        <v>190</v>
      </c>
      <c r="K23" s="265" t="s">
        <v>190</v>
      </c>
    </row>
    <row r="24" spans="2:17" x14ac:dyDescent="0.2">
      <c r="E24" s="265" t="s">
        <v>190</v>
      </c>
      <c r="F24">
        <f>D13+D16+G12+G14+G17+J12</f>
        <v>5.9363312018897894</v>
      </c>
      <c r="H24" s="265" t="s">
        <v>190</v>
      </c>
      <c r="K24" s="265" t="s">
        <v>190</v>
      </c>
    </row>
    <row r="25" spans="2:17" x14ac:dyDescent="0.2">
      <c r="E25" s="265" t="s">
        <v>190</v>
      </c>
      <c r="F25" s="259">
        <f>C13+C16+F12+F14+F17+I12</f>
        <v>350498</v>
      </c>
      <c r="H25" s="282">
        <f>F25/F24</f>
        <v>59042.864705463442</v>
      </c>
      <c r="K25" s="265" t="s">
        <v>190</v>
      </c>
      <c r="L25" s="259">
        <f>SUM(L12:L24)</f>
        <v>773881</v>
      </c>
      <c r="M25" s="283">
        <f>L25/B19</f>
        <v>15180.825516376617</v>
      </c>
      <c r="N25" s="259">
        <f>SUM(N12:Q17)</f>
        <v>295446</v>
      </c>
      <c r="O25" s="259">
        <f>N25/B19</f>
        <v>5795.6122136496515</v>
      </c>
    </row>
    <row r="26" spans="2:17" x14ac:dyDescent="0.2">
      <c r="E26" s="265" t="s">
        <v>190</v>
      </c>
      <c r="H26" s="265" t="s">
        <v>190</v>
      </c>
      <c r="K26" s="265" t="s">
        <v>190</v>
      </c>
    </row>
    <row r="27" spans="2:17" x14ac:dyDescent="0.2">
      <c r="E27" s="265" t="s">
        <v>190</v>
      </c>
      <c r="H27" s="265" t="s">
        <v>190</v>
      </c>
      <c r="K27" s="265" t="s">
        <v>190</v>
      </c>
      <c r="L27" t="s">
        <v>194</v>
      </c>
      <c r="M27" s="259">
        <f>M25*30.68</f>
        <v>465747.72684243461</v>
      </c>
      <c r="O27" s="259">
        <f>O25*30.68</f>
        <v>177809.38271477132</v>
      </c>
    </row>
    <row r="28" spans="2:17" x14ac:dyDescent="0.2">
      <c r="E28" s="265" t="s">
        <v>190</v>
      </c>
      <c r="H28" s="265" t="s">
        <v>190</v>
      </c>
      <c r="K28" s="265" t="s">
        <v>190</v>
      </c>
      <c r="M28" s="259">
        <f>M27/6616</f>
        <v>70.397177575942351</v>
      </c>
      <c r="O28" s="259">
        <f>O27/6616</f>
        <v>26.875662441773173</v>
      </c>
    </row>
    <row r="29" spans="2:17" x14ac:dyDescent="0.2">
      <c r="E29" s="265" t="s">
        <v>190</v>
      </c>
      <c r="H29" s="265" t="s">
        <v>190</v>
      </c>
      <c r="K29" s="265" t="s">
        <v>190</v>
      </c>
      <c r="L29" t="s">
        <v>195</v>
      </c>
      <c r="M29" s="259">
        <f>M28*0.6</f>
        <v>42.238306545565408</v>
      </c>
      <c r="O29" s="259"/>
    </row>
    <row r="30" spans="2:17" x14ac:dyDescent="0.2">
      <c r="E30" s="265" t="s">
        <v>190</v>
      </c>
      <c r="H30" s="265" t="s">
        <v>190</v>
      </c>
      <c r="K30" s="265" t="s">
        <v>190</v>
      </c>
      <c r="L30" t="s">
        <v>196</v>
      </c>
      <c r="M30" s="259">
        <f>M28*0.3</f>
        <v>21.119153272782704</v>
      </c>
      <c r="O30" s="259"/>
    </row>
    <row r="31" spans="2:17" x14ac:dyDescent="0.2">
      <c r="E31" s="265" t="s">
        <v>190</v>
      </c>
      <c r="H31" s="265" t="s">
        <v>190</v>
      </c>
      <c r="K31" s="265" t="s">
        <v>190</v>
      </c>
      <c r="L31" t="s">
        <v>197</v>
      </c>
      <c r="M31" s="259">
        <f>M28*10%</f>
        <v>7.0397177575942358</v>
      </c>
    </row>
    <row r="32" spans="2:17" x14ac:dyDescent="0.2">
      <c r="E32" s="265" t="s">
        <v>190</v>
      </c>
      <c r="H32" s="265" t="s">
        <v>190</v>
      </c>
      <c r="K32" s="265" t="s">
        <v>190</v>
      </c>
    </row>
    <row r="33" spans="5:11" x14ac:dyDescent="0.2">
      <c r="E33" s="265" t="s">
        <v>190</v>
      </c>
      <c r="H33" s="265" t="s">
        <v>190</v>
      </c>
      <c r="K33" s="265" t="s">
        <v>190</v>
      </c>
    </row>
    <row r="34" spans="5:11" x14ac:dyDescent="0.2">
      <c r="E34" s="265" t="s">
        <v>190</v>
      </c>
      <c r="H34" s="265" t="s">
        <v>190</v>
      </c>
      <c r="K34" s="265" t="s">
        <v>190</v>
      </c>
    </row>
    <row r="35" spans="5:11" x14ac:dyDescent="0.2">
      <c r="E35" s="265" t="s">
        <v>190</v>
      </c>
      <c r="H35" s="265" t="s">
        <v>190</v>
      </c>
      <c r="K35" s="265" t="s">
        <v>190</v>
      </c>
    </row>
    <row r="36" spans="5:11" x14ac:dyDescent="0.2">
      <c r="E36" s="265" t="s">
        <v>190</v>
      </c>
      <c r="H36" s="265" t="s">
        <v>190</v>
      </c>
      <c r="K36" s="265" t="s">
        <v>190</v>
      </c>
    </row>
    <row r="37" spans="5:11" x14ac:dyDescent="0.2">
      <c r="E37" s="265" t="s">
        <v>190</v>
      </c>
      <c r="H37" s="265" t="s">
        <v>190</v>
      </c>
      <c r="K37" s="265" t="s">
        <v>190</v>
      </c>
    </row>
    <row r="38" spans="5:11" x14ac:dyDescent="0.2">
      <c r="E38" s="265" t="s">
        <v>190</v>
      </c>
      <c r="H38" s="265" t="s">
        <v>190</v>
      </c>
      <c r="K38" s="265" t="s">
        <v>190</v>
      </c>
    </row>
    <row r="39" spans="5:11" x14ac:dyDescent="0.2">
      <c r="E39" s="265" t="s">
        <v>190</v>
      </c>
      <c r="H39" s="265" t="s">
        <v>190</v>
      </c>
      <c r="K39" s="265" t="s">
        <v>190</v>
      </c>
    </row>
    <row r="40" spans="5:11" x14ac:dyDescent="0.2">
      <c r="E40" s="265" t="s">
        <v>190</v>
      </c>
      <c r="H40" s="265" t="s">
        <v>190</v>
      </c>
      <c r="K40" s="265" t="s">
        <v>190</v>
      </c>
    </row>
    <row r="41" spans="5:11" x14ac:dyDescent="0.2">
      <c r="E41" s="265" t="s">
        <v>190</v>
      </c>
      <c r="H41" s="265" t="s">
        <v>190</v>
      </c>
      <c r="K41" s="265" t="s">
        <v>190</v>
      </c>
    </row>
    <row r="42" spans="5:11" x14ac:dyDescent="0.2">
      <c r="E42" s="265" t="s">
        <v>190</v>
      </c>
      <c r="H42" s="265" t="s">
        <v>190</v>
      </c>
      <c r="K42" s="265" t="s">
        <v>190</v>
      </c>
    </row>
    <row r="43" spans="5:11" x14ac:dyDescent="0.2">
      <c r="E43" s="265" t="s">
        <v>190</v>
      </c>
      <c r="H43" s="265" t="s">
        <v>190</v>
      </c>
      <c r="K43" s="265" t="s">
        <v>190</v>
      </c>
    </row>
    <row r="44" spans="5:11" x14ac:dyDescent="0.2">
      <c r="E44" s="265" t="s">
        <v>190</v>
      </c>
      <c r="H44" s="265" t="s">
        <v>190</v>
      </c>
      <c r="K44" s="265" t="s">
        <v>190</v>
      </c>
    </row>
    <row r="45" spans="5:11" x14ac:dyDescent="0.2">
      <c r="E45" s="265" t="s">
        <v>190</v>
      </c>
      <c r="H45" s="265" t="s">
        <v>190</v>
      </c>
      <c r="K45" s="265" t="s">
        <v>190</v>
      </c>
    </row>
    <row r="46" spans="5:11" x14ac:dyDescent="0.2">
      <c r="E46" s="265" t="s">
        <v>190</v>
      </c>
      <c r="H46" s="265" t="s">
        <v>190</v>
      </c>
      <c r="K46" s="265" t="s">
        <v>190</v>
      </c>
    </row>
    <row r="47" spans="5:11" x14ac:dyDescent="0.2">
      <c r="E47" s="265" t="s">
        <v>190</v>
      </c>
      <c r="H47" s="265" t="s">
        <v>190</v>
      </c>
      <c r="K47" s="265" t="s">
        <v>190</v>
      </c>
    </row>
    <row r="48" spans="5:11" x14ac:dyDescent="0.2">
      <c r="E48" s="265" t="s">
        <v>190</v>
      </c>
      <c r="H48" s="265" t="s">
        <v>190</v>
      </c>
      <c r="K48" s="265" t="s">
        <v>190</v>
      </c>
    </row>
    <row r="49" spans="5:11" x14ac:dyDescent="0.2">
      <c r="E49" s="265" t="s">
        <v>190</v>
      </c>
      <c r="H49" s="265" t="s">
        <v>190</v>
      </c>
      <c r="K49" s="265" t="s">
        <v>190</v>
      </c>
    </row>
    <row r="50" spans="5:11" x14ac:dyDescent="0.2">
      <c r="E50" s="265" t="s">
        <v>190</v>
      </c>
      <c r="H50" s="265" t="s">
        <v>190</v>
      </c>
      <c r="K50" s="265" t="s">
        <v>190</v>
      </c>
    </row>
    <row r="51" spans="5:11" x14ac:dyDescent="0.2">
      <c r="E51" s="265" t="s">
        <v>190</v>
      </c>
      <c r="H51" s="265" t="s">
        <v>190</v>
      </c>
      <c r="K51" s="265" t="s">
        <v>190</v>
      </c>
    </row>
    <row r="52" spans="5:11" x14ac:dyDescent="0.2">
      <c r="E52" s="265" t="s">
        <v>190</v>
      </c>
      <c r="H52" s="265" t="s">
        <v>190</v>
      </c>
      <c r="K52" s="265" t="s">
        <v>190</v>
      </c>
    </row>
    <row r="53" spans="5:11" x14ac:dyDescent="0.2">
      <c r="E53" s="265" t="s">
        <v>190</v>
      </c>
      <c r="H53" s="265" t="s">
        <v>190</v>
      </c>
      <c r="K53" s="265" t="s">
        <v>190</v>
      </c>
    </row>
    <row r="54" spans="5:11" x14ac:dyDescent="0.2">
      <c r="E54" s="265" t="s">
        <v>190</v>
      </c>
      <c r="H54" s="265" t="s">
        <v>190</v>
      </c>
      <c r="K54" s="265" t="s">
        <v>190</v>
      </c>
    </row>
    <row r="55" spans="5:11" x14ac:dyDescent="0.2">
      <c r="E55" s="265" t="s">
        <v>190</v>
      </c>
      <c r="H55" s="265" t="s">
        <v>190</v>
      </c>
      <c r="K55" s="265" t="s">
        <v>190</v>
      </c>
    </row>
    <row r="56" spans="5:11" x14ac:dyDescent="0.2">
      <c r="E56" s="265" t="s">
        <v>190</v>
      </c>
      <c r="H56" s="265" t="s">
        <v>190</v>
      </c>
      <c r="K56" s="265" t="s">
        <v>190</v>
      </c>
    </row>
    <row r="57" spans="5:11" x14ac:dyDescent="0.2">
      <c r="E57" s="265" t="s">
        <v>190</v>
      </c>
      <c r="H57" s="265" t="s">
        <v>190</v>
      </c>
      <c r="K57" s="265" t="s">
        <v>190</v>
      </c>
    </row>
    <row r="58" spans="5:11" x14ac:dyDescent="0.2">
      <c r="E58" s="265" t="s">
        <v>190</v>
      </c>
      <c r="H58" s="265" t="s">
        <v>190</v>
      </c>
      <c r="K58" s="265" t="s">
        <v>190</v>
      </c>
    </row>
    <row r="59" spans="5:11" x14ac:dyDescent="0.2">
      <c r="E59" s="265" t="s">
        <v>190</v>
      </c>
      <c r="H59" s="265" t="s">
        <v>190</v>
      </c>
      <c r="K59" s="265" t="s">
        <v>190</v>
      </c>
    </row>
    <row r="60" spans="5:11" x14ac:dyDescent="0.2">
      <c r="E60" s="265" t="s">
        <v>190</v>
      </c>
      <c r="H60" s="265" t="s">
        <v>190</v>
      </c>
      <c r="K60" s="265" t="s">
        <v>190</v>
      </c>
    </row>
    <row r="61" spans="5:11" x14ac:dyDescent="0.2">
      <c r="E61" s="265" t="s">
        <v>190</v>
      </c>
      <c r="H61" s="265" t="s">
        <v>190</v>
      </c>
      <c r="K61" s="265" t="s">
        <v>190</v>
      </c>
    </row>
    <row r="62" spans="5:11" x14ac:dyDescent="0.2">
      <c r="E62" s="265" t="s">
        <v>190</v>
      </c>
      <c r="H62" s="265" t="s">
        <v>190</v>
      </c>
      <c r="K62" s="265" t="s">
        <v>190</v>
      </c>
    </row>
    <row r="63" spans="5:11" x14ac:dyDescent="0.2">
      <c r="E63" s="265" t="s">
        <v>190</v>
      </c>
      <c r="H63" s="265" t="s">
        <v>190</v>
      </c>
      <c r="K63" s="265" t="s">
        <v>190</v>
      </c>
    </row>
    <row r="64" spans="5:11" x14ac:dyDescent="0.2">
      <c r="E64" s="265" t="s">
        <v>190</v>
      </c>
      <c r="H64" s="265" t="s">
        <v>190</v>
      </c>
      <c r="K64" s="265" t="s">
        <v>190</v>
      </c>
    </row>
    <row r="65" spans="5:11" x14ac:dyDescent="0.2">
      <c r="E65" s="265" t="s">
        <v>190</v>
      </c>
      <c r="H65" s="265" t="s">
        <v>190</v>
      </c>
      <c r="K65" s="265" t="s">
        <v>190</v>
      </c>
    </row>
    <row r="66" spans="5:11" x14ac:dyDescent="0.2">
      <c r="E66" s="265" t="s">
        <v>190</v>
      </c>
      <c r="H66" s="265" t="s">
        <v>190</v>
      </c>
      <c r="K66" s="265" t="s">
        <v>190</v>
      </c>
    </row>
    <row r="67" spans="5:11" x14ac:dyDescent="0.2">
      <c r="E67" s="265" t="s">
        <v>190</v>
      </c>
      <c r="H67" s="265" t="s">
        <v>190</v>
      </c>
      <c r="K67" s="265" t="s">
        <v>190</v>
      </c>
    </row>
    <row r="68" spans="5:11" x14ac:dyDescent="0.2">
      <c r="E68" s="265" t="s">
        <v>190</v>
      </c>
      <c r="H68" s="265" t="s">
        <v>190</v>
      </c>
      <c r="K68" s="265" t="s">
        <v>190</v>
      </c>
    </row>
    <row r="69" spans="5:11" x14ac:dyDescent="0.2">
      <c r="E69" s="265" t="s">
        <v>190</v>
      </c>
      <c r="H69" s="265" t="s">
        <v>190</v>
      </c>
      <c r="K69" s="265" t="s">
        <v>190</v>
      </c>
    </row>
    <row r="70" spans="5:11" x14ac:dyDescent="0.2">
      <c r="E70" s="265" t="s">
        <v>190</v>
      </c>
      <c r="H70" s="265" t="s">
        <v>190</v>
      </c>
      <c r="K70" s="265" t="s">
        <v>190</v>
      </c>
    </row>
    <row r="71" spans="5:11" x14ac:dyDescent="0.2">
      <c r="E71" s="265" t="s">
        <v>190</v>
      </c>
      <c r="H71" s="265" t="s">
        <v>190</v>
      </c>
      <c r="K71" s="265" t="s">
        <v>190</v>
      </c>
    </row>
    <row r="72" spans="5:11" x14ac:dyDescent="0.2">
      <c r="E72" s="265" t="s">
        <v>190</v>
      </c>
      <c r="H72" s="265" t="s">
        <v>190</v>
      </c>
      <c r="K72" s="265" t="s">
        <v>190</v>
      </c>
    </row>
    <row r="73" spans="5:11" x14ac:dyDescent="0.2">
      <c r="E73" s="265" t="s">
        <v>190</v>
      </c>
      <c r="H73" s="265" t="s">
        <v>190</v>
      </c>
      <c r="K73" s="265" t="s">
        <v>190</v>
      </c>
    </row>
    <row r="74" spans="5:11" x14ac:dyDescent="0.2">
      <c r="E74" s="265" t="s">
        <v>190</v>
      </c>
      <c r="H74" s="265" t="s">
        <v>190</v>
      </c>
      <c r="K74" s="265" t="s">
        <v>190</v>
      </c>
    </row>
    <row r="75" spans="5:11" x14ac:dyDescent="0.2">
      <c r="E75" s="265" t="s">
        <v>190</v>
      </c>
      <c r="H75" s="265" t="s">
        <v>190</v>
      </c>
      <c r="K75" s="265" t="s">
        <v>190</v>
      </c>
    </row>
    <row r="76" spans="5:11" x14ac:dyDescent="0.2">
      <c r="E76" s="265" t="s">
        <v>190</v>
      </c>
      <c r="H76" s="265" t="s">
        <v>190</v>
      </c>
      <c r="K76" s="265" t="s">
        <v>190</v>
      </c>
    </row>
    <row r="77" spans="5:11" x14ac:dyDescent="0.2">
      <c r="E77" s="265" t="s">
        <v>190</v>
      </c>
      <c r="H77" s="265" t="s">
        <v>190</v>
      </c>
      <c r="K77" s="265" t="s">
        <v>190</v>
      </c>
    </row>
    <row r="78" spans="5:11" x14ac:dyDescent="0.2">
      <c r="E78" s="265" t="s">
        <v>190</v>
      </c>
      <c r="H78" s="265" t="s">
        <v>190</v>
      </c>
      <c r="K78" s="265" t="s">
        <v>190</v>
      </c>
    </row>
    <row r="79" spans="5:11" x14ac:dyDescent="0.2">
      <c r="E79" s="265" t="s">
        <v>190</v>
      </c>
      <c r="H79" s="265" t="s">
        <v>190</v>
      </c>
      <c r="K79" s="265" t="s">
        <v>190</v>
      </c>
    </row>
    <row r="80" spans="5:11" x14ac:dyDescent="0.2">
      <c r="E80" s="265" t="s">
        <v>190</v>
      </c>
      <c r="H80" s="265" t="s">
        <v>190</v>
      </c>
      <c r="K80" s="265" t="s">
        <v>190</v>
      </c>
    </row>
    <row r="81" spans="5:11" x14ac:dyDescent="0.2">
      <c r="E81" s="265" t="s">
        <v>190</v>
      </c>
      <c r="H81" s="265" t="s">
        <v>190</v>
      </c>
      <c r="K81" s="265" t="s">
        <v>190</v>
      </c>
    </row>
    <row r="82" spans="5:11" x14ac:dyDescent="0.2">
      <c r="E82" s="265" t="s">
        <v>190</v>
      </c>
      <c r="H82" s="265" t="s">
        <v>190</v>
      </c>
      <c r="K82" s="265" t="s">
        <v>190</v>
      </c>
    </row>
    <row r="83" spans="5:11" x14ac:dyDescent="0.2">
      <c r="E83" s="265" t="s">
        <v>190</v>
      </c>
      <c r="H83" s="265" t="s">
        <v>190</v>
      </c>
      <c r="K83" s="265" t="s">
        <v>190</v>
      </c>
    </row>
    <row r="84" spans="5:11" x14ac:dyDescent="0.2">
      <c r="E84" s="265" t="s">
        <v>190</v>
      </c>
      <c r="H84" s="265" t="s">
        <v>190</v>
      </c>
      <c r="K84" s="265" t="s">
        <v>190</v>
      </c>
    </row>
    <row r="85" spans="5:11" x14ac:dyDescent="0.2">
      <c r="E85" s="265" t="s">
        <v>190</v>
      </c>
      <c r="H85" s="265" t="s">
        <v>190</v>
      </c>
      <c r="K85" s="265" t="s">
        <v>190</v>
      </c>
    </row>
    <row r="86" spans="5:11" x14ac:dyDescent="0.2">
      <c r="E86" s="265" t="s">
        <v>190</v>
      </c>
      <c r="H86" s="265" t="s">
        <v>190</v>
      </c>
      <c r="K86" s="265" t="s">
        <v>190</v>
      </c>
    </row>
    <row r="87" spans="5:11" x14ac:dyDescent="0.2">
      <c r="E87" s="265" t="s">
        <v>190</v>
      </c>
      <c r="H87" s="265" t="s">
        <v>190</v>
      </c>
      <c r="K87" s="265" t="s">
        <v>190</v>
      </c>
    </row>
    <row r="88" spans="5:11" x14ac:dyDescent="0.2">
      <c r="E88" s="265" t="s">
        <v>190</v>
      </c>
      <c r="H88" s="265" t="s">
        <v>190</v>
      </c>
      <c r="K88" s="265" t="s">
        <v>190</v>
      </c>
    </row>
    <row r="89" spans="5:11" x14ac:dyDescent="0.2">
      <c r="E89" s="265" t="s">
        <v>190</v>
      </c>
      <c r="H89" s="265" t="s">
        <v>190</v>
      </c>
      <c r="K89" s="265" t="s">
        <v>190</v>
      </c>
    </row>
    <row r="90" spans="5:11" x14ac:dyDescent="0.2">
      <c r="E90" s="265" t="s">
        <v>190</v>
      </c>
      <c r="H90" s="265" t="s">
        <v>190</v>
      </c>
      <c r="K90" s="265" t="s">
        <v>190</v>
      </c>
    </row>
    <row r="91" spans="5:11" x14ac:dyDescent="0.2">
      <c r="E91" s="265" t="s">
        <v>190</v>
      </c>
      <c r="H91" s="265" t="s">
        <v>190</v>
      </c>
      <c r="K91" s="265" t="s">
        <v>190</v>
      </c>
    </row>
    <row r="92" spans="5:11" x14ac:dyDescent="0.2">
      <c r="E92" s="265" t="s">
        <v>190</v>
      </c>
      <c r="H92" s="265" t="s">
        <v>190</v>
      </c>
      <c r="K92" s="265" t="s">
        <v>190</v>
      </c>
    </row>
    <row r="93" spans="5:11" x14ac:dyDescent="0.2">
      <c r="E93" s="265" t="s">
        <v>190</v>
      </c>
      <c r="H93" s="265" t="s">
        <v>190</v>
      </c>
      <c r="K93" s="265" t="s">
        <v>190</v>
      </c>
    </row>
    <row r="94" spans="5:11" x14ac:dyDescent="0.2">
      <c r="E94" s="265" t="s">
        <v>190</v>
      </c>
      <c r="H94" s="265" t="s">
        <v>190</v>
      </c>
      <c r="K94" s="265" t="s">
        <v>190</v>
      </c>
    </row>
    <row r="95" spans="5:11" x14ac:dyDescent="0.2">
      <c r="E95" s="265" t="s">
        <v>190</v>
      </c>
      <c r="H95" s="265" t="s">
        <v>190</v>
      </c>
      <c r="K95" s="265" t="s">
        <v>190</v>
      </c>
    </row>
    <row r="96" spans="5:11" x14ac:dyDescent="0.2">
      <c r="E96" s="265" t="s">
        <v>190</v>
      </c>
      <c r="H96" s="265" t="s">
        <v>190</v>
      </c>
      <c r="K96" s="265" t="s">
        <v>190</v>
      </c>
    </row>
    <row r="97" spans="5:11" x14ac:dyDescent="0.2">
      <c r="E97" s="265" t="s">
        <v>190</v>
      </c>
      <c r="H97" s="265" t="s">
        <v>190</v>
      </c>
      <c r="K97" s="265" t="s">
        <v>190</v>
      </c>
    </row>
    <row r="98" spans="5:11" x14ac:dyDescent="0.2">
      <c r="E98" s="265" t="s">
        <v>190</v>
      </c>
      <c r="H98" s="265" t="s">
        <v>190</v>
      </c>
      <c r="K98" s="265" t="s">
        <v>190</v>
      </c>
    </row>
    <row r="99" spans="5:11" x14ac:dyDescent="0.2">
      <c r="E99" s="265" t="s">
        <v>190</v>
      </c>
      <c r="H99" s="265" t="s">
        <v>190</v>
      </c>
      <c r="K99" s="265" t="s">
        <v>190</v>
      </c>
    </row>
    <row r="100" spans="5:11" x14ac:dyDescent="0.2">
      <c r="E100" s="265" t="s">
        <v>190</v>
      </c>
      <c r="H100" s="265" t="s">
        <v>190</v>
      </c>
      <c r="K100" s="265" t="s">
        <v>190</v>
      </c>
    </row>
    <row r="101" spans="5:11" x14ac:dyDescent="0.2">
      <c r="E101" s="265" t="s">
        <v>190</v>
      </c>
      <c r="H101" s="265" t="s">
        <v>190</v>
      </c>
      <c r="K101" s="265" t="s">
        <v>190</v>
      </c>
    </row>
    <row r="102" spans="5:11" x14ac:dyDescent="0.2">
      <c r="E102" s="265" t="s">
        <v>190</v>
      </c>
      <c r="H102" s="265" t="s">
        <v>190</v>
      </c>
      <c r="K102" s="265" t="s">
        <v>190</v>
      </c>
    </row>
    <row r="103" spans="5:11" x14ac:dyDescent="0.2">
      <c r="E103" s="265" t="s">
        <v>190</v>
      </c>
      <c r="H103" s="265" t="s">
        <v>190</v>
      </c>
      <c r="K103" s="265" t="s">
        <v>190</v>
      </c>
    </row>
    <row r="104" spans="5:11" x14ac:dyDescent="0.2">
      <c r="E104" s="265" t="s">
        <v>190</v>
      </c>
      <c r="H104" s="265" t="s">
        <v>190</v>
      </c>
      <c r="K104" s="265" t="s">
        <v>190</v>
      </c>
    </row>
    <row r="105" spans="5:11" x14ac:dyDescent="0.2">
      <c r="E105" s="265" t="s">
        <v>190</v>
      </c>
      <c r="H105" s="265" t="s">
        <v>190</v>
      </c>
      <c r="K105" s="265" t="s">
        <v>190</v>
      </c>
    </row>
    <row r="106" spans="5:11" x14ac:dyDescent="0.2">
      <c r="E106" s="265" t="s">
        <v>190</v>
      </c>
      <c r="H106" s="265" t="s">
        <v>190</v>
      </c>
      <c r="K106" s="265" t="s">
        <v>190</v>
      </c>
    </row>
    <row r="107" spans="5:11" x14ac:dyDescent="0.2">
      <c r="E107" s="265" t="s">
        <v>190</v>
      </c>
      <c r="H107" s="265" t="s">
        <v>190</v>
      </c>
      <c r="K107" s="265" t="s">
        <v>190</v>
      </c>
    </row>
    <row r="108" spans="5:11" x14ac:dyDescent="0.2">
      <c r="E108" s="265" t="s">
        <v>190</v>
      </c>
      <c r="H108" s="265" t="s">
        <v>190</v>
      </c>
      <c r="K108" s="265" t="s">
        <v>190</v>
      </c>
    </row>
    <row r="109" spans="5:11" x14ac:dyDescent="0.2">
      <c r="E109" s="265" t="s">
        <v>190</v>
      </c>
      <c r="H109" s="265" t="s">
        <v>190</v>
      </c>
      <c r="K109" s="265" t="s">
        <v>190</v>
      </c>
    </row>
    <row r="110" spans="5:11" x14ac:dyDescent="0.2">
      <c r="E110" s="265" t="s">
        <v>190</v>
      </c>
      <c r="H110" s="265" t="s">
        <v>190</v>
      </c>
      <c r="K110" s="265" t="s">
        <v>190</v>
      </c>
    </row>
    <row r="111" spans="5:11" x14ac:dyDescent="0.2">
      <c r="E111" s="265" t="s">
        <v>190</v>
      </c>
      <c r="H111" s="265" t="s">
        <v>190</v>
      </c>
      <c r="K111" s="265" t="s">
        <v>190</v>
      </c>
    </row>
    <row r="112" spans="5:11" x14ac:dyDescent="0.2">
      <c r="E112" s="265" t="s">
        <v>190</v>
      </c>
      <c r="H112" s="265" t="s">
        <v>190</v>
      </c>
      <c r="K112" s="265" t="s">
        <v>190</v>
      </c>
    </row>
    <row r="113" spans="5:11" x14ac:dyDescent="0.2">
      <c r="E113" s="265" t="s">
        <v>190</v>
      </c>
      <c r="H113" s="265" t="s">
        <v>190</v>
      </c>
      <c r="K113" s="265" t="s">
        <v>190</v>
      </c>
    </row>
    <row r="114" spans="5:11" x14ac:dyDescent="0.2">
      <c r="E114" s="265" t="s">
        <v>190</v>
      </c>
      <c r="H114" s="265" t="s">
        <v>190</v>
      </c>
      <c r="K114" s="265" t="s">
        <v>190</v>
      </c>
    </row>
    <row r="115" spans="5:11" x14ac:dyDescent="0.2">
      <c r="E115" s="265" t="s">
        <v>190</v>
      </c>
      <c r="H115" s="265" t="s">
        <v>190</v>
      </c>
      <c r="K115" s="265" t="s">
        <v>190</v>
      </c>
    </row>
    <row r="116" spans="5:11" x14ac:dyDescent="0.2">
      <c r="E116" s="265" t="s">
        <v>190</v>
      </c>
      <c r="H116" s="265" t="s">
        <v>190</v>
      </c>
      <c r="K116" s="265" t="s">
        <v>190</v>
      </c>
    </row>
    <row r="117" spans="5:11" x14ac:dyDescent="0.2">
      <c r="E117" s="265" t="s">
        <v>190</v>
      </c>
      <c r="H117" s="265" t="s">
        <v>190</v>
      </c>
      <c r="K117" s="265" t="s">
        <v>190</v>
      </c>
    </row>
    <row r="118" spans="5:11" x14ac:dyDescent="0.2">
      <c r="E118" s="265" t="s">
        <v>190</v>
      </c>
      <c r="H118" s="265" t="s">
        <v>190</v>
      </c>
      <c r="K118" s="265" t="s">
        <v>190</v>
      </c>
    </row>
    <row r="119" spans="5:11" x14ac:dyDescent="0.2">
      <c r="E119" s="265" t="s">
        <v>190</v>
      </c>
      <c r="H119" s="265" t="s">
        <v>190</v>
      </c>
      <c r="K119" s="265" t="s">
        <v>190</v>
      </c>
    </row>
    <row r="120" spans="5:11" x14ac:dyDescent="0.2">
      <c r="E120" s="265" t="s">
        <v>190</v>
      </c>
      <c r="H120" s="265" t="s">
        <v>190</v>
      </c>
      <c r="K120" s="265" t="s">
        <v>190</v>
      </c>
    </row>
    <row r="121" spans="5:11" x14ac:dyDescent="0.2">
      <c r="E121" s="265" t="s">
        <v>190</v>
      </c>
      <c r="H121" s="265" t="s">
        <v>190</v>
      </c>
      <c r="K121" s="265" t="s">
        <v>190</v>
      </c>
    </row>
    <row r="122" spans="5:11" x14ac:dyDescent="0.2">
      <c r="E122" s="265" t="s">
        <v>190</v>
      </c>
      <c r="H122" s="265" t="s">
        <v>190</v>
      </c>
      <c r="K122" s="265" t="s">
        <v>190</v>
      </c>
    </row>
    <row r="123" spans="5:11" x14ac:dyDescent="0.2">
      <c r="E123" s="265" t="s">
        <v>190</v>
      </c>
      <c r="H123" s="265" t="s">
        <v>190</v>
      </c>
      <c r="K123" s="265" t="s">
        <v>190</v>
      </c>
    </row>
    <row r="124" spans="5:11" x14ac:dyDescent="0.2">
      <c r="E124" s="265" t="s">
        <v>190</v>
      </c>
      <c r="H124" s="265" t="s">
        <v>190</v>
      </c>
      <c r="K124" s="265" t="s">
        <v>190</v>
      </c>
    </row>
    <row r="125" spans="5:11" x14ac:dyDescent="0.2">
      <c r="E125" s="265" t="s">
        <v>190</v>
      </c>
      <c r="H125" s="265" t="s">
        <v>190</v>
      </c>
      <c r="K125" s="265" t="s">
        <v>190</v>
      </c>
    </row>
    <row r="126" spans="5:11" x14ac:dyDescent="0.2">
      <c r="E126" s="265" t="s">
        <v>190</v>
      </c>
      <c r="H126" s="265" t="s">
        <v>190</v>
      </c>
      <c r="K126" s="265" t="s">
        <v>190</v>
      </c>
    </row>
    <row r="127" spans="5:11" x14ac:dyDescent="0.2">
      <c r="E127" s="265" t="s">
        <v>190</v>
      </c>
      <c r="H127" s="265" t="s">
        <v>190</v>
      </c>
      <c r="K127" s="265" t="s">
        <v>190</v>
      </c>
    </row>
    <row r="128" spans="5:11" x14ac:dyDescent="0.2">
      <c r="E128" s="265" t="s">
        <v>190</v>
      </c>
      <c r="H128" s="265" t="s">
        <v>190</v>
      </c>
      <c r="K128" s="265" t="s">
        <v>190</v>
      </c>
    </row>
    <row r="129" spans="5:11" x14ac:dyDescent="0.2">
      <c r="E129" s="265" t="s">
        <v>190</v>
      </c>
      <c r="H129" s="265" t="s">
        <v>190</v>
      </c>
      <c r="K129" s="265" t="s">
        <v>190</v>
      </c>
    </row>
    <row r="130" spans="5:11" x14ac:dyDescent="0.2">
      <c r="E130" s="265" t="s">
        <v>190</v>
      </c>
      <c r="H130" s="265" t="s">
        <v>190</v>
      </c>
      <c r="K130" s="265" t="s">
        <v>190</v>
      </c>
    </row>
    <row r="131" spans="5:11" x14ac:dyDescent="0.2">
      <c r="E131" s="265" t="s">
        <v>190</v>
      </c>
      <c r="H131" s="265" t="s">
        <v>190</v>
      </c>
      <c r="K131" s="265" t="s">
        <v>190</v>
      </c>
    </row>
    <row r="132" spans="5:11" x14ac:dyDescent="0.2">
      <c r="E132" s="265" t="s">
        <v>190</v>
      </c>
      <c r="H132" s="265" t="s">
        <v>190</v>
      </c>
      <c r="K132" s="265" t="s">
        <v>190</v>
      </c>
    </row>
    <row r="133" spans="5:11" x14ac:dyDescent="0.2">
      <c r="E133" s="265" t="s">
        <v>190</v>
      </c>
      <c r="H133" s="265" t="s">
        <v>190</v>
      </c>
      <c r="K133" s="265" t="s">
        <v>190</v>
      </c>
    </row>
    <row r="134" spans="5:11" x14ac:dyDescent="0.2">
      <c r="E134" s="265" t="s">
        <v>190</v>
      </c>
      <c r="H134" s="265" t="s">
        <v>190</v>
      </c>
      <c r="K134" s="265" t="s">
        <v>190</v>
      </c>
    </row>
    <row r="135" spans="5:11" x14ac:dyDescent="0.2">
      <c r="E135" s="265" t="s">
        <v>190</v>
      </c>
      <c r="H135" s="265" t="s">
        <v>190</v>
      </c>
      <c r="K135" s="265" t="s">
        <v>190</v>
      </c>
    </row>
    <row r="136" spans="5:11" x14ac:dyDescent="0.2">
      <c r="E136" s="265" t="s">
        <v>190</v>
      </c>
      <c r="H136" s="265" t="s">
        <v>190</v>
      </c>
      <c r="K136" s="265" t="s">
        <v>190</v>
      </c>
    </row>
    <row r="137" spans="5:11" x14ac:dyDescent="0.2">
      <c r="E137" s="265" t="s">
        <v>190</v>
      </c>
      <c r="H137" s="265" t="s">
        <v>190</v>
      </c>
      <c r="K137" s="265" t="s">
        <v>190</v>
      </c>
    </row>
    <row r="138" spans="5:11" x14ac:dyDescent="0.2">
      <c r="E138" s="265" t="s">
        <v>190</v>
      </c>
      <c r="H138" s="265" t="s">
        <v>190</v>
      </c>
      <c r="K138" s="265" t="s">
        <v>190</v>
      </c>
    </row>
    <row r="139" spans="5:11" x14ac:dyDescent="0.2">
      <c r="E139" s="265" t="s">
        <v>190</v>
      </c>
      <c r="H139" s="265" t="s">
        <v>190</v>
      </c>
      <c r="K139" s="265" t="s">
        <v>190</v>
      </c>
    </row>
    <row r="140" spans="5:11" x14ac:dyDescent="0.2">
      <c r="E140" s="265" t="s">
        <v>190</v>
      </c>
      <c r="H140" s="265" t="s">
        <v>190</v>
      </c>
      <c r="K140" s="265" t="s">
        <v>190</v>
      </c>
    </row>
    <row r="141" spans="5:11" x14ac:dyDescent="0.2">
      <c r="E141" s="265" t="s">
        <v>190</v>
      </c>
      <c r="H141" s="265" t="s">
        <v>190</v>
      </c>
      <c r="K141" s="265" t="s">
        <v>190</v>
      </c>
    </row>
    <row r="142" spans="5:11" x14ac:dyDescent="0.2">
      <c r="E142" s="265" t="s">
        <v>190</v>
      </c>
      <c r="H142" s="265" t="s">
        <v>190</v>
      </c>
      <c r="K142" s="265" t="s">
        <v>190</v>
      </c>
    </row>
    <row r="143" spans="5:11" x14ac:dyDescent="0.2">
      <c r="E143" s="265" t="s">
        <v>190</v>
      </c>
      <c r="H143" s="265" t="s">
        <v>190</v>
      </c>
      <c r="K143" s="265" t="s">
        <v>190</v>
      </c>
    </row>
    <row r="144" spans="5:11" x14ac:dyDescent="0.2">
      <c r="E144" s="265" t="s">
        <v>190</v>
      </c>
      <c r="H144" s="265" t="s">
        <v>190</v>
      </c>
      <c r="K144" s="265" t="s">
        <v>190</v>
      </c>
    </row>
    <row r="145" spans="5:11" x14ac:dyDescent="0.2">
      <c r="E145" s="265" t="s">
        <v>190</v>
      </c>
      <c r="H145" s="265" t="s">
        <v>190</v>
      </c>
      <c r="K145" s="265" t="s">
        <v>190</v>
      </c>
    </row>
    <row r="146" spans="5:11" x14ac:dyDescent="0.2">
      <c r="E146" s="265" t="s">
        <v>190</v>
      </c>
      <c r="H146" s="265" t="s">
        <v>190</v>
      </c>
      <c r="K146" s="265" t="s">
        <v>190</v>
      </c>
    </row>
    <row r="147" spans="5:11" x14ac:dyDescent="0.2">
      <c r="E147" s="265" t="s">
        <v>190</v>
      </c>
      <c r="H147" s="265" t="s">
        <v>190</v>
      </c>
      <c r="K147" s="265" t="s">
        <v>190</v>
      </c>
    </row>
    <row r="148" spans="5:11" x14ac:dyDescent="0.2">
      <c r="E148" s="265" t="s">
        <v>190</v>
      </c>
      <c r="H148" s="265" t="s">
        <v>190</v>
      </c>
      <c r="K148" s="265" t="s">
        <v>190</v>
      </c>
    </row>
    <row r="149" spans="5:11" x14ac:dyDescent="0.2">
      <c r="E149" s="265" t="s">
        <v>190</v>
      </c>
      <c r="H149" s="265" t="s">
        <v>190</v>
      </c>
      <c r="K149" s="265" t="s">
        <v>190</v>
      </c>
    </row>
    <row r="150" spans="5:11" x14ac:dyDescent="0.2">
      <c r="E150" s="265" t="s">
        <v>190</v>
      </c>
      <c r="H150" s="265" t="s">
        <v>190</v>
      </c>
      <c r="K150" s="265" t="s">
        <v>190</v>
      </c>
    </row>
    <row r="151" spans="5:11" x14ac:dyDescent="0.2">
      <c r="E151" s="265" t="s">
        <v>190</v>
      </c>
      <c r="H151" s="265" t="s">
        <v>190</v>
      </c>
      <c r="K151" s="265" t="s">
        <v>190</v>
      </c>
    </row>
    <row r="152" spans="5:11" x14ac:dyDescent="0.2">
      <c r="E152" s="265" t="s">
        <v>190</v>
      </c>
      <c r="H152" s="265" t="s">
        <v>190</v>
      </c>
      <c r="K152" s="265" t="s">
        <v>190</v>
      </c>
    </row>
    <row r="153" spans="5:11" x14ac:dyDescent="0.2">
      <c r="E153" s="265" t="s">
        <v>190</v>
      </c>
      <c r="H153" s="265" t="s">
        <v>190</v>
      </c>
      <c r="K153" s="265" t="s">
        <v>190</v>
      </c>
    </row>
    <row r="154" spans="5:11" x14ac:dyDescent="0.2">
      <c r="E154" s="265" t="s">
        <v>190</v>
      </c>
      <c r="H154" s="265" t="s">
        <v>190</v>
      </c>
      <c r="K154" s="265" t="s">
        <v>190</v>
      </c>
    </row>
    <row r="155" spans="5:11" x14ac:dyDescent="0.2">
      <c r="E155" s="265" t="s">
        <v>190</v>
      </c>
      <c r="H155" s="265" t="s">
        <v>190</v>
      </c>
      <c r="K155" s="265" t="s">
        <v>190</v>
      </c>
    </row>
    <row r="156" spans="5:11" x14ac:dyDescent="0.2">
      <c r="E156" s="265" t="s">
        <v>190</v>
      </c>
      <c r="H156" s="265" t="s">
        <v>190</v>
      </c>
      <c r="K156" s="265" t="s">
        <v>190</v>
      </c>
    </row>
    <row r="157" spans="5:11" x14ac:dyDescent="0.2">
      <c r="E157" s="265" t="s">
        <v>190</v>
      </c>
      <c r="H157" s="265" t="s">
        <v>190</v>
      </c>
      <c r="K157" s="265" t="s">
        <v>190</v>
      </c>
    </row>
    <row r="158" spans="5:11" x14ac:dyDescent="0.2">
      <c r="E158" s="265" t="s">
        <v>190</v>
      </c>
      <c r="H158" s="265" t="s">
        <v>190</v>
      </c>
      <c r="K158" s="265" t="s">
        <v>190</v>
      </c>
    </row>
    <row r="159" spans="5:11" x14ac:dyDescent="0.2">
      <c r="E159" s="265" t="s">
        <v>190</v>
      </c>
      <c r="H159" s="265" t="s">
        <v>190</v>
      </c>
      <c r="K159" s="265" t="s">
        <v>190</v>
      </c>
    </row>
    <row r="160" spans="5:11" x14ac:dyDescent="0.2">
      <c r="E160" s="265" t="s">
        <v>190</v>
      </c>
      <c r="H160" s="265" t="s">
        <v>190</v>
      </c>
      <c r="K160" s="265" t="s">
        <v>190</v>
      </c>
    </row>
    <row r="161" spans="5:11" x14ac:dyDescent="0.2">
      <c r="E161" s="265" t="s">
        <v>190</v>
      </c>
      <c r="H161" s="265" t="s">
        <v>190</v>
      </c>
      <c r="K161" s="265" t="s">
        <v>190</v>
      </c>
    </row>
    <row r="162" spans="5:11" x14ac:dyDescent="0.2">
      <c r="E162" s="265" t="s">
        <v>190</v>
      </c>
      <c r="H162" s="265" t="s">
        <v>190</v>
      </c>
      <c r="K162" s="265" t="s">
        <v>190</v>
      </c>
    </row>
    <row r="163" spans="5:11" x14ac:dyDescent="0.2">
      <c r="E163" s="265" t="s">
        <v>190</v>
      </c>
      <c r="H163" s="265" t="s">
        <v>190</v>
      </c>
      <c r="K163" s="265" t="s">
        <v>190</v>
      </c>
    </row>
    <row r="164" spans="5:11" x14ac:dyDescent="0.2">
      <c r="E164" s="265" t="s">
        <v>190</v>
      </c>
      <c r="H164" s="265" t="s">
        <v>190</v>
      </c>
      <c r="K164" s="265" t="s">
        <v>190</v>
      </c>
    </row>
    <row r="165" spans="5:11" x14ac:dyDescent="0.2">
      <c r="E165" s="265" t="s">
        <v>190</v>
      </c>
      <c r="H165" s="265" t="s">
        <v>190</v>
      </c>
      <c r="K165" s="265" t="s">
        <v>190</v>
      </c>
    </row>
    <row r="166" spans="5:11" x14ac:dyDescent="0.2">
      <c r="E166" s="265" t="s">
        <v>190</v>
      </c>
      <c r="H166" s="265" t="s">
        <v>190</v>
      </c>
      <c r="K166" s="265" t="s">
        <v>190</v>
      </c>
    </row>
    <row r="167" spans="5:11" x14ac:dyDescent="0.2">
      <c r="E167" s="265" t="s">
        <v>190</v>
      </c>
      <c r="H167" s="265" t="s">
        <v>190</v>
      </c>
      <c r="K167" s="265" t="s">
        <v>190</v>
      </c>
    </row>
    <row r="168" spans="5:11" x14ac:dyDescent="0.2">
      <c r="E168" s="265" t="s">
        <v>190</v>
      </c>
      <c r="H168" s="265" t="s">
        <v>190</v>
      </c>
      <c r="K168" s="265" t="s">
        <v>190</v>
      </c>
    </row>
    <row r="169" spans="5:11" x14ac:dyDescent="0.2">
      <c r="E169" s="265" t="s">
        <v>190</v>
      </c>
      <c r="H169" s="265" t="s">
        <v>190</v>
      </c>
      <c r="K169" s="265" t="s">
        <v>190</v>
      </c>
    </row>
    <row r="170" spans="5:11" x14ac:dyDescent="0.2">
      <c r="E170" s="265" t="s">
        <v>190</v>
      </c>
      <c r="H170" s="265" t="s">
        <v>190</v>
      </c>
      <c r="K170" s="265" t="s">
        <v>190</v>
      </c>
    </row>
    <row r="171" spans="5:11" x14ac:dyDescent="0.2">
      <c r="E171" s="265" t="s">
        <v>190</v>
      </c>
      <c r="H171" s="265" t="s">
        <v>190</v>
      </c>
      <c r="K171" s="265" t="s">
        <v>190</v>
      </c>
    </row>
    <row r="172" spans="5:11" x14ac:dyDescent="0.2">
      <c r="E172" s="265" t="s">
        <v>190</v>
      </c>
      <c r="H172" s="265" t="s">
        <v>190</v>
      </c>
      <c r="K172" s="265" t="s">
        <v>190</v>
      </c>
    </row>
    <row r="173" spans="5:11" x14ac:dyDescent="0.2">
      <c r="E173" s="265" t="s">
        <v>190</v>
      </c>
      <c r="H173" s="265" t="s">
        <v>190</v>
      </c>
      <c r="K173" s="265" t="s">
        <v>190</v>
      </c>
    </row>
    <row r="174" spans="5:11" x14ac:dyDescent="0.2">
      <c r="E174" s="265" t="s">
        <v>190</v>
      </c>
      <c r="H174" s="265" t="s">
        <v>190</v>
      </c>
      <c r="K174" s="265" t="s">
        <v>190</v>
      </c>
    </row>
    <row r="175" spans="5:11" x14ac:dyDescent="0.2">
      <c r="E175" s="265" t="s">
        <v>190</v>
      </c>
      <c r="H175" s="265" t="s">
        <v>190</v>
      </c>
      <c r="K175" s="265" t="s">
        <v>190</v>
      </c>
    </row>
    <row r="176" spans="5:11" x14ac:dyDescent="0.2">
      <c r="E176" s="265" t="s">
        <v>190</v>
      </c>
      <c r="H176" s="265" t="s">
        <v>190</v>
      </c>
      <c r="K176" s="265" t="s">
        <v>190</v>
      </c>
    </row>
    <row r="177" spans="5:11" x14ac:dyDescent="0.2">
      <c r="E177" s="265" t="s">
        <v>190</v>
      </c>
      <c r="H177" s="265" t="s">
        <v>190</v>
      </c>
      <c r="K177" s="265" t="s">
        <v>190</v>
      </c>
    </row>
    <row r="178" spans="5:11" x14ac:dyDescent="0.2">
      <c r="E178" s="265" t="s">
        <v>190</v>
      </c>
      <c r="H178" s="265" t="s">
        <v>190</v>
      </c>
      <c r="K178" s="265" t="s">
        <v>190</v>
      </c>
    </row>
    <row r="179" spans="5:11" x14ac:dyDescent="0.2">
      <c r="E179" s="265" t="s">
        <v>190</v>
      </c>
      <c r="H179" s="265" t="s">
        <v>190</v>
      </c>
      <c r="K179" s="265" t="s">
        <v>190</v>
      </c>
    </row>
    <row r="180" spans="5:11" x14ac:dyDescent="0.2">
      <c r="E180" s="265" t="s">
        <v>190</v>
      </c>
      <c r="H180" s="265" t="s">
        <v>190</v>
      </c>
      <c r="K180" s="265" t="s">
        <v>190</v>
      </c>
    </row>
    <row r="181" spans="5:11" x14ac:dyDescent="0.2">
      <c r="E181" s="265" t="s">
        <v>190</v>
      </c>
      <c r="H181" s="265" t="s">
        <v>190</v>
      </c>
      <c r="K181" s="265" t="s">
        <v>190</v>
      </c>
    </row>
    <row r="182" spans="5:11" x14ac:dyDescent="0.2">
      <c r="E182" s="265" t="s">
        <v>190</v>
      </c>
      <c r="H182" s="265" t="s">
        <v>190</v>
      </c>
      <c r="K182" s="265" t="s">
        <v>190</v>
      </c>
    </row>
    <row r="183" spans="5:11" x14ac:dyDescent="0.2">
      <c r="E183" s="265" t="s">
        <v>190</v>
      </c>
      <c r="H183" s="265" t="s">
        <v>190</v>
      </c>
      <c r="K183" s="265" t="s">
        <v>190</v>
      </c>
    </row>
    <row r="184" spans="5:11" x14ac:dyDescent="0.2">
      <c r="E184" s="265" t="s">
        <v>190</v>
      </c>
      <c r="H184" s="265" t="s">
        <v>190</v>
      </c>
      <c r="K184" s="265" t="s">
        <v>190</v>
      </c>
    </row>
    <row r="185" spans="5:11" x14ac:dyDescent="0.2">
      <c r="E185" s="265" t="s">
        <v>190</v>
      </c>
      <c r="H185" s="265" t="s">
        <v>190</v>
      </c>
      <c r="K185" s="265" t="s">
        <v>190</v>
      </c>
    </row>
    <row r="186" spans="5:11" x14ac:dyDescent="0.2">
      <c r="E186" s="265" t="s">
        <v>190</v>
      </c>
      <c r="H186" s="265" t="s">
        <v>190</v>
      </c>
      <c r="K186" s="265" t="s">
        <v>190</v>
      </c>
    </row>
    <row r="187" spans="5:11" x14ac:dyDescent="0.2">
      <c r="E187" s="265" t="s">
        <v>190</v>
      </c>
      <c r="H187" s="265" t="s">
        <v>190</v>
      </c>
      <c r="K187" s="265" t="s">
        <v>190</v>
      </c>
    </row>
    <row r="188" spans="5:11" x14ac:dyDescent="0.2">
      <c r="E188" s="265" t="s">
        <v>190</v>
      </c>
      <c r="H188" s="265" t="s">
        <v>190</v>
      </c>
      <c r="K188" s="265" t="s">
        <v>190</v>
      </c>
    </row>
    <row r="189" spans="5:11" x14ac:dyDescent="0.2">
      <c r="E189" s="265" t="s">
        <v>190</v>
      </c>
      <c r="H189" s="265" t="s">
        <v>190</v>
      </c>
      <c r="K189" s="265" t="s">
        <v>190</v>
      </c>
    </row>
    <row r="190" spans="5:11" x14ac:dyDescent="0.2">
      <c r="E190" s="265" t="s">
        <v>190</v>
      </c>
      <c r="H190" s="265" t="s">
        <v>190</v>
      </c>
      <c r="K190" s="265" t="s">
        <v>190</v>
      </c>
    </row>
    <row r="191" spans="5:11" x14ac:dyDescent="0.2">
      <c r="E191" s="265" t="s">
        <v>190</v>
      </c>
      <c r="H191" s="265" t="s">
        <v>190</v>
      </c>
      <c r="K191" s="265" t="s">
        <v>190</v>
      </c>
    </row>
    <row r="192" spans="5:11" x14ac:dyDescent="0.2">
      <c r="E192" s="265" t="s">
        <v>190</v>
      </c>
      <c r="H192" s="265" t="s">
        <v>190</v>
      </c>
      <c r="K192" s="265" t="s">
        <v>190</v>
      </c>
    </row>
    <row r="193" spans="5:11" x14ac:dyDescent="0.2">
      <c r="E193" s="265" t="s">
        <v>190</v>
      </c>
      <c r="H193" s="265" t="s">
        <v>190</v>
      </c>
      <c r="K193" s="265" t="s">
        <v>190</v>
      </c>
    </row>
    <row r="194" spans="5:11" x14ac:dyDescent="0.2">
      <c r="E194" s="265" t="s">
        <v>190</v>
      </c>
      <c r="H194" s="265" t="s">
        <v>190</v>
      </c>
      <c r="K194" s="265" t="s">
        <v>190</v>
      </c>
    </row>
    <row r="195" spans="5:11" x14ac:dyDescent="0.2">
      <c r="E195" s="265" t="s">
        <v>190</v>
      </c>
      <c r="H195" s="265" t="s">
        <v>190</v>
      </c>
      <c r="K195" s="265" t="s">
        <v>190</v>
      </c>
    </row>
    <row r="196" spans="5:11" x14ac:dyDescent="0.2">
      <c r="E196" s="265" t="s">
        <v>190</v>
      </c>
      <c r="H196" s="265" t="s">
        <v>190</v>
      </c>
      <c r="K196" s="265" t="s">
        <v>190</v>
      </c>
    </row>
    <row r="197" spans="5:11" x14ac:dyDescent="0.2">
      <c r="E197" s="265" t="s">
        <v>190</v>
      </c>
      <c r="H197" s="265" t="s">
        <v>190</v>
      </c>
      <c r="K197" s="265" t="s">
        <v>190</v>
      </c>
    </row>
    <row r="198" spans="5:11" x14ac:dyDescent="0.2">
      <c r="E198" s="265" t="s">
        <v>190</v>
      </c>
      <c r="H198" s="265" t="s">
        <v>190</v>
      </c>
      <c r="K198" s="265" t="s">
        <v>190</v>
      </c>
    </row>
    <row r="199" spans="5:11" x14ac:dyDescent="0.2">
      <c r="E199" s="265" t="s">
        <v>190</v>
      </c>
      <c r="H199" s="265" t="s">
        <v>190</v>
      </c>
      <c r="K199" s="265" t="s">
        <v>190</v>
      </c>
    </row>
    <row r="200" spans="5:11" x14ac:dyDescent="0.2">
      <c r="E200" s="265" t="s">
        <v>190</v>
      </c>
      <c r="H200" s="265" t="s">
        <v>190</v>
      </c>
      <c r="K200" s="265" t="s">
        <v>190</v>
      </c>
    </row>
    <row r="201" spans="5:11" x14ac:dyDescent="0.2">
      <c r="E201" s="265" t="s">
        <v>190</v>
      </c>
      <c r="H201" s="265" t="s">
        <v>190</v>
      </c>
      <c r="K201" s="265" t="s">
        <v>190</v>
      </c>
    </row>
    <row r="202" spans="5:11" x14ac:dyDescent="0.2">
      <c r="E202" s="265" t="s">
        <v>190</v>
      </c>
      <c r="H202" s="265" t="s">
        <v>190</v>
      </c>
      <c r="K202" s="265" t="s">
        <v>190</v>
      </c>
    </row>
    <row r="203" spans="5:11" x14ac:dyDescent="0.2">
      <c r="E203" s="265" t="s">
        <v>190</v>
      </c>
      <c r="H203" s="265" t="s">
        <v>190</v>
      </c>
      <c r="K203" s="265" t="s">
        <v>190</v>
      </c>
    </row>
    <row r="204" spans="5:11" x14ac:dyDescent="0.2">
      <c r="E204" s="265" t="s">
        <v>190</v>
      </c>
      <c r="H204" s="265" t="s">
        <v>190</v>
      </c>
      <c r="K204" s="265" t="s">
        <v>190</v>
      </c>
    </row>
    <row r="205" spans="5:11" x14ac:dyDescent="0.2">
      <c r="E205" s="265" t="s">
        <v>190</v>
      </c>
      <c r="H205" s="265" t="s">
        <v>190</v>
      </c>
      <c r="K205" s="265" t="s">
        <v>190</v>
      </c>
    </row>
    <row r="206" spans="5:11" x14ac:dyDescent="0.2">
      <c r="E206" s="265" t="s">
        <v>190</v>
      </c>
      <c r="H206" s="265" t="s">
        <v>190</v>
      </c>
      <c r="K206" s="265" t="s">
        <v>190</v>
      </c>
    </row>
    <row r="207" spans="5:11" x14ac:dyDescent="0.2">
      <c r="E207" s="265" t="s">
        <v>190</v>
      </c>
      <c r="H207" s="265" t="s">
        <v>190</v>
      </c>
      <c r="K207" s="265" t="s">
        <v>190</v>
      </c>
    </row>
    <row r="208" spans="5:11" x14ac:dyDescent="0.2">
      <c r="E208" s="265" t="s">
        <v>190</v>
      </c>
      <c r="H208" s="265" t="s">
        <v>190</v>
      </c>
      <c r="K208" s="265" t="s">
        <v>190</v>
      </c>
    </row>
    <row r="209" spans="5:11" x14ac:dyDescent="0.2">
      <c r="E209" s="265" t="s">
        <v>190</v>
      </c>
      <c r="H209" s="265" t="s">
        <v>190</v>
      </c>
      <c r="K209" s="265" t="s">
        <v>190</v>
      </c>
    </row>
    <row r="210" spans="5:11" x14ac:dyDescent="0.2">
      <c r="E210" s="265" t="s">
        <v>190</v>
      </c>
      <c r="H210" s="265" t="s">
        <v>190</v>
      </c>
      <c r="K210" s="265" t="s">
        <v>190</v>
      </c>
    </row>
    <row r="211" spans="5:11" x14ac:dyDescent="0.2">
      <c r="E211" s="265" t="s">
        <v>190</v>
      </c>
      <c r="H211" s="265" t="s">
        <v>190</v>
      </c>
      <c r="K211" s="265" t="s">
        <v>190</v>
      </c>
    </row>
    <row r="212" spans="5:11" x14ac:dyDescent="0.2">
      <c r="E212" s="265" t="s">
        <v>190</v>
      </c>
      <c r="H212" s="265" t="s">
        <v>190</v>
      </c>
      <c r="K212" s="265" t="s">
        <v>190</v>
      </c>
    </row>
    <row r="213" spans="5:11" x14ac:dyDescent="0.2">
      <c r="E213" s="265" t="s">
        <v>190</v>
      </c>
      <c r="H213" s="265" t="s">
        <v>190</v>
      </c>
      <c r="K213" s="265" t="s">
        <v>190</v>
      </c>
    </row>
    <row r="214" spans="5:11" x14ac:dyDescent="0.2">
      <c r="E214" s="265" t="s">
        <v>190</v>
      </c>
      <c r="H214" s="265" t="s">
        <v>190</v>
      </c>
      <c r="K214" s="265" t="s">
        <v>190</v>
      </c>
    </row>
    <row r="215" spans="5:11" x14ac:dyDescent="0.2">
      <c r="E215" s="265" t="s">
        <v>190</v>
      </c>
      <c r="H215" s="265" t="s">
        <v>190</v>
      </c>
      <c r="K215" s="265" t="s">
        <v>190</v>
      </c>
    </row>
    <row r="216" spans="5:11" x14ac:dyDescent="0.2">
      <c r="E216" s="265" t="s">
        <v>190</v>
      </c>
      <c r="H216" s="265" t="s">
        <v>190</v>
      </c>
      <c r="K216" s="265" t="s">
        <v>190</v>
      </c>
    </row>
    <row r="217" spans="5:11" x14ac:dyDescent="0.2">
      <c r="E217" s="265" t="s">
        <v>190</v>
      </c>
      <c r="H217" s="265" t="s">
        <v>190</v>
      </c>
      <c r="K217" s="265" t="s">
        <v>190</v>
      </c>
    </row>
    <row r="218" spans="5:11" x14ac:dyDescent="0.2">
      <c r="E218" s="265" t="s">
        <v>190</v>
      </c>
      <c r="H218" s="265" t="s">
        <v>190</v>
      </c>
      <c r="K218" s="265" t="s">
        <v>190</v>
      </c>
    </row>
    <row r="219" spans="5:11" x14ac:dyDescent="0.2">
      <c r="E219" s="265" t="s">
        <v>190</v>
      </c>
      <c r="H219" s="265" t="s">
        <v>190</v>
      </c>
      <c r="K219" s="265" t="s">
        <v>190</v>
      </c>
    </row>
    <row r="220" spans="5:11" x14ac:dyDescent="0.2">
      <c r="E220" s="265" t="s">
        <v>190</v>
      </c>
      <c r="H220" s="265" t="s">
        <v>190</v>
      </c>
      <c r="K220" s="265" t="s">
        <v>190</v>
      </c>
    </row>
    <row r="221" spans="5:11" x14ac:dyDescent="0.2">
      <c r="E221" s="265" t="s">
        <v>190</v>
      </c>
      <c r="H221" s="265" t="s">
        <v>190</v>
      </c>
      <c r="K221" s="265" t="s">
        <v>190</v>
      </c>
    </row>
    <row r="222" spans="5:11" x14ac:dyDescent="0.2">
      <c r="E222" s="265" t="s">
        <v>190</v>
      </c>
      <c r="H222" s="265" t="s">
        <v>190</v>
      </c>
      <c r="K222" s="265" t="s">
        <v>190</v>
      </c>
    </row>
    <row r="223" spans="5:11" x14ac:dyDescent="0.2">
      <c r="E223" s="265" t="s">
        <v>190</v>
      </c>
      <c r="H223" s="265" t="s">
        <v>190</v>
      </c>
      <c r="K223" s="265" t="s">
        <v>190</v>
      </c>
    </row>
    <row r="224" spans="5:11" x14ac:dyDescent="0.2">
      <c r="E224" s="265" t="s">
        <v>190</v>
      </c>
      <c r="H224" s="265" t="s">
        <v>190</v>
      </c>
      <c r="K224" s="265" t="s">
        <v>190</v>
      </c>
    </row>
    <row r="225" spans="5:11" x14ac:dyDescent="0.2">
      <c r="E225" s="265" t="s">
        <v>190</v>
      </c>
      <c r="H225" s="265" t="s">
        <v>190</v>
      </c>
      <c r="K225" s="265" t="s">
        <v>190</v>
      </c>
    </row>
    <row r="226" spans="5:11" x14ac:dyDescent="0.2">
      <c r="E226" s="265" t="s">
        <v>190</v>
      </c>
      <c r="H226" s="265" t="s">
        <v>190</v>
      </c>
      <c r="K226" s="265" t="s">
        <v>190</v>
      </c>
    </row>
    <row r="227" spans="5:11" x14ac:dyDescent="0.2">
      <c r="E227" s="265" t="s">
        <v>190</v>
      </c>
      <c r="H227" s="265" t="s">
        <v>190</v>
      </c>
      <c r="K227" s="265" t="s">
        <v>190</v>
      </c>
    </row>
    <row r="228" spans="5:11" x14ac:dyDescent="0.2">
      <c r="E228" s="265" t="s">
        <v>190</v>
      </c>
      <c r="H228" s="265" t="s">
        <v>190</v>
      </c>
      <c r="K228" s="265" t="s">
        <v>190</v>
      </c>
    </row>
    <row r="229" spans="5:11" x14ac:dyDescent="0.2">
      <c r="E229" s="265" t="s">
        <v>190</v>
      </c>
      <c r="H229" s="265" t="s">
        <v>190</v>
      </c>
      <c r="K229" s="265" t="s">
        <v>190</v>
      </c>
    </row>
    <row r="230" spans="5:11" x14ac:dyDescent="0.2">
      <c r="E230" s="265" t="s">
        <v>190</v>
      </c>
      <c r="H230" s="265" t="s">
        <v>190</v>
      </c>
      <c r="K230" s="265" t="s">
        <v>190</v>
      </c>
    </row>
    <row r="231" spans="5:11" x14ac:dyDescent="0.2">
      <c r="E231" s="265" t="s">
        <v>190</v>
      </c>
      <c r="H231" s="265" t="s">
        <v>190</v>
      </c>
      <c r="K231" s="265" t="s">
        <v>190</v>
      </c>
    </row>
    <row r="232" spans="5:11" x14ac:dyDescent="0.2">
      <c r="E232" s="265" t="s">
        <v>190</v>
      </c>
      <c r="H232" s="265" t="s">
        <v>190</v>
      </c>
      <c r="K232" s="265" t="s">
        <v>190</v>
      </c>
    </row>
    <row r="233" spans="5:11" x14ac:dyDescent="0.2">
      <c r="E233" s="265" t="s">
        <v>190</v>
      </c>
      <c r="H233" s="265" t="s">
        <v>190</v>
      </c>
      <c r="K233" s="265" t="s">
        <v>190</v>
      </c>
    </row>
    <row r="234" spans="5:11" x14ac:dyDescent="0.2">
      <c r="E234" s="265" t="s">
        <v>190</v>
      </c>
      <c r="H234" s="265" t="s">
        <v>190</v>
      </c>
      <c r="K234" s="265" t="s">
        <v>190</v>
      </c>
    </row>
    <row r="235" spans="5:11" x14ac:dyDescent="0.2">
      <c r="E235" s="265" t="s">
        <v>190</v>
      </c>
      <c r="H235" s="265" t="s">
        <v>190</v>
      </c>
      <c r="K235" s="265" t="s">
        <v>190</v>
      </c>
    </row>
    <row r="236" spans="5:11" x14ac:dyDescent="0.2">
      <c r="E236" s="265" t="s">
        <v>190</v>
      </c>
      <c r="H236" s="265" t="s">
        <v>190</v>
      </c>
      <c r="K236" s="265" t="s">
        <v>190</v>
      </c>
    </row>
    <row r="237" spans="5:11" x14ac:dyDescent="0.2">
      <c r="E237" s="265" t="s">
        <v>190</v>
      </c>
      <c r="H237" s="265" t="s">
        <v>190</v>
      </c>
      <c r="K237" s="265" t="s">
        <v>190</v>
      </c>
    </row>
    <row r="238" spans="5:11" x14ac:dyDescent="0.2">
      <c r="E238" s="265" t="s">
        <v>190</v>
      </c>
      <c r="H238" s="265" t="s">
        <v>190</v>
      </c>
      <c r="K238" s="265" t="s">
        <v>190</v>
      </c>
    </row>
    <row r="239" spans="5:11" x14ac:dyDescent="0.2">
      <c r="E239" s="265" t="s">
        <v>190</v>
      </c>
      <c r="H239" s="265" t="s">
        <v>190</v>
      </c>
      <c r="K239" s="265" t="s">
        <v>190</v>
      </c>
    </row>
    <row r="240" spans="5:11" x14ac:dyDescent="0.2">
      <c r="E240" s="265" t="s">
        <v>190</v>
      </c>
      <c r="H240" s="265" t="s">
        <v>190</v>
      </c>
      <c r="K240" s="265" t="s">
        <v>190</v>
      </c>
    </row>
    <row r="241" spans="5:11" x14ac:dyDescent="0.2">
      <c r="E241" s="265" t="s">
        <v>190</v>
      </c>
      <c r="H241" s="265" t="s">
        <v>190</v>
      </c>
      <c r="K241" s="265" t="s">
        <v>190</v>
      </c>
    </row>
    <row r="242" spans="5:11" x14ac:dyDescent="0.2">
      <c r="E242" s="265" t="s">
        <v>190</v>
      </c>
      <c r="H242" s="265" t="s">
        <v>190</v>
      </c>
      <c r="K242" s="265" t="s">
        <v>190</v>
      </c>
    </row>
    <row r="243" spans="5:11" x14ac:dyDescent="0.2">
      <c r="E243" s="265" t="s">
        <v>190</v>
      </c>
      <c r="H243" s="265" t="s">
        <v>190</v>
      </c>
      <c r="K243" s="265" t="s">
        <v>190</v>
      </c>
    </row>
    <row r="244" spans="5:11" x14ac:dyDescent="0.2">
      <c r="E244" s="265" t="s">
        <v>190</v>
      </c>
      <c r="H244" s="265" t="s">
        <v>190</v>
      </c>
      <c r="K244" s="265" t="s">
        <v>190</v>
      </c>
    </row>
    <row r="245" spans="5:11" x14ac:dyDescent="0.2">
      <c r="E245" s="265" t="s">
        <v>190</v>
      </c>
      <c r="H245" s="265" t="s">
        <v>190</v>
      </c>
      <c r="K245" s="265" t="s">
        <v>190</v>
      </c>
    </row>
    <row r="246" spans="5:11" x14ac:dyDescent="0.2">
      <c r="E246" s="265" t="s">
        <v>190</v>
      </c>
      <c r="H246" s="265" t="s">
        <v>190</v>
      </c>
      <c r="K246" s="265" t="s">
        <v>190</v>
      </c>
    </row>
    <row r="247" spans="5:11" x14ac:dyDescent="0.2">
      <c r="E247" s="265" t="s">
        <v>190</v>
      </c>
      <c r="H247" s="265" t="s">
        <v>190</v>
      </c>
      <c r="K247" s="265" t="s">
        <v>190</v>
      </c>
    </row>
    <row r="248" spans="5:11" x14ac:dyDescent="0.2">
      <c r="E248" s="265" t="s">
        <v>190</v>
      </c>
      <c r="H248" s="265" t="s">
        <v>190</v>
      </c>
      <c r="K248" s="265" t="s">
        <v>190</v>
      </c>
    </row>
    <row r="249" spans="5:11" x14ac:dyDescent="0.2">
      <c r="E249" s="265" t="s">
        <v>190</v>
      </c>
      <c r="H249" s="265" t="s">
        <v>190</v>
      </c>
      <c r="K249" s="265" t="s">
        <v>190</v>
      </c>
    </row>
    <row r="250" spans="5:11" x14ac:dyDescent="0.2">
      <c r="E250" s="265" t="s">
        <v>190</v>
      </c>
      <c r="H250" s="265" t="s">
        <v>190</v>
      </c>
      <c r="K250" s="265" t="s">
        <v>190</v>
      </c>
    </row>
    <row r="251" spans="5:11" x14ac:dyDescent="0.2">
      <c r="E251" s="265" t="s">
        <v>190</v>
      </c>
      <c r="H251" s="265" t="s">
        <v>190</v>
      </c>
      <c r="K251" s="265" t="s">
        <v>190</v>
      </c>
    </row>
    <row r="252" spans="5:11" x14ac:dyDescent="0.2">
      <c r="E252" s="265" t="s">
        <v>190</v>
      </c>
      <c r="H252" s="265" t="s">
        <v>190</v>
      </c>
      <c r="K252" s="265" t="s">
        <v>190</v>
      </c>
    </row>
    <row r="253" spans="5:11" x14ac:dyDescent="0.2">
      <c r="E253" s="265" t="s">
        <v>190</v>
      </c>
      <c r="H253" s="265" t="s">
        <v>190</v>
      </c>
      <c r="K253" s="265" t="s">
        <v>190</v>
      </c>
    </row>
    <row r="254" spans="5:11" x14ac:dyDescent="0.2">
      <c r="E254" s="265" t="s">
        <v>190</v>
      </c>
      <c r="H254" s="265" t="s">
        <v>190</v>
      </c>
      <c r="K254" s="265" t="s">
        <v>190</v>
      </c>
    </row>
    <row r="255" spans="5:11" x14ac:dyDescent="0.2">
      <c r="E255" s="265" t="s">
        <v>190</v>
      </c>
      <c r="H255" s="265" t="s">
        <v>190</v>
      </c>
      <c r="K255" s="265" t="s">
        <v>190</v>
      </c>
    </row>
    <row r="256" spans="5:11" x14ac:dyDescent="0.2">
      <c r="E256" s="265" t="s">
        <v>190</v>
      </c>
      <c r="H256" s="265" t="s">
        <v>190</v>
      </c>
      <c r="K256" s="265" t="s">
        <v>190</v>
      </c>
    </row>
    <row r="257" spans="5:11" x14ac:dyDescent="0.2">
      <c r="E257" s="265" t="s">
        <v>190</v>
      </c>
      <c r="H257" s="265" t="s">
        <v>190</v>
      </c>
      <c r="K257" s="265" t="s">
        <v>190</v>
      </c>
    </row>
    <row r="258" spans="5:11" x14ac:dyDescent="0.2">
      <c r="E258" s="265" t="s">
        <v>190</v>
      </c>
      <c r="H258" s="265" t="s">
        <v>190</v>
      </c>
      <c r="K258" s="265" t="s">
        <v>190</v>
      </c>
    </row>
    <row r="259" spans="5:11" x14ac:dyDescent="0.2">
      <c r="E259" s="265" t="s">
        <v>190</v>
      </c>
      <c r="H259" s="265" t="s">
        <v>190</v>
      </c>
      <c r="K259" s="265" t="s">
        <v>190</v>
      </c>
    </row>
    <row r="260" spans="5:11" x14ac:dyDescent="0.2">
      <c r="E260" s="265" t="s">
        <v>190</v>
      </c>
      <c r="H260" s="265" t="s">
        <v>190</v>
      </c>
      <c r="K260" s="265" t="s">
        <v>190</v>
      </c>
    </row>
    <row r="261" spans="5:11" x14ac:dyDescent="0.2">
      <c r="E261" s="265" t="s">
        <v>190</v>
      </c>
      <c r="H261" s="265" t="s">
        <v>190</v>
      </c>
      <c r="K261" s="265" t="s">
        <v>190</v>
      </c>
    </row>
    <row r="262" spans="5:11" x14ac:dyDescent="0.2">
      <c r="E262" s="265" t="s">
        <v>190</v>
      </c>
      <c r="H262" s="265" t="s">
        <v>190</v>
      </c>
      <c r="K262" s="265" t="s">
        <v>190</v>
      </c>
    </row>
    <row r="263" spans="5:11" x14ac:dyDescent="0.2">
      <c r="E263" s="265" t="s">
        <v>190</v>
      </c>
      <c r="H263" s="265" t="s">
        <v>190</v>
      </c>
      <c r="K263" s="265" t="s">
        <v>190</v>
      </c>
    </row>
    <row r="264" spans="5:11" x14ac:dyDescent="0.2">
      <c r="E264" s="265" t="s">
        <v>190</v>
      </c>
      <c r="H264" s="265" t="s">
        <v>190</v>
      </c>
      <c r="K264" s="265" t="s">
        <v>190</v>
      </c>
    </row>
    <row r="265" spans="5:11" x14ac:dyDescent="0.2">
      <c r="E265" s="265" t="s">
        <v>190</v>
      </c>
      <c r="H265" s="265" t="s">
        <v>190</v>
      </c>
      <c r="K265" s="265" t="s">
        <v>190</v>
      </c>
    </row>
    <row r="266" spans="5:11" x14ac:dyDescent="0.2">
      <c r="E266" s="265" t="s">
        <v>190</v>
      </c>
      <c r="H266" s="265" t="s">
        <v>190</v>
      </c>
      <c r="K266" s="265" t="s">
        <v>190</v>
      </c>
    </row>
    <row r="267" spans="5:11" x14ac:dyDescent="0.2">
      <c r="E267" s="265" t="s">
        <v>190</v>
      </c>
      <c r="H267" s="265" t="s">
        <v>190</v>
      </c>
      <c r="K267" s="265" t="s">
        <v>190</v>
      </c>
    </row>
    <row r="268" spans="5:11" x14ac:dyDescent="0.2">
      <c r="E268" s="265" t="s">
        <v>190</v>
      </c>
      <c r="H268" s="265" t="s">
        <v>190</v>
      </c>
      <c r="K268" s="265" t="s">
        <v>190</v>
      </c>
    </row>
    <row r="269" spans="5:11" x14ac:dyDescent="0.2">
      <c r="E269" s="265" t="s">
        <v>190</v>
      </c>
      <c r="H269" s="265" t="s">
        <v>190</v>
      </c>
      <c r="K269" s="265" t="s">
        <v>190</v>
      </c>
    </row>
    <row r="270" spans="5:11" x14ac:dyDescent="0.2">
      <c r="E270" s="265" t="s">
        <v>190</v>
      </c>
      <c r="H270" s="265" t="s">
        <v>190</v>
      </c>
      <c r="K270" s="265" t="s">
        <v>190</v>
      </c>
    </row>
    <row r="271" spans="5:11" x14ac:dyDescent="0.2">
      <c r="E271" s="265" t="s">
        <v>190</v>
      </c>
      <c r="H271" s="265" t="s">
        <v>190</v>
      </c>
      <c r="K271" s="265" t="s">
        <v>190</v>
      </c>
    </row>
    <row r="272" spans="5:11" x14ac:dyDescent="0.2">
      <c r="E272" s="265" t="s">
        <v>190</v>
      </c>
      <c r="H272" s="265" t="s">
        <v>190</v>
      </c>
      <c r="K272" s="265" t="s">
        <v>190</v>
      </c>
    </row>
    <row r="273" spans="5:11" x14ac:dyDescent="0.2">
      <c r="E273" s="265" t="s">
        <v>190</v>
      </c>
      <c r="H273" s="265" t="s">
        <v>190</v>
      </c>
      <c r="K273" s="265" t="s">
        <v>190</v>
      </c>
    </row>
    <row r="274" spans="5:11" x14ac:dyDescent="0.2">
      <c r="E274" s="265" t="s">
        <v>190</v>
      </c>
      <c r="H274" s="265" t="s">
        <v>190</v>
      </c>
      <c r="K274" s="265" t="s">
        <v>190</v>
      </c>
    </row>
    <row r="275" spans="5:11" x14ac:dyDescent="0.2">
      <c r="E275" s="265" t="s">
        <v>190</v>
      </c>
      <c r="H275" s="265" t="s">
        <v>190</v>
      </c>
      <c r="K275" s="265" t="s">
        <v>190</v>
      </c>
    </row>
    <row r="276" spans="5:11" x14ac:dyDescent="0.2">
      <c r="E276" s="265" t="s">
        <v>190</v>
      </c>
      <c r="H276" s="265" t="s">
        <v>190</v>
      </c>
      <c r="K276" s="265" t="s">
        <v>190</v>
      </c>
    </row>
    <row r="277" spans="5:11" x14ac:dyDescent="0.2">
      <c r="E277" s="265" t="s">
        <v>190</v>
      </c>
      <c r="H277" s="265" t="s">
        <v>190</v>
      </c>
      <c r="K277" s="265" t="s">
        <v>190</v>
      </c>
    </row>
    <row r="278" spans="5:11" x14ac:dyDescent="0.2">
      <c r="E278" s="265" t="s">
        <v>190</v>
      </c>
      <c r="H278" s="265" t="s">
        <v>190</v>
      </c>
      <c r="K278" s="265" t="s">
        <v>190</v>
      </c>
    </row>
    <row r="279" spans="5:11" x14ac:dyDescent="0.2">
      <c r="E279" s="265" t="s">
        <v>190</v>
      </c>
      <c r="H279" s="265" t="s">
        <v>190</v>
      </c>
      <c r="K279" s="265" t="s">
        <v>190</v>
      </c>
    </row>
    <row r="280" spans="5:11" x14ac:dyDescent="0.2">
      <c r="E280" s="265" t="s">
        <v>190</v>
      </c>
      <c r="H280" s="265" t="s">
        <v>190</v>
      </c>
      <c r="K280" s="265" t="s">
        <v>190</v>
      </c>
    </row>
    <row r="281" spans="5:11" x14ac:dyDescent="0.2">
      <c r="E281" s="265" t="s">
        <v>190</v>
      </c>
      <c r="H281" s="265" t="s">
        <v>190</v>
      </c>
      <c r="K281" s="265" t="s">
        <v>190</v>
      </c>
    </row>
    <row r="282" spans="5:11" x14ac:dyDescent="0.2">
      <c r="E282" s="265" t="s">
        <v>190</v>
      </c>
      <c r="H282" s="265" t="s">
        <v>190</v>
      </c>
      <c r="K282" s="265" t="s">
        <v>190</v>
      </c>
    </row>
    <row r="283" spans="5:11" x14ac:dyDescent="0.2">
      <c r="E283" s="265" t="s">
        <v>190</v>
      </c>
      <c r="H283" s="265" t="s">
        <v>190</v>
      </c>
      <c r="K283" s="265" t="s">
        <v>190</v>
      </c>
    </row>
    <row r="284" spans="5:11" x14ac:dyDescent="0.2">
      <c r="E284" s="265" t="s">
        <v>190</v>
      </c>
      <c r="H284" s="265" t="s">
        <v>190</v>
      </c>
      <c r="K284" s="265" t="s">
        <v>190</v>
      </c>
    </row>
    <row r="285" spans="5:11" x14ac:dyDescent="0.2">
      <c r="E285" s="265" t="s">
        <v>190</v>
      </c>
      <c r="H285" s="265" t="s">
        <v>190</v>
      </c>
      <c r="K285" s="265" t="s">
        <v>190</v>
      </c>
    </row>
    <row r="286" spans="5:11" x14ac:dyDescent="0.2">
      <c r="E286" s="265" t="s">
        <v>190</v>
      </c>
      <c r="H286" s="265" t="s">
        <v>190</v>
      </c>
      <c r="K286" s="265" t="s">
        <v>190</v>
      </c>
    </row>
    <row r="287" spans="5:11" x14ac:dyDescent="0.2">
      <c r="E287" s="265" t="s">
        <v>190</v>
      </c>
      <c r="H287" s="265" t="s">
        <v>190</v>
      </c>
      <c r="K287" s="265" t="s">
        <v>190</v>
      </c>
    </row>
    <row r="288" spans="5:11" x14ac:dyDescent="0.2">
      <c r="E288" s="265" t="s">
        <v>190</v>
      </c>
      <c r="H288" s="265" t="s">
        <v>190</v>
      </c>
      <c r="K288" s="265" t="s">
        <v>190</v>
      </c>
    </row>
    <row r="289" spans="5:11" x14ac:dyDescent="0.2">
      <c r="E289" s="265" t="s">
        <v>190</v>
      </c>
      <c r="H289" s="265" t="s">
        <v>190</v>
      </c>
      <c r="K289" s="265" t="s">
        <v>190</v>
      </c>
    </row>
    <row r="290" spans="5:11" x14ac:dyDescent="0.2">
      <c r="E290" s="265" t="s">
        <v>190</v>
      </c>
      <c r="H290" s="265" t="s">
        <v>190</v>
      </c>
      <c r="K290" s="265" t="s">
        <v>190</v>
      </c>
    </row>
    <row r="291" spans="5:11" x14ac:dyDescent="0.2">
      <c r="E291" s="265" t="s">
        <v>190</v>
      </c>
      <c r="H291" s="265" t="s">
        <v>190</v>
      </c>
      <c r="K291" s="265" t="s">
        <v>190</v>
      </c>
    </row>
    <row r="292" spans="5:11" x14ac:dyDescent="0.2">
      <c r="E292" s="265" t="s">
        <v>190</v>
      </c>
      <c r="H292" s="265" t="s">
        <v>190</v>
      </c>
      <c r="K292" s="265" t="s">
        <v>190</v>
      </c>
    </row>
    <row r="293" spans="5:11" x14ac:dyDescent="0.2">
      <c r="E293" s="265" t="s">
        <v>190</v>
      </c>
      <c r="H293" s="265" t="s">
        <v>190</v>
      </c>
      <c r="K293" s="265" t="s">
        <v>190</v>
      </c>
    </row>
    <row r="294" spans="5:11" x14ac:dyDescent="0.2">
      <c r="E294" s="265" t="s">
        <v>190</v>
      </c>
      <c r="H294" s="265" t="s">
        <v>190</v>
      </c>
      <c r="K294" s="265" t="s">
        <v>190</v>
      </c>
    </row>
    <row r="295" spans="5:11" x14ac:dyDescent="0.2">
      <c r="E295" s="265" t="s">
        <v>190</v>
      </c>
      <c r="H295" s="265" t="s">
        <v>190</v>
      </c>
      <c r="K295" s="265" t="s">
        <v>190</v>
      </c>
    </row>
    <row r="296" spans="5:11" x14ac:dyDescent="0.2">
      <c r="E296" s="265" t="s">
        <v>190</v>
      </c>
      <c r="H296" s="265" t="s">
        <v>190</v>
      </c>
      <c r="K296" s="265" t="s">
        <v>190</v>
      </c>
    </row>
    <row r="297" spans="5:11" x14ac:dyDescent="0.2">
      <c r="E297" s="265" t="s">
        <v>190</v>
      </c>
      <c r="H297" s="265" t="s">
        <v>190</v>
      </c>
      <c r="K297" s="265" t="s">
        <v>190</v>
      </c>
    </row>
    <row r="298" spans="5:11" x14ac:dyDescent="0.2">
      <c r="E298" s="265" t="s">
        <v>190</v>
      </c>
      <c r="H298" s="265" t="s">
        <v>190</v>
      </c>
      <c r="K298" s="265" t="s">
        <v>190</v>
      </c>
    </row>
    <row r="299" spans="5:11" x14ac:dyDescent="0.2">
      <c r="E299" s="265" t="s">
        <v>190</v>
      </c>
      <c r="H299" s="265" t="s">
        <v>190</v>
      </c>
      <c r="K299" s="265" t="s">
        <v>190</v>
      </c>
    </row>
    <row r="300" spans="5:11" x14ac:dyDescent="0.2">
      <c r="E300" s="265" t="s">
        <v>190</v>
      </c>
      <c r="H300" s="265" t="s">
        <v>190</v>
      </c>
      <c r="K300" s="265" t="s">
        <v>190</v>
      </c>
    </row>
    <row r="301" spans="5:11" x14ac:dyDescent="0.2">
      <c r="E301" s="265" t="s">
        <v>190</v>
      </c>
      <c r="H301" s="265" t="s">
        <v>190</v>
      </c>
      <c r="K301" s="265" t="s">
        <v>190</v>
      </c>
    </row>
    <row r="302" spans="5:11" x14ac:dyDescent="0.2">
      <c r="E302" s="265" t="s">
        <v>190</v>
      </c>
      <c r="H302" s="265" t="s">
        <v>190</v>
      </c>
      <c r="K302" s="265" t="s">
        <v>190</v>
      </c>
    </row>
    <row r="303" spans="5:11" x14ac:dyDescent="0.2">
      <c r="E303" s="265" t="s">
        <v>190</v>
      </c>
      <c r="H303" s="265" t="s">
        <v>190</v>
      </c>
      <c r="K303" s="265" t="s">
        <v>190</v>
      </c>
    </row>
    <row r="304" spans="5:11" x14ac:dyDescent="0.2">
      <c r="E304" s="265" t="s">
        <v>190</v>
      </c>
      <c r="H304" s="265" t="s">
        <v>190</v>
      </c>
      <c r="K304" s="265" t="s">
        <v>190</v>
      </c>
    </row>
  </sheetData>
  <conditionalFormatting sqref="K12:K304 H12:H304 E12:E304">
    <cfRule type="expression" dxfId="1" priority="1">
      <formula>AND(E12&gt;=E$1,E12&lt;=E$2)</formula>
    </cfRule>
    <cfRule type="expression" dxfId="0" priority="2">
      <formula>AND(LEN(E12)=0,OR(C12&gt;0,D12&gt;0))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44"/>
  <sheetViews>
    <sheetView topLeftCell="BL19" workbookViewId="0">
      <selection activeCell="BL29" sqref="A29:XFD44"/>
    </sheetView>
  </sheetViews>
  <sheetFormatPr defaultRowHeight="12.75" x14ac:dyDescent="0.2"/>
  <cols>
    <col min="1" max="1" width="34.625" style="286" customWidth="1"/>
    <col min="2" max="2" width="11.625" style="291" customWidth="1"/>
    <col min="3" max="70" width="6.875" style="286" customWidth="1"/>
    <col min="71" max="71" width="8.875" style="286" customWidth="1"/>
    <col min="72" max="82" width="6.875" style="286" customWidth="1"/>
    <col min="83" max="256" width="8.75" style="286"/>
    <col min="257" max="257" width="34.625" style="286" customWidth="1"/>
    <col min="258" max="258" width="11.625" style="286" customWidth="1"/>
    <col min="259" max="326" width="6.875" style="286" customWidth="1"/>
    <col min="327" max="327" width="8.875" style="286" customWidth="1"/>
    <col min="328" max="338" width="6.875" style="286" customWidth="1"/>
    <col min="339" max="512" width="8.75" style="286"/>
    <col min="513" max="513" width="34.625" style="286" customWidth="1"/>
    <col min="514" max="514" width="11.625" style="286" customWidth="1"/>
    <col min="515" max="582" width="6.875" style="286" customWidth="1"/>
    <col min="583" max="583" width="8.875" style="286" customWidth="1"/>
    <col min="584" max="594" width="6.875" style="286" customWidth="1"/>
    <col min="595" max="768" width="8.75" style="286"/>
    <col min="769" max="769" width="34.625" style="286" customWidth="1"/>
    <col min="770" max="770" width="11.625" style="286" customWidth="1"/>
    <col min="771" max="838" width="6.875" style="286" customWidth="1"/>
    <col min="839" max="839" width="8.875" style="286" customWidth="1"/>
    <col min="840" max="850" width="6.875" style="286" customWidth="1"/>
    <col min="851" max="1024" width="8.75" style="286"/>
    <col min="1025" max="1025" width="34.625" style="286" customWidth="1"/>
    <col min="1026" max="1026" width="11.625" style="286" customWidth="1"/>
    <col min="1027" max="1094" width="6.875" style="286" customWidth="1"/>
    <col min="1095" max="1095" width="8.875" style="286" customWidth="1"/>
    <col min="1096" max="1106" width="6.875" style="286" customWidth="1"/>
    <col min="1107" max="1280" width="8.75" style="286"/>
    <col min="1281" max="1281" width="34.625" style="286" customWidth="1"/>
    <col min="1282" max="1282" width="11.625" style="286" customWidth="1"/>
    <col min="1283" max="1350" width="6.875" style="286" customWidth="1"/>
    <col min="1351" max="1351" width="8.875" style="286" customWidth="1"/>
    <col min="1352" max="1362" width="6.875" style="286" customWidth="1"/>
    <col min="1363" max="1536" width="8.75" style="286"/>
    <col min="1537" max="1537" width="34.625" style="286" customWidth="1"/>
    <col min="1538" max="1538" width="11.625" style="286" customWidth="1"/>
    <col min="1539" max="1606" width="6.875" style="286" customWidth="1"/>
    <col min="1607" max="1607" width="8.875" style="286" customWidth="1"/>
    <col min="1608" max="1618" width="6.875" style="286" customWidth="1"/>
    <col min="1619" max="1792" width="8.75" style="286"/>
    <col min="1793" max="1793" width="34.625" style="286" customWidth="1"/>
    <col min="1794" max="1794" width="11.625" style="286" customWidth="1"/>
    <col min="1795" max="1862" width="6.875" style="286" customWidth="1"/>
    <col min="1863" max="1863" width="8.875" style="286" customWidth="1"/>
    <col min="1864" max="1874" width="6.875" style="286" customWidth="1"/>
    <col min="1875" max="2048" width="8.75" style="286"/>
    <col min="2049" max="2049" width="34.625" style="286" customWidth="1"/>
    <col min="2050" max="2050" width="11.625" style="286" customWidth="1"/>
    <col min="2051" max="2118" width="6.875" style="286" customWidth="1"/>
    <col min="2119" max="2119" width="8.875" style="286" customWidth="1"/>
    <col min="2120" max="2130" width="6.875" style="286" customWidth="1"/>
    <col min="2131" max="2304" width="8.75" style="286"/>
    <col min="2305" max="2305" width="34.625" style="286" customWidth="1"/>
    <col min="2306" max="2306" width="11.625" style="286" customWidth="1"/>
    <col min="2307" max="2374" width="6.875" style="286" customWidth="1"/>
    <col min="2375" max="2375" width="8.875" style="286" customWidth="1"/>
    <col min="2376" max="2386" width="6.875" style="286" customWidth="1"/>
    <col min="2387" max="2560" width="8.75" style="286"/>
    <col min="2561" max="2561" width="34.625" style="286" customWidth="1"/>
    <col min="2562" max="2562" width="11.625" style="286" customWidth="1"/>
    <col min="2563" max="2630" width="6.875" style="286" customWidth="1"/>
    <col min="2631" max="2631" width="8.875" style="286" customWidth="1"/>
    <col min="2632" max="2642" width="6.875" style="286" customWidth="1"/>
    <col min="2643" max="2816" width="8.75" style="286"/>
    <col min="2817" max="2817" width="34.625" style="286" customWidth="1"/>
    <col min="2818" max="2818" width="11.625" style="286" customWidth="1"/>
    <col min="2819" max="2886" width="6.875" style="286" customWidth="1"/>
    <col min="2887" max="2887" width="8.875" style="286" customWidth="1"/>
    <col min="2888" max="2898" width="6.875" style="286" customWidth="1"/>
    <col min="2899" max="3072" width="8.75" style="286"/>
    <col min="3073" max="3073" width="34.625" style="286" customWidth="1"/>
    <col min="3074" max="3074" width="11.625" style="286" customWidth="1"/>
    <col min="3075" max="3142" width="6.875" style="286" customWidth="1"/>
    <col min="3143" max="3143" width="8.875" style="286" customWidth="1"/>
    <col min="3144" max="3154" width="6.875" style="286" customWidth="1"/>
    <col min="3155" max="3328" width="8.75" style="286"/>
    <col min="3329" max="3329" width="34.625" style="286" customWidth="1"/>
    <col min="3330" max="3330" width="11.625" style="286" customWidth="1"/>
    <col min="3331" max="3398" width="6.875" style="286" customWidth="1"/>
    <col min="3399" max="3399" width="8.875" style="286" customWidth="1"/>
    <col min="3400" max="3410" width="6.875" style="286" customWidth="1"/>
    <col min="3411" max="3584" width="8.75" style="286"/>
    <col min="3585" max="3585" width="34.625" style="286" customWidth="1"/>
    <col min="3586" max="3586" width="11.625" style="286" customWidth="1"/>
    <col min="3587" max="3654" width="6.875" style="286" customWidth="1"/>
    <col min="3655" max="3655" width="8.875" style="286" customWidth="1"/>
    <col min="3656" max="3666" width="6.875" style="286" customWidth="1"/>
    <col min="3667" max="3840" width="8.75" style="286"/>
    <col min="3841" max="3841" width="34.625" style="286" customWidth="1"/>
    <col min="3842" max="3842" width="11.625" style="286" customWidth="1"/>
    <col min="3843" max="3910" width="6.875" style="286" customWidth="1"/>
    <col min="3911" max="3911" width="8.875" style="286" customWidth="1"/>
    <col min="3912" max="3922" width="6.875" style="286" customWidth="1"/>
    <col min="3923" max="4096" width="8.75" style="286"/>
    <col min="4097" max="4097" width="34.625" style="286" customWidth="1"/>
    <col min="4098" max="4098" width="11.625" style="286" customWidth="1"/>
    <col min="4099" max="4166" width="6.875" style="286" customWidth="1"/>
    <col min="4167" max="4167" width="8.875" style="286" customWidth="1"/>
    <col min="4168" max="4178" width="6.875" style="286" customWidth="1"/>
    <col min="4179" max="4352" width="8.75" style="286"/>
    <col min="4353" max="4353" width="34.625" style="286" customWidth="1"/>
    <col min="4354" max="4354" width="11.625" style="286" customWidth="1"/>
    <col min="4355" max="4422" width="6.875" style="286" customWidth="1"/>
    <col min="4423" max="4423" width="8.875" style="286" customWidth="1"/>
    <col min="4424" max="4434" width="6.875" style="286" customWidth="1"/>
    <col min="4435" max="4608" width="8.75" style="286"/>
    <col min="4609" max="4609" width="34.625" style="286" customWidth="1"/>
    <col min="4610" max="4610" width="11.625" style="286" customWidth="1"/>
    <col min="4611" max="4678" width="6.875" style="286" customWidth="1"/>
    <col min="4679" max="4679" width="8.875" style="286" customWidth="1"/>
    <col min="4680" max="4690" width="6.875" style="286" customWidth="1"/>
    <col min="4691" max="4864" width="8.75" style="286"/>
    <col min="4865" max="4865" width="34.625" style="286" customWidth="1"/>
    <col min="4866" max="4866" width="11.625" style="286" customWidth="1"/>
    <col min="4867" max="4934" width="6.875" style="286" customWidth="1"/>
    <col min="4935" max="4935" width="8.875" style="286" customWidth="1"/>
    <col min="4936" max="4946" width="6.875" style="286" customWidth="1"/>
    <col min="4947" max="5120" width="8.75" style="286"/>
    <col min="5121" max="5121" width="34.625" style="286" customWidth="1"/>
    <col min="5122" max="5122" width="11.625" style="286" customWidth="1"/>
    <col min="5123" max="5190" width="6.875" style="286" customWidth="1"/>
    <col min="5191" max="5191" width="8.875" style="286" customWidth="1"/>
    <col min="5192" max="5202" width="6.875" style="286" customWidth="1"/>
    <col min="5203" max="5376" width="8.75" style="286"/>
    <col min="5377" max="5377" width="34.625" style="286" customWidth="1"/>
    <col min="5378" max="5378" width="11.625" style="286" customWidth="1"/>
    <col min="5379" max="5446" width="6.875" style="286" customWidth="1"/>
    <col min="5447" max="5447" width="8.875" style="286" customWidth="1"/>
    <col min="5448" max="5458" width="6.875" style="286" customWidth="1"/>
    <col min="5459" max="5632" width="8.75" style="286"/>
    <col min="5633" max="5633" width="34.625" style="286" customWidth="1"/>
    <col min="5634" max="5634" width="11.625" style="286" customWidth="1"/>
    <col min="5635" max="5702" width="6.875" style="286" customWidth="1"/>
    <col min="5703" max="5703" width="8.875" style="286" customWidth="1"/>
    <col min="5704" max="5714" width="6.875" style="286" customWidth="1"/>
    <col min="5715" max="5888" width="8.75" style="286"/>
    <col min="5889" max="5889" width="34.625" style="286" customWidth="1"/>
    <col min="5890" max="5890" width="11.625" style="286" customWidth="1"/>
    <col min="5891" max="5958" width="6.875" style="286" customWidth="1"/>
    <col min="5959" max="5959" width="8.875" style="286" customWidth="1"/>
    <col min="5960" max="5970" width="6.875" style="286" customWidth="1"/>
    <col min="5971" max="6144" width="8.75" style="286"/>
    <col min="6145" max="6145" width="34.625" style="286" customWidth="1"/>
    <col min="6146" max="6146" width="11.625" style="286" customWidth="1"/>
    <col min="6147" max="6214" width="6.875" style="286" customWidth="1"/>
    <col min="6215" max="6215" width="8.875" style="286" customWidth="1"/>
    <col min="6216" max="6226" width="6.875" style="286" customWidth="1"/>
    <col min="6227" max="6400" width="8.75" style="286"/>
    <col min="6401" max="6401" width="34.625" style="286" customWidth="1"/>
    <col min="6402" max="6402" width="11.625" style="286" customWidth="1"/>
    <col min="6403" max="6470" width="6.875" style="286" customWidth="1"/>
    <col min="6471" max="6471" width="8.875" style="286" customWidth="1"/>
    <col min="6472" max="6482" width="6.875" style="286" customWidth="1"/>
    <col min="6483" max="6656" width="8.75" style="286"/>
    <col min="6657" max="6657" width="34.625" style="286" customWidth="1"/>
    <col min="6658" max="6658" width="11.625" style="286" customWidth="1"/>
    <col min="6659" max="6726" width="6.875" style="286" customWidth="1"/>
    <col min="6727" max="6727" width="8.875" style="286" customWidth="1"/>
    <col min="6728" max="6738" width="6.875" style="286" customWidth="1"/>
    <col min="6739" max="6912" width="8.75" style="286"/>
    <col min="6913" max="6913" width="34.625" style="286" customWidth="1"/>
    <col min="6914" max="6914" width="11.625" style="286" customWidth="1"/>
    <col min="6915" max="6982" width="6.875" style="286" customWidth="1"/>
    <col min="6983" max="6983" width="8.875" style="286" customWidth="1"/>
    <col min="6984" max="6994" width="6.875" style="286" customWidth="1"/>
    <col min="6995" max="7168" width="8.75" style="286"/>
    <col min="7169" max="7169" width="34.625" style="286" customWidth="1"/>
    <col min="7170" max="7170" width="11.625" style="286" customWidth="1"/>
    <col min="7171" max="7238" width="6.875" style="286" customWidth="1"/>
    <col min="7239" max="7239" width="8.875" style="286" customWidth="1"/>
    <col min="7240" max="7250" width="6.875" style="286" customWidth="1"/>
    <col min="7251" max="7424" width="8.75" style="286"/>
    <col min="7425" max="7425" width="34.625" style="286" customWidth="1"/>
    <col min="7426" max="7426" width="11.625" style="286" customWidth="1"/>
    <col min="7427" max="7494" width="6.875" style="286" customWidth="1"/>
    <col min="7495" max="7495" width="8.875" style="286" customWidth="1"/>
    <col min="7496" max="7506" width="6.875" style="286" customWidth="1"/>
    <col min="7507" max="7680" width="8.75" style="286"/>
    <col min="7681" max="7681" width="34.625" style="286" customWidth="1"/>
    <col min="7682" max="7682" width="11.625" style="286" customWidth="1"/>
    <col min="7683" max="7750" width="6.875" style="286" customWidth="1"/>
    <col min="7751" max="7751" width="8.875" style="286" customWidth="1"/>
    <col min="7752" max="7762" width="6.875" style="286" customWidth="1"/>
    <col min="7763" max="7936" width="8.75" style="286"/>
    <col min="7937" max="7937" width="34.625" style="286" customWidth="1"/>
    <col min="7938" max="7938" width="11.625" style="286" customWidth="1"/>
    <col min="7939" max="8006" width="6.875" style="286" customWidth="1"/>
    <col min="8007" max="8007" width="8.875" style="286" customWidth="1"/>
    <col min="8008" max="8018" width="6.875" style="286" customWidth="1"/>
    <col min="8019" max="8192" width="8.75" style="286"/>
    <col min="8193" max="8193" width="34.625" style="286" customWidth="1"/>
    <col min="8194" max="8194" width="11.625" style="286" customWidth="1"/>
    <col min="8195" max="8262" width="6.875" style="286" customWidth="1"/>
    <col min="8263" max="8263" width="8.875" style="286" customWidth="1"/>
    <col min="8264" max="8274" width="6.875" style="286" customWidth="1"/>
    <col min="8275" max="8448" width="8.75" style="286"/>
    <col min="8449" max="8449" width="34.625" style="286" customWidth="1"/>
    <col min="8450" max="8450" width="11.625" style="286" customWidth="1"/>
    <col min="8451" max="8518" width="6.875" style="286" customWidth="1"/>
    <col min="8519" max="8519" width="8.875" style="286" customWidth="1"/>
    <col min="8520" max="8530" width="6.875" style="286" customWidth="1"/>
    <col min="8531" max="8704" width="8.75" style="286"/>
    <col min="8705" max="8705" width="34.625" style="286" customWidth="1"/>
    <col min="8706" max="8706" width="11.625" style="286" customWidth="1"/>
    <col min="8707" max="8774" width="6.875" style="286" customWidth="1"/>
    <col min="8775" max="8775" width="8.875" style="286" customWidth="1"/>
    <col min="8776" max="8786" width="6.875" style="286" customWidth="1"/>
    <col min="8787" max="8960" width="8.75" style="286"/>
    <col min="8961" max="8961" width="34.625" style="286" customWidth="1"/>
    <col min="8962" max="8962" width="11.625" style="286" customWidth="1"/>
    <col min="8963" max="9030" width="6.875" style="286" customWidth="1"/>
    <col min="9031" max="9031" width="8.875" style="286" customWidth="1"/>
    <col min="9032" max="9042" width="6.875" style="286" customWidth="1"/>
    <col min="9043" max="9216" width="8.75" style="286"/>
    <col min="9217" max="9217" width="34.625" style="286" customWidth="1"/>
    <col min="9218" max="9218" width="11.625" style="286" customWidth="1"/>
    <col min="9219" max="9286" width="6.875" style="286" customWidth="1"/>
    <col min="9287" max="9287" width="8.875" style="286" customWidth="1"/>
    <col min="9288" max="9298" width="6.875" style="286" customWidth="1"/>
    <col min="9299" max="9472" width="8.75" style="286"/>
    <col min="9473" max="9473" width="34.625" style="286" customWidth="1"/>
    <col min="9474" max="9474" width="11.625" style="286" customWidth="1"/>
    <col min="9475" max="9542" width="6.875" style="286" customWidth="1"/>
    <col min="9543" max="9543" width="8.875" style="286" customWidth="1"/>
    <col min="9544" max="9554" width="6.875" style="286" customWidth="1"/>
    <col min="9555" max="9728" width="8.75" style="286"/>
    <col min="9729" max="9729" width="34.625" style="286" customWidth="1"/>
    <col min="9730" max="9730" width="11.625" style="286" customWidth="1"/>
    <col min="9731" max="9798" width="6.875" style="286" customWidth="1"/>
    <col min="9799" max="9799" width="8.875" style="286" customWidth="1"/>
    <col min="9800" max="9810" width="6.875" style="286" customWidth="1"/>
    <col min="9811" max="9984" width="8.75" style="286"/>
    <col min="9985" max="9985" width="34.625" style="286" customWidth="1"/>
    <col min="9986" max="9986" width="11.625" style="286" customWidth="1"/>
    <col min="9987" max="10054" width="6.875" style="286" customWidth="1"/>
    <col min="10055" max="10055" width="8.875" style="286" customWidth="1"/>
    <col min="10056" max="10066" width="6.875" style="286" customWidth="1"/>
    <col min="10067" max="10240" width="8.75" style="286"/>
    <col min="10241" max="10241" width="34.625" style="286" customWidth="1"/>
    <col min="10242" max="10242" width="11.625" style="286" customWidth="1"/>
    <col min="10243" max="10310" width="6.875" style="286" customWidth="1"/>
    <col min="10311" max="10311" width="8.875" style="286" customWidth="1"/>
    <col min="10312" max="10322" width="6.875" style="286" customWidth="1"/>
    <col min="10323" max="10496" width="8.75" style="286"/>
    <col min="10497" max="10497" width="34.625" style="286" customWidth="1"/>
    <col min="10498" max="10498" width="11.625" style="286" customWidth="1"/>
    <col min="10499" max="10566" width="6.875" style="286" customWidth="1"/>
    <col min="10567" max="10567" width="8.875" style="286" customWidth="1"/>
    <col min="10568" max="10578" width="6.875" style="286" customWidth="1"/>
    <col min="10579" max="10752" width="8.75" style="286"/>
    <col min="10753" max="10753" width="34.625" style="286" customWidth="1"/>
    <col min="10754" max="10754" width="11.625" style="286" customWidth="1"/>
    <col min="10755" max="10822" width="6.875" style="286" customWidth="1"/>
    <col min="10823" max="10823" width="8.875" style="286" customWidth="1"/>
    <col min="10824" max="10834" width="6.875" style="286" customWidth="1"/>
    <col min="10835" max="11008" width="8.75" style="286"/>
    <col min="11009" max="11009" width="34.625" style="286" customWidth="1"/>
    <col min="11010" max="11010" width="11.625" style="286" customWidth="1"/>
    <col min="11011" max="11078" width="6.875" style="286" customWidth="1"/>
    <col min="11079" max="11079" width="8.875" style="286" customWidth="1"/>
    <col min="11080" max="11090" width="6.875" style="286" customWidth="1"/>
    <col min="11091" max="11264" width="8.75" style="286"/>
    <col min="11265" max="11265" width="34.625" style="286" customWidth="1"/>
    <col min="11266" max="11266" width="11.625" style="286" customWidth="1"/>
    <col min="11267" max="11334" width="6.875" style="286" customWidth="1"/>
    <col min="11335" max="11335" width="8.875" style="286" customWidth="1"/>
    <col min="11336" max="11346" width="6.875" style="286" customWidth="1"/>
    <col min="11347" max="11520" width="8.75" style="286"/>
    <col min="11521" max="11521" width="34.625" style="286" customWidth="1"/>
    <col min="11522" max="11522" width="11.625" style="286" customWidth="1"/>
    <col min="11523" max="11590" width="6.875" style="286" customWidth="1"/>
    <col min="11591" max="11591" width="8.875" style="286" customWidth="1"/>
    <col min="11592" max="11602" width="6.875" style="286" customWidth="1"/>
    <col min="11603" max="11776" width="8.75" style="286"/>
    <col min="11777" max="11777" width="34.625" style="286" customWidth="1"/>
    <col min="11778" max="11778" width="11.625" style="286" customWidth="1"/>
    <col min="11779" max="11846" width="6.875" style="286" customWidth="1"/>
    <col min="11847" max="11847" width="8.875" style="286" customWidth="1"/>
    <col min="11848" max="11858" width="6.875" style="286" customWidth="1"/>
    <col min="11859" max="12032" width="8.75" style="286"/>
    <col min="12033" max="12033" width="34.625" style="286" customWidth="1"/>
    <col min="12034" max="12034" width="11.625" style="286" customWidth="1"/>
    <col min="12035" max="12102" width="6.875" style="286" customWidth="1"/>
    <col min="12103" max="12103" width="8.875" style="286" customWidth="1"/>
    <col min="12104" max="12114" width="6.875" style="286" customWidth="1"/>
    <col min="12115" max="12288" width="8.75" style="286"/>
    <col min="12289" max="12289" width="34.625" style="286" customWidth="1"/>
    <col min="12290" max="12290" width="11.625" style="286" customWidth="1"/>
    <col min="12291" max="12358" width="6.875" style="286" customWidth="1"/>
    <col min="12359" max="12359" width="8.875" style="286" customWidth="1"/>
    <col min="12360" max="12370" width="6.875" style="286" customWidth="1"/>
    <col min="12371" max="12544" width="8.75" style="286"/>
    <col min="12545" max="12545" width="34.625" style="286" customWidth="1"/>
    <col min="12546" max="12546" width="11.625" style="286" customWidth="1"/>
    <col min="12547" max="12614" width="6.875" style="286" customWidth="1"/>
    <col min="12615" max="12615" width="8.875" style="286" customWidth="1"/>
    <col min="12616" max="12626" width="6.875" style="286" customWidth="1"/>
    <col min="12627" max="12800" width="8.75" style="286"/>
    <col min="12801" max="12801" width="34.625" style="286" customWidth="1"/>
    <col min="12802" max="12802" width="11.625" style="286" customWidth="1"/>
    <col min="12803" max="12870" width="6.875" style="286" customWidth="1"/>
    <col min="12871" max="12871" width="8.875" style="286" customWidth="1"/>
    <col min="12872" max="12882" width="6.875" style="286" customWidth="1"/>
    <col min="12883" max="13056" width="8.75" style="286"/>
    <col min="13057" max="13057" width="34.625" style="286" customWidth="1"/>
    <col min="13058" max="13058" width="11.625" style="286" customWidth="1"/>
    <col min="13059" max="13126" width="6.875" style="286" customWidth="1"/>
    <col min="13127" max="13127" width="8.875" style="286" customWidth="1"/>
    <col min="13128" max="13138" width="6.875" style="286" customWidth="1"/>
    <col min="13139" max="13312" width="8.75" style="286"/>
    <col min="13313" max="13313" width="34.625" style="286" customWidth="1"/>
    <col min="13314" max="13314" width="11.625" style="286" customWidth="1"/>
    <col min="13315" max="13382" width="6.875" style="286" customWidth="1"/>
    <col min="13383" max="13383" width="8.875" style="286" customWidth="1"/>
    <col min="13384" max="13394" width="6.875" style="286" customWidth="1"/>
    <col min="13395" max="13568" width="8.75" style="286"/>
    <col min="13569" max="13569" width="34.625" style="286" customWidth="1"/>
    <col min="13570" max="13570" width="11.625" style="286" customWidth="1"/>
    <col min="13571" max="13638" width="6.875" style="286" customWidth="1"/>
    <col min="13639" max="13639" width="8.875" style="286" customWidth="1"/>
    <col min="13640" max="13650" width="6.875" style="286" customWidth="1"/>
    <col min="13651" max="13824" width="8.75" style="286"/>
    <col min="13825" max="13825" width="34.625" style="286" customWidth="1"/>
    <col min="13826" max="13826" width="11.625" style="286" customWidth="1"/>
    <col min="13827" max="13894" width="6.875" style="286" customWidth="1"/>
    <col min="13895" max="13895" width="8.875" style="286" customWidth="1"/>
    <col min="13896" max="13906" width="6.875" style="286" customWidth="1"/>
    <col min="13907" max="14080" width="8.75" style="286"/>
    <col min="14081" max="14081" width="34.625" style="286" customWidth="1"/>
    <col min="14082" max="14082" width="11.625" style="286" customWidth="1"/>
    <col min="14083" max="14150" width="6.875" style="286" customWidth="1"/>
    <col min="14151" max="14151" width="8.875" style="286" customWidth="1"/>
    <col min="14152" max="14162" width="6.875" style="286" customWidth="1"/>
    <col min="14163" max="14336" width="8.75" style="286"/>
    <col min="14337" max="14337" width="34.625" style="286" customWidth="1"/>
    <col min="14338" max="14338" width="11.625" style="286" customWidth="1"/>
    <col min="14339" max="14406" width="6.875" style="286" customWidth="1"/>
    <col min="14407" max="14407" width="8.875" style="286" customWidth="1"/>
    <col min="14408" max="14418" width="6.875" style="286" customWidth="1"/>
    <col min="14419" max="14592" width="8.75" style="286"/>
    <col min="14593" max="14593" width="34.625" style="286" customWidth="1"/>
    <col min="14594" max="14594" width="11.625" style="286" customWidth="1"/>
    <col min="14595" max="14662" width="6.875" style="286" customWidth="1"/>
    <col min="14663" max="14663" width="8.875" style="286" customWidth="1"/>
    <col min="14664" max="14674" width="6.875" style="286" customWidth="1"/>
    <col min="14675" max="14848" width="8.75" style="286"/>
    <col min="14849" max="14849" width="34.625" style="286" customWidth="1"/>
    <col min="14850" max="14850" width="11.625" style="286" customWidth="1"/>
    <col min="14851" max="14918" width="6.875" style="286" customWidth="1"/>
    <col min="14919" max="14919" width="8.875" style="286" customWidth="1"/>
    <col min="14920" max="14930" width="6.875" style="286" customWidth="1"/>
    <col min="14931" max="15104" width="8.75" style="286"/>
    <col min="15105" max="15105" width="34.625" style="286" customWidth="1"/>
    <col min="15106" max="15106" width="11.625" style="286" customWidth="1"/>
    <col min="15107" max="15174" width="6.875" style="286" customWidth="1"/>
    <col min="15175" max="15175" width="8.875" style="286" customWidth="1"/>
    <col min="15176" max="15186" width="6.875" style="286" customWidth="1"/>
    <col min="15187" max="15360" width="8.75" style="286"/>
    <col min="15361" max="15361" width="34.625" style="286" customWidth="1"/>
    <col min="15362" max="15362" width="11.625" style="286" customWidth="1"/>
    <col min="15363" max="15430" width="6.875" style="286" customWidth="1"/>
    <col min="15431" max="15431" width="8.875" style="286" customWidth="1"/>
    <col min="15432" max="15442" width="6.875" style="286" customWidth="1"/>
    <col min="15443" max="15616" width="8.75" style="286"/>
    <col min="15617" max="15617" width="34.625" style="286" customWidth="1"/>
    <col min="15618" max="15618" width="11.625" style="286" customWidth="1"/>
    <col min="15619" max="15686" width="6.875" style="286" customWidth="1"/>
    <col min="15687" max="15687" width="8.875" style="286" customWidth="1"/>
    <col min="15688" max="15698" width="6.875" style="286" customWidth="1"/>
    <col min="15699" max="15872" width="8.75" style="286"/>
    <col min="15873" max="15873" width="34.625" style="286" customWidth="1"/>
    <col min="15874" max="15874" width="11.625" style="286" customWidth="1"/>
    <col min="15875" max="15942" width="6.875" style="286" customWidth="1"/>
    <col min="15943" max="15943" width="8.875" style="286" customWidth="1"/>
    <col min="15944" max="15954" width="6.875" style="286" customWidth="1"/>
    <col min="15955" max="16128" width="8.75" style="286"/>
    <col min="16129" max="16129" width="34.625" style="286" customWidth="1"/>
    <col min="16130" max="16130" width="11.625" style="286" customWidth="1"/>
    <col min="16131" max="16198" width="6.875" style="286" customWidth="1"/>
    <col min="16199" max="16199" width="8.875" style="286" customWidth="1"/>
    <col min="16200" max="16210" width="6.875" style="286" customWidth="1"/>
    <col min="16211" max="16384" width="8.75" style="286"/>
  </cols>
  <sheetData>
    <row r="1" spans="1:90" ht="18" x14ac:dyDescent="0.25">
      <c r="A1" s="284" t="s">
        <v>198</v>
      </c>
      <c r="B1" s="285"/>
    </row>
    <row r="2" spans="1:90" ht="15.75" x14ac:dyDescent="0.25">
      <c r="A2" s="287" t="s">
        <v>199</v>
      </c>
      <c r="B2" s="288"/>
    </row>
    <row r="3" spans="1:90" ht="15.75" thickBot="1" x14ac:dyDescent="0.3">
      <c r="A3" s="289" t="s">
        <v>200</v>
      </c>
      <c r="B3" s="290"/>
    </row>
    <row r="6" spans="1:90" x14ac:dyDescent="0.2">
      <c r="BM6" s="292" t="s">
        <v>201</v>
      </c>
      <c r="BN6" s="292" t="s">
        <v>201</v>
      </c>
      <c r="BO6" s="292" t="s">
        <v>201</v>
      </c>
      <c r="BP6" s="292" t="s">
        <v>201</v>
      </c>
      <c r="BQ6" s="293" t="s">
        <v>202</v>
      </c>
      <c r="BR6" s="293" t="s">
        <v>202</v>
      </c>
      <c r="BS6" s="293" t="s">
        <v>202</v>
      </c>
      <c r="BT6" s="293" t="s">
        <v>202</v>
      </c>
      <c r="BU6" s="294" t="s">
        <v>203</v>
      </c>
      <c r="BV6" s="294" t="s">
        <v>203</v>
      </c>
      <c r="BW6" s="294" t="s">
        <v>203</v>
      </c>
      <c r="BX6" s="294" t="s">
        <v>203</v>
      </c>
      <c r="BY6" s="295" t="s">
        <v>204</v>
      </c>
      <c r="BZ6" s="295" t="s">
        <v>204</v>
      </c>
      <c r="CA6" s="295" t="s">
        <v>204</v>
      </c>
      <c r="CB6" s="295" t="s">
        <v>204</v>
      </c>
      <c r="CC6" s="296" t="s">
        <v>205</v>
      </c>
      <c r="CD6" s="296" t="s">
        <v>205</v>
      </c>
      <c r="CE6" s="296" t="s">
        <v>205</v>
      </c>
      <c r="CF6" s="296" t="s">
        <v>205</v>
      </c>
    </row>
    <row r="7" spans="1:90" s="291" customFormat="1" x14ac:dyDescent="0.2">
      <c r="B7" s="291" t="s">
        <v>206</v>
      </c>
      <c r="C7" s="297" t="s">
        <v>207</v>
      </c>
      <c r="D7" s="297" t="s">
        <v>208</v>
      </c>
      <c r="E7" s="297" t="s">
        <v>209</v>
      </c>
      <c r="F7" s="297" t="s">
        <v>210</v>
      </c>
      <c r="G7" s="297" t="s">
        <v>211</v>
      </c>
      <c r="H7" s="297" t="s">
        <v>212</v>
      </c>
      <c r="I7" s="297" t="s">
        <v>213</v>
      </c>
      <c r="J7" s="297" t="s">
        <v>214</v>
      </c>
      <c r="K7" s="297" t="s">
        <v>215</v>
      </c>
      <c r="L7" s="297" t="s">
        <v>216</v>
      </c>
      <c r="M7" s="297" t="s">
        <v>217</v>
      </c>
      <c r="N7" s="297" t="s">
        <v>218</v>
      </c>
      <c r="O7" s="297" t="s">
        <v>219</v>
      </c>
      <c r="P7" s="297" t="s">
        <v>220</v>
      </c>
      <c r="Q7" s="297" t="s">
        <v>221</v>
      </c>
      <c r="R7" s="297" t="s">
        <v>222</v>
      </c>
      <c r="S7" s="297" t="s">
        <v>223</v>
      </c>
      <c r="T7" s="297" t="s">
        <v>224</v>
      </c>
      <c r="U7" s="297" t="s">
        <v>225</v>
      </c>
      <c r="V7" s="297" t="s">
        <v>226</v>
      </c>
      <c r="W7" s="297" t="s">
        <v>227</v>
      </c>
      <c r="X7" s="297" t="s">
        <v>228</v>
      </c>
      <c r="Y7" s="297" t="s">
        <v>229</v>
      </c>
      <c r="Z7" s="297" t="s">
        <v>230</v>
      </c>
      <c r="AA7" s="297" t="s">
        <v>231</v>
      </c>
      <c r="AB7" s="297" t="s">
        <v>232</v>
      </c>
      <c r="AC7" s="297" t="s">
        <v>233</v>
      </c>
      <c r="AD7" s="297" t="s">
        <v>234</v>
      </c>
      <c r="AE7" s="297" t="s">
        <v>235</v>
      </c>
      <c r="AF7" s="297" t="s">
        <v>236</v>
      </c>
      <c r="AG7" s="297" t="s">
        <v>237</v>
      </c>
      <c r="AH7" s="297" t="s">
        <v>238</v>
      </c>
      <c r="AI7" s="297" t="s">
        <v>239</v>
      </c>
      <c r="AJ7" s="297" t="s">
        <v>240</v>
      </c>
      <c r="AK7" s="297" t="s">
        <v>241</v>
      </c>
      <c r="AL7" s="297" t="s">
        <v>242</v>
      </c>
      <c r="AM7" s="297" t="s">
        <v>243</v>
      </c>
      <c r="AN7" s="297" t="s">
        <v>244</v>
      </c>
      <c r="AO7" s="297" t="s">
        <v>245</v>
      </c>
      <c r="AP7" s="297" t="s">
        <v>246</v>
      </c>
      <c r="AQ7" s="297" t="s">
        <v>247</v>
      </c>
      <c r="AR7" s="297" t="s">
        <v>248</v>
      </c>
      <c r="AS7" s="297" t="s">
        <v>249</v>
      </c>
      <c r="AT7" s="297" t="s">
        <v>250</v>
      </c>
      <c r="AU7" s="291" t="s">
        <v>251</v>
      </c>
      <c r="AV7" s="291" t="s">
        <v>252</v>
      </c>
      <c r="AW7" s="291" t="s">
        <v>253</v>
      </c>
      <c r="AX7" s="291" t="s">
        <v>254</v>
      </c>
      <c r="AY7" s="291" t="s">
        <v>255</v>
      </c>
      <c r="AZ7" s="291" t="s">
        <v>256</v>
      </c>
      <c r="BA7" s="291" t="s">
        <v>257</v>
      </c>
      <c r="BB7" s="291" t="s">
        <v>258</v>
      </c>
      <c r="BC7" s="291" t="s">
        <v>259</v>
      </c>
      <c r="BD7" s="291" t="s">
        <v>260</v>
      </c>
      <c r="BE7" s="291" t="s">
        <v>261</v>
      </c>
      <c r="BF7" s="291" t="s">
        <v>262</v>
      </c>
      <c r="BG7" s="291" t="s">
        <v>263</v>
      </c>
      <c r="BH7" s="291" t="s">
        <v>264</v>
      </c>
      <c r="BI7" s="291" t="s">
        <v>265</v>
      </c>
      <c r="BJ7" s="291" t="s">
        <v>266</v>
      </c>
      <c r="BK7" s="291" t="s">
        <v>267</v>
      </c>
      <c r="BL7" s="291" t="s">
        <v>268</v>
      </c>
      <c r="BM7" s="291" t="s">
        <v>269</v>
      </c>
      <c r="BN7" s="291" t="s">
        <v>270</v>
      </c>
      <c r="BO7" s="291" t="s">
        <v>271</v>
      </c>
      <c r="BP7" s="291" t="s">
        <v>272</v>
      </c>
      <c r="BQ7" s="291" t="s">
        <v>273</v>
      </c>
      <c r="BR7" s="291" t="s">
        <v>274</v>
      </c>
      <c r="BS7" s="291" t="s">
        <v>275</v>
      </c>
      <c r="BT7" s="291" t="s">
        <v>276</v>
      </c>
      <c r="BU7" s="291" t="s">
        <v>277</v>
      </c>
      <c r="BV7" s="291" t="s">
        <v>278</v>
      </c>
      <c r="BW7" s="291" t="s">
        <v>279</v>
      </c>
      <c r="BX7" s="291" t="s">
        <v>280</v>
      </c>
      <c r="BY7" s="291" t="s">
        <v>281</v>
      </c>
      <c r="BZ7" s="291" t="s">
        <v>282</v>
      </c>
      <c r="CA7" s="291" t="s">
        <v>283</v>
      </c>
      <c r="CB7" s="291" t="s">
        <v>284</v>
      </c>
      <c r="CC7" s="291" t="s">
        <v>285</v>
      </c>
      <c r="CD7" s="291" t="s">
        <v>286</v>
      </c>
      <c r="CE7" s="291" t="s">
        <v>287</v>
      </c>
      <c r="CF7" s="291" t="s">
        <v>288</v>
      </c>
      <c r="CG7" s="291" t="s">
        <v>289</v>
      </c>
      <c r="CH7" s="291" t="s">
        <v>290</v>
      </c>
      <c r="CI7" s="291" t="s">
        <v>291</v>
      </c>
      <c r="CJ7" s="291" t="s">
        <v>292</v>
      </c>
      <c r="CK7" s="291" t="s">
        <v>293</v>
      </c>
      <c r="CL7" s="291" t="s">
        <v>294</v>
      </c>
    </row>
    <row r="8" spans="1:90" x14ac:dyDescent="0.2">
      <c r="A8" s="291" t="s">
        <v>295</v>
      </c>
      <c r="B8" s="291" t="s">
        <v>296</v>
      </c>
      <c r="C8" s="298">
        <v>2.0346113976543099</v>
      </c>
      <c r="D8" s="298">
        <v>2.0596500771746999</v>
      </c>
      <c r="E8" s="298">
        <v>2.0647060372238499</v>
      </c>
      <c r="F8" s="298">
        <v>2.08676028581668</v>
      </c>
      <c r="G8" s="298">
        <v>2.10441481814272</v>
      </c>
      <c r="H8" s="298">
        <v>2.1147152065649601</v>
      </c>
      <c r="I8" s="298">
        <v>2.1510993425276599</v>
      </c>
      <c r="J8" s="298">
        <v>2.1700303556901499</v>
      </c>
      <c r="K8" s="298">
        <v>2.1872092233455001</v>
      </c>
      <c r="L8" s="298">
        <v>2.2125396282877201</v>
      </c>
      <c r="M8" s="298">
        <v>2.2351374505046602</v>
      </c>
      <c r="N8" s="298">
        <v>2.2204817980336999</v>
      </c>
      <c r="O8" s="298">
        <v>2.2320116226990798</v>
      </c>
      <c r="P8" s="298">
        <v>2.2583096838239101</v>
      </c>
      <c r="Q8" s="298">
        <v>2.27564540872048</v>
      </c>
      <c r="R8" s="298">
        <v>2.30212674606845</v>
      </c>
      <c r="S8" s="298">
        <v>2.31936770794078</v>
      </c>
      <c r="T8" s="298">
        <v>2.3630887075886</v>
      </c>
      <c r="U8" s="298">
        <v>2.40401775208483</v>
      </c>
      <c r="V8" s="298">
        <v>2.3508872068266702</v>
      </c>
      <c r="W8" s="298">
        <v>2.3397884211161499</v>
      </c>
      <c r="X8" s="298">
        <v>2.3463315593326199</v>
      </c>
      <c r="Y8" s="298">
        <v>2.3660251530796899</v>
      </c>
      <c r="Z8" s="298">
        <v>2.38072574928248</v>
      </c>
      <c r="AA8" s="298">
        <v>2.3786733941980902</v>
      </c>
      <c r="AB8" s="298">
        <v>2.3833613783132601</v>
      </c>
      <c r="AC8" s="298">
        <v>2.3978430594132099</v>
      </c>
      <c r="AD8" s="298">
        <v>2.42168970868748</v>
      </c>
      <c r="AE8" s="298">
        <v>2.4317072324959299</v>
      </c>
      <c r="AF8" s="298">
        <v>2.47695645025907</v>
      </c>
      <c r="AG8" s="298">
        <v>2.4885116546577</v>
      </c>
      <c r="AH8" s="298">
        <v>2.4969754819522398</v>
      </c>
      <c r="AI8" s="298">
        <v>2.5130795409255899</v>
      </c>
      <c r="AJ8" s="298">
        <v>2.5194466142060299</v>
      </c>
      <c r="AK8" s="298">
        <v>2.52963857685537</v>
      </c>
      <c r="AL8" s="298">
        <v>2.5501989464999602</v>
      </c>
      <c r="AM8" s="298">
        <v>2.55712003670995</v>
      </c>
      <c r="AN8" s="298">
        <v>2.5546952042684001</v>
      </c>
      <c r="AO8" s="298">
        <v>2.57375608575328</v>
      </c>
      <c r="AP8" s="298">
        <v>2.5883411608511002</v>
      </c>
      <c r="AQ8" s="298">
        <v>2.5966793575059901</v>
      </c>
      <c r="AR8" s="298">
        <v>2.6079522450453201</v>
      </c>
      <c r="AS8" s="298">
        <v>2.6142540104276799</v>
      </c>
      <c r="AT8" s="298">
        <v>2.6167589769378798</v>
      </c>
      <c r="AU8" s="298">
        <v>2.6115923571662201</v>
      </c>
      <c r="AV8" s="298">
        <v>2.62275484000673</v>
      </c>
      <c r="AW8" s="298">
        <v>2.6191293013400601</v>
      </c>
      <c r="AX8" s="298">
        <v>2.62627714923654</v>
      </c>
      <c r="AY8" s="298">
        <v>2.6194265314110301</v>
      </c>
      <c r="AZ8" s="298">
        <v>2.6415043138832401</v>
      </c>
      <c r="BA8" s="298">
        <v>2.662062301288</v>
      </c>
      <c r="BB8" s="298">
        <v>2.67729020882655</v>
      </c>
      <c r="BC8" s="298">
        <v>2.6907954146946098</v>
      </c>
      <c r="BD8" s="298">
        <v>2.6947387967675498</v>
      </c>
      <c r="BE8" s="298">
        <v>2.7066859028113202</v>
      </c>
      <c r="BF8" s="298">
        <v>2.72054827789868</v>
      </c>
      <c r="BG8" s="298">
        <v>2.7569640168604699</v>
      </c>
      <c r="BH8" s="298">
        <v>2.7703563734588399</v>
      </c>
      <c r="BI8" s="298">
        <v>2.7758420471732599</v>
      </c>
      <c r="BJ8" s="298">
        <v>2.78863899429814</v>
      </c>
      <c r="BK8" s="298">
        <v>2.80152864366993</v>
      </c>
      <c r="BL8" s="298">
        <v>2.8145299240305102</v>
      </c>
      <c r="BM8" s="298">
        <v>2.8281189721556101</v>
      </c>
      <c r="BN8" s="298">
        <v>2.8436922082042799</v>
      </c>
      <c r="BO8" s="298">
        <v>2.8613737788287201</v>
      </c>
      <c r="BP8" s="298">
        <v>2.8656515498241899</v>
      </c>
      <c r="BQ8" s="298">
        <v>2.9040288860327399</v>
      </c>
      <c r="BR8" s="298">
        <v>2.91977882121695</v>
      </c>
      <c r="BS8" s="298">
        <v>2.9464370701018501</v>
      </c>
      <c r="BT8" s="298">
        <v>2.9589294578946199</v>
      </c>
      <c r="BU8" s="298">
        <v>2.97189873674176</v>
      </c>
      <c r="BV8" s="298">
        <v>2.9829478069661901</v>
      </c>
      <c r="BW8" s="298">
        <v>2.9928349173184801</v>
      </c>
      <c r="BX8" s="298">
        <v>3.0011510520439701</v>
      </c>
      <c r="BY8" s="298">
        <v>3.0123165476192302</v>
      </c>
      <c r="BZ8" s="298">
        <v>3.0264172103607101</v>
      </c>
      <c r="CA8" s="298">
        <v>3.04102720494719</v>
      </c>
      <c r="CB8" s="298">
        <v>3.0557517454736498</v>
      </c>
      <c r="CC8" s="298">
        <v>3.0703423561476799</v>
      </c>
      <c r="CD8" s="298">
        <v>3.0863416069355298</v>
      </c>
      <c r="CE8" s="298">
        <v>3.1037466512716798</v>
      </c>
      <c r="CF8" s="298">
        <v>3.1213737203310101</v>
      </c>
      <c r="CG8" s="298">
        <v>3.1392007261444701</v>
      </c>
      <c r="CH8" s="298">
        <v>3.1576332495661199</v>
      </c>
      <c r="CI8" s="298">
        <v>3.1766693953545801</v>
      </c>
      <c r="CJ8" s="298">
        <v>3.19571076133162</v>
      </c>
      <c r="CK8" s="298">
        <v>3.2156927648001301</v>
      </c>
      <c r="CL8" s="298">
        <v>3.2357367391781899</v>
      </c>
    </row>
    <row r="9" spans="1:90" x14ac:dyDescent="0.2">
      <c r="A9" s="291" t="s">
        <v>297</v>
      </c>
      <c r="B9" s="291" t="s">
        <v>298</v>
      </c>
      <c r="C9" s="298">
        <v>2.0346113976543099</v>
      </c>
      <c r="D9" s="298">
        <v>2.0596500771746999</v>
      </c>
      <c r="E9" s="298">
        <v>2.0647060372238499</v>
      </c>
      <c r="F9" s="298">
        <v>2.08676028581668</v>
      </c>
      <c r="G9" s="298">
        <v>2.10441481814272</v>
      </c>
      <c r="H9" s="298">
        <v>2.1147152065649601</v>
      </c>
      <c r="I9" s="298">
        <v>2.1510993425276599</v>
      </c>
      <c r="J9" s="298">
        <v>2.1700303556901499</v>
      </c>
      <c r="K9" s="298">
        <v>2.1872092233455001</v>
      </c>
      <c r="L9" s="298">
        <v>2.2125396282877201</v>
      </c>
      <c r="M9" s="298">
        <v>2.2351374505046602</v>
      </c>
      <c r="N9" s="298">
        <v>2.2204817980336999</v>
      </c>
      <c r="O9" s="298">
        <v>2.2320116226990798</v>
      </c>
      <c r="P9" s="298">
        <v>2.2583096838239101</v>
      </c>
      <c r="Q9" s="298">
        <v>2.27564540872048</v>
      </c>
      <c r="R9" s="298">
        <v>2.30212674606845</v>
      </c>
      <c r="S9" s="298">
        <v>2.31936770794078</v>
      </c>
      <c r="T9" s="298">
        <v>2.3630887075886</v>
      </c>
      <c r="U9" s="298">
        <v>2.40401775208483</v>
      </c>
      <c r="V9" s="298">
        <v>2.3508872068266702</v>
      </c>
      <c r="W9" s="298">
        <v>2.3397884211161499</v>
      </c>
      <c r="X9" s="298">
        <v>2.3463315593326199</v>
      </c>
      <c r="Y9" s="298">
        <v>2.3660251530796899</v>
      </c>
      <c r="Z9" s="298">
        <v>2.38072574928248</v>
      </c>
      <c r="AA9" s="298">
        <v>2.3786733941980902</v>
      </c>
      <c r="AB9" s="298">
        <v>2.3833613783132601</v>
      </c>
      <c r="AC9" s="298">
        <v>2.3978430594132099</v>
      </c>
      <c r="AD9" s="298">
        <v>2.42168970868748</v>
      </c>
      <c r="AE9" s="298">
        <v>2.4317072324959299</v>
      </c>
      <c r="AF9" s="298">
        <v>2.47695645025907</v>
      </c>
      <c r="AG9" s="298">
        <v>2.4885116546577</v>
      </c>
      <c r="AH9" s="298">
        <v>2.4969754819522398</v>
      </c>
      <c r="AI9" s="298">
        <v>2.5130795409255899</v>
      </c>
      <c r="AJ9" s="298">
        <v>2.5194466142060299</v>
      </c>
      <c r="AK9" s="298">
        <v>2.52963857685537</v>
      </c>
      <c r="AL9" s="298">
        <v>2.5501989464999602</v>
      </c>
      <c r="AM9" s="298">
        <v>2.55712003670995</v>
      </c>
      <c r="AN9" s="298">
        <v>2.5546952042684001</v>
      </c>
      <c r="AO9" s="298">
        <v>2.57375608575328</v>
      </c>
      <c r="AP9" s="298">
        <v>2.5883411608511002</v>
      </c>
      <c r="AQ9" s="298">
        <v>2.5966793575059901</v>
      </c>
      <c r="AR9" s="298">
        <v>2.6079522450453201</v>
      </c>
      <c r="AS9" s="298">
        <v>2.6142540104276799</v>
      </c>
      <c r="AT9" s="298">
        <v>2.6167589769378798</v>
      </c>
      <c r="AU9" s="298">
        <v>2.6115923571662201</v>
      </c>
      <c r="AV9" s="298">
        <v>2.62275484000673</v>
      </c>
      <c r="AW9" s="298">
        <v>2.6191293013400601</v>
      </c>
      <c r="AX9" s="298">
        <v>2.62627714923654</v>
      </c>
      <c r="AY9" s="298">
        <v>2.6194265314110301</v>
      </c>
      <c r="AZ9" s="298">
        <v>2.6415043138832401</v>
      </c>
      <c r="BA9" s="298">
        <v>2.662062301288</v>
      </c>
      <c r="BB9" s="298">
        <v>2.67729020882655</v>
      </c>
      <c r="BC9" s="298">
        <v>2.6907954146946098</v>
      </c>
      <c r="BD9" s="298">
        <v>2.6947387967675498</v>
      </c>
      <c r="BE9" s="298">
        <v>2.7066859028113202</v>
      </c>
      <c r="BF9" s="298">
        <v>2.72054827789868</v>
      </c>
      <c r="BG9" s="298">
        <v>2.7569640168604699</v>
      </c>
      <c r="BH9" s="298">
        <v>2.7703563734588399</v>
      </c>
      <c r="BI9" s="298">
        <v>2.7758420471732599</v>
      </c>
      <c r="BJ9" s="298">
        <v>2.78863899429814</v>
      </c>
      <c r="BK9" s="298">
        <v>2.80152864366993</v>
      </c>
      <c r="BL9" s="298">
        <v>2.8145299240305102</v>
      </c>
      <c r="BM9" s="298">
        <v>2.8281189721556101</v>
      </c>
      <c r="BN9" s="298">
        <v>2.8436922082042799</v>
      </c>
      <c r="BO9" s="298">
        <v>2.8613737788287201</v>
      </c>
      <c r="BP9" s="298">
        <v>2.8656515498241899</v>
      </c>
      <c r="BQ9" s="298">
        <v>2.9040288860327399</v>
      </c>
      <c r="BR9" s="298">
        <v>2.91977882121695</v>
      </c>
      <c r="BS9" s="298">
        <v>2.9464370701018501</v>
      </c>
      <c r="BT9" s="298">
        <v>2.95511533454368</v>
      </c>
      <c r="BU9" s="298">
        <v>2.9638765060418102</v>
      </c>
      <c r="BV9" s="298">
        <v>2.9698163013374201</v>
      </c>
      <c r="BW9" s="298">
        <v>2.9753604593545</v>
      </c>
      <c r="BX9" s="298">
        <v>2.9793716061765601</v>
      </c>
      <c r="BY9" s="298">
        <v>2.9854598446299301</v>
      </c>
      <c r="BZ9" s="298">
        <v>2.9937116931399901</v>
      </c>
      <c r="CA9" s="298">
        <v>3.0031799942022999</v>
      </c>
      <c r="CB9" s="298">
        <v>3.0136579769843599</v>
      </c>
      <c r="CC9" s="298">
        <v>3.0239642811323</v>
      </c>
      <c r="CD9" s="298">
        <v>3.0364681428712199</v>
      </c>
      <c r="CE9" s="298">
        <v>3.0499959763401501</v>
      </c>
      <c r="CF9" s="298">
        <v>3.0639337550737702</v>
      </c>
      <c r="CG9" s="298">
        <v>3.07817158353035</v>
      </c>
      <c r="CH9" s="298">
        <v>3.0927586969804399</v>
      </c>
      <c r="CI9" s="298">
        <v>3.10814439123192</v>
      </c>
      <c r="CJ9" s="298">
        <v>3.1236609001015601</v>
      </c>
      <c r="CK9" s="298">
        <v>3.1401708688163001</v>
      </c>
      <c r="CL9" s="298">
        <v>3.15683073631816</v>
      </c>
    </row>
    <row r="10" spans="1:90" x14ac:dyDescent="0.2">
      <c r="A10" s="291" t="s">
        <v>299</v>
      </c>
      <c r="B10" s="291" t="s">
        <v>300</v>
      </c>
      <c r="C10" s="298">
        <v>2.0346113976543099</v>
      </c>
      <c r="D10" s="298">
        <v>2.0596500771746999</v>
      </c>
      <c r="E10" s="298">
        <v>2.0647060372238499</v>
      </c>
      <c r="F10" s="298">
        <v>2.08676028581668</v>
      </c>
      <c r="G10" s="298">
        <v>2.10441481814272</v>
      </c>
      <c r="H10" s="298">
        <v>2.1147152065649601</v>
      </c>
      <c r="I10" s="298">
        <v>2.1510993425276599</v>
      </c>
      <c r="J10" s="298">
        <v>2.1700303556901499</v>
      </c>
      <c r="K10" s="298">
        <v>2.1872092233455001</v>
      </c>
      <c r="L10" s="298">
        <v>2.2125396282877201</v>
      </c>
      <c r="M10" s="298">
        <v>2.2351374505046602</v>
      </c>
      <c r="N10" s="298">
        <v>2.2204817980336999</v>
      </c>
      <c r="O10" s="298">
        <v>2.2320116226990798</v>
      </c>
      <c r="P10" s="298">
        <v>2.2583096838239101</v>
      </c>
      <c r="Q10" s="298">
        <v>2.27564540872048</v>
      </c>
      <c r="R10" s="298">
        <v>2.30212674606845</v>
      </c>
      <c r="S10" s="298">
        <v>2.31936770794078</v>
      </c>
      <c r="T10" s="298">
        <v>2.3630887075886</v>
      </c>
      <c r="U10" s="298">
        <v>2.40401775208483</v>
      </c>
      <c r="V10" s="298">
        <v>2.3508872068266702</v>
      </c>
      <c r="W10" s="298">
        <v>2.3397884211161499</v>
      </c>
      <c r="X10" s="298">
        <v>2.3463315593326199</v>
      </c>
      <c r="Y10" s="298">
        <v>2.3660251530796899</v>
      </c>
      <c r="Z10" s="298">
        <v>2.38072574928248</v>
      </c>
      <c r="AA10" s="298">
        <v>2.3786733941980902</v>
      </c>
      <c r="AB10" s="298">
        <v>2.3833613783132601</v>
      </c>
      <c r="AC10" s="298">
        <v>2.3978430594132099</v>
      </c>
      <c r="AD10" s="298">
        <v>2.42168970868748</v>
      </c>
      <c r="AE10" s="298">
        <v>2.4317072324959299</v>
      </c>
      <c r="AF10" s="298">
        <v>2.47695645025907</v>
      </c>
      <c r="AG10" s="298">
        <v>2.4885116546577</v>
      </c>
      <c r="AH10" s="298">
        <v>2.4969754819522398</v>
      </c>
      <c r="AI10" s="298">
        <v>2.5130795409255899</v>
      </c>
      <c r="AJ10" s="298">
        <v>2.5194466142060299</v>
      </c>
      <c r="AK10" s="298">
        <v>2.52963857685537</v>
      </c>
      <c r="AL10" s="298">
        <v>2.5501989464999602</v>
      </c>
      <c r="AM10" s="298">
        <v>2.55712003670995</v>
      </c>
      <c r="AN10" s="298">
        <v>2.5546952042684001</v>
      </c>
      <c r="AO10" s="298">
        <v>2.57375608575328</v>
      </c>
      <c r="AP10" s="298">
        <v>2.5883411608511002</v>
      </c>
      <c r="AQ10" s="298">
        <v>2.5966793575059901</v>
      </c>
      <c r="AR10" s="298">
        <v>2.6079522450453201</v>
      </c>
      <c r="AS10" s="298">
        <v>2.6142540104276799</v>
      </c>
      <c r="AT10" s="298">
        <v>2.6167589769378798</v>
      </c>
      <c r="AU10" s="298">
        <v>2.6115923571662201</v>
      </c>
      <c r="AV10" s="298">
        <v>2.62275484000673</v>
      </c>
      <c r="AW10" s="298">
        <v>2.6191293013400601</v>
      </c>
      <c r="AX10" s="298">
        <v>2.62627714923654</v>
      </c>
      <c r="AY10" s="298">
        <v>2.6194265314110301</v>
      </c>
      <c r="AZ10" s="298">
        <v>2.6415043138832401</v>
      </c>
      <c r="BA10" s="298">
        <v>2.662062301288</v>
      </c>
      <c r="BB10" s="298">
        <v>2.67729020882655</v>
      </c>
      <c r="BC10" s="298">
        <v>2.6907954146946098</v>
      </c>
      <c r="BD10" s="298">
        <v>2.6947387967675498</v>
      </c>
      <c r="BE10" s="298">
        <v>2.7066859028113202</v>
      </c>
      <c r="BF10" s="298">
        <v>2.72054827789868</v>
      </c>
      <c r="BG10" s="298">
        <v>2.7569640168604699</v>
      </c>
      <c r="BH10" s="298">
        <v>2.7703563734588399</v>
      </c>
      <c r="BI10" s="298">
        <v>2.7758420471732599</v>
      </c>
      <c r="BJ10" s="298">
        <v>2.78863899429814</v>
      </c>
      <c r="BK10" s="298">
        <v>2.80152864366993</v>
      </c>
      <c r="BL10" s="298">
        <v>2.8145299240305102</v>
      </c>
      <c r="BM10" s="298">
        <v>2.8281189721556101</v>
      </c>
      <c r="BN10" s="298">
        <v>2.8436922082042799</v>
      </c>
      <c r="BO10" s="298">
        <v>2.8613737788287201</v>
      </c>
      <c r="BP10" s="298">
        <v>2.8656515498241899</v>
      </c>
      <c r="BQ10" s="298">
        <v>2.9040288860327399</v>
      </c>
      <c r="BR10" s="298">
        <v>2.91977882121695</v>
      </c>
      <c r="BS10" s="298">
        <v>2.9464370701018501</v>
      </c>
      <c r="BT10" s="298">
        <v>2.96269458407148</v>
      </c>
      <c r="BU10" s="298">
        <v>2.9807541213125002</v>
      </c>
      <c r="BV10" s="298">
        <v>2.99658795646052</v>
      </c>
      <c r="BW10" s="298">
        <v>3.0110305165974398</v>
      </c>
      <c r="BX10" s="298">
        <v>3.0251789215529699</v>
      </c>
      <c r="BY10" s="298">
        <v>3.0424244120073598</v>
      </c>
      <c r="BZ10" s="298">
        <v>3.06286045858206</v>
      </c>
      <c r="CA10" s="298">
        <v>3.0839246923475101</v>
      </c>
      <c r="CB10" s="298">
        <v>3.1053048533962899</v>
      </c>
      <c r="CC10" s="298">
        <v>3.12661677328683</v>
      </c>
      <c r="CD10" s="298">
        <v>3.1494007912967001</v>
      </c>
      <c r="CE10" s="298">
        <v>3.1736605325829501</v>
      </c>
      <c r="CF10" s="298">
        <v>3.1983282778621001</v>
      </c>
      <c r="CG10" s="298">
        <v>3.2234712778750301</v>
      </c>
      <c r="CH10" s="298">
        <v>3.2494717459189402</v>
      </c>
      <c r="CI10" s="298">
        <v>3.2764372271331501</v>
      </c>
      <c r="CJ10" s="298">
        <v>3.3038111516300899</v>
      </c>
      <c r="CK10" s="298">
        <v>3.3325559225318302</v>
      </c>
      <c r="CL10" s="298">
        <v>3.3617850989081299</v>
      </c>
    </row>
    <row r="12" spans="1:90" x14ac:dyDescent="0.2"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</row>
    <row r="13" spans="1:90" x14ac:dyDescent="0.2"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</row>
    <row r="14" spans="1:90" x14ac:dyDescent="0.2"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BQ14" s="300" t="s">
        <v>301</v>
      </c>
      <c r="BR14" s="301"/>
      <c r="BS14" s="301"/>
      <c r="BT14" s="302" t="s">
        <v>302</v>
      </c>
      <c r="BU14" s="303"/>
      <c r="BV14" s="303"/>
      <c r="BW14" s="303"/>
      <c r="BX14" s="303"/>
      <c r="BY14" s="303"/>
      <c r="BZ14" s="301"/>
      <c r="CA14" s="301"/>
      <c r="CB14" s="301"/>
    </row>
    <row r="15" spans="1:90" x14ac:dyDescent="0.2"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298"/>
      <c r="BQ15" s="304"/>
      <c r="BR15" s="305"/>
      <c r="BS15" s="305"/>
      <c r="BT15" s="305"/>
      <c r="BU15" s="305"/>
      <c r="BV15" s="305"/>
      <c r="BW15" s="305"/>
      <c r="BX15" s="305"/>
      <c r="BY15" s="305"/>
      <c r="BZ15" s="305"/>
      <c r="CA15" s="305"/>
      <c r="CB15" s="306"/>
    </row>
    <row r="16" spans="1:90" x14ac:dyDescent="0.2"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298"/>
      <c r="BQ16" s="307"/>
      <c r="BR16" s="308" t="s">
        <v>303</v>
      </c>
      <c r="BS16" s="309" t="s">
        <v>304</v>
      </c>
      <c r="BT16" s="309"/>
      <c r="BU16" s="309"/>
      <c r="BV16" s="309"/>
      <c r="BW16" s="309"/>
      <c r="BX16" s="309"/>
      <c r="BY16" s="309"/>
      <c r="BZ16" s="309"/>
      <c r="CA16" s="309"/>
      <c r="CB16" s="310"/>
    </row>
    <row r="17" spans="3:80" x14ac:dyDescent="0.2"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BQ17" s="307"/>
      <c r="BR17" s="309"/>
      <c r="BS17" s="297" t="str">
        <f>BV7</f>
        <v>2021Q4</v>
      </c>
      <c r="BT17" s="309"/>
      <c r="BU17" s="309"/>
      <c r="BV17" s="309"/>
      <c r="BW17" s="309"/>
      <c r="BX17" s="309"/>
      <c r="BY17" s="309"/>
      <c r="BZ17" s="309"/>
      <c r="CA17" s="309"/>
      <c r="CB17" s="312" t="s">
        <v>305</v>
      </c>
    </row>
    <row r="18" spans="3:80" x14ac:dyDescent="0.2">
      <c r="BQ18" s="307"/>
      <c r="BR18" s="309"/>
      <c r="BS18" s="313">
        <f>BV9</f>
        <v>2.9698163013374201</v>
      </c>
      <c r="BT18" s="314"/>
      <c r="BU18" s="309"/>
      <c r="BV18" s="309"/>
      <c r="BW18" s="309"/>
      <c r="BX18" s="309"/>
      <c r="BY18" s="309"/>
      <c r="BZ18" s="309"/>
      <c r="CA18" s="309"/>
      <c r="CB18" s="315">
        <f>BS18</f>
        <v>2.9698163013374201</v>
      </c>
    </row>
    <row r="19" spans="3:80" x14ac:dyDescent="0.2">
      <c r="BQ19" s="307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16"/>
    </row>
    <row r="20" spans="3:80" x14ac:dyDescent="0.2">
      <c r="BQ20" s="727" t="s">
        <v>306</v>
      </c>
      <c r="BR20" s="728"/>
      <c r="BS20" s="728"/>
      <c r="BT20" s="309" t="s">
        <v>307</v>
      </c>
      <c r="BU20" s="309"/>
      <c r="BV20" s="309"/>
      <c r="BW20" s="309"/>
      <c r="BX20" s="309"/>
      <c r="BY20" s="309"/>
      <c r="BZ20" s="309"/>
      <c r="CA20" s="309"/>
      <c r="CB20" s="316"/>
    </row>
    <row r="21" spans="3:80" x14ac:dyDescent="0.2">
      <c r="BQ21" s="307"/>
      <c r="BR21" s="309"/>
      <c r="BS21" s="291" t="str">
        <f>BW7</f>
        <v>2022Q1</v>
      </c>
      <c r="BT21" s="291" t="str">
        <f t="shared" ref="BT21:BZ21" si="0">BX7</f>
        <v>2022Q2</v>
      </c>
      <c r="BU21" s="291" t="str">
        <f t="shared" si="0"/>
        <v>2022Q3</v>
      </c>
      <c r="BV21" s="291" t="str">
        <f t="shared" si="0"/>
        <v>2022Q4</v>
      </c>
      <c r="BW21" s="291" t="str">
        <f t="shared" si="0"/>
        <v>2023Q1</v>
      </c>
      <c r="BX21" s="291" t="str">
        <f t="shared" si="0"/>
        <v>2023Q2</v>
      </c>
      <c r="BY21" s="291" t="str">
        <f t="shared" si="0"/>
        <v>2023Q3</v>
      </c>
      <c r="BZ21" s="291" t="str">
        <f t="shared" si="0"/>
        <v>2023Q4</v>
      </c>
      <c r="CA21" s="309"/>
      <c r="CB21" s="316"/>
    </row>
    <row r="22" spans="3:80" x14ac:dyDescent="0.2">
      <c r="BQ22" s="307"/>
      <c r="BR22" s="309"/>
      <c r="BS22" s="317">
        <f>BW9</f>
        <v>2.9753604593545</v>
      </c>
      <c r="BT22" s="317">
        <f t="shared" ref="BT22:BZ22" si="1">BX9</f>
        <v>2.9793716061765601</v>
      </c>
      <c r="BU22" s="317">
        <f t="shared" si="1"/>
        <v>2.9854598446299301</v>
      </c>
      <c r="BV22" s="317">
        <f t="shared" si="1"/>
        <v>2.9937116931399901</v>
      </c>
      <c r="BW22" s="317">
        <f t="shared" si="1"/>
        <v>3.0031799942022999</v>
      </c>
      <c r="BX22" s="317">
        <f t="shared" si="1"/>
        <v>3.0136579769843599</v>
      </c>
      <c r="BY22" s="317">
        <f t="shared" si="1"/>
        <v>3.0239642811323</v>
      </c>
      <c r="BZ22" s="317">
        <f t="shared" si="1"/>
        <v>3.0364681428712199</v>
      </c>
      <c r="CA22" s="309"/>
      <c r="CB22" s="315">
        <f>AVERAGE(BS22:BZ22)</f>
        <v>3.0013967498113949</v>
      </c>
    </row>
    <row r="23" spans="3:80" x14ac:dyDescent="0.2">
      <c r="BQ23" s="307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16"/>
    </row>
    <row r="24" spans="3:80" x14ac:dyDescent="0.2">
      <c r="BQ24" s="307"/>
      <c r="BR24" s="309"/>
      <c r="BS24" s="309"/>
      <c r="BT24" s="309"/>
      <c r="BU24" s="309"/>
      <c r="BV24" s="309"/>
      <c r="BW24" s="309"/>
      <c r="BX24" s="309"/>
      <c r="BY24" s="309"/>
      <c r="BZ24" s="309"/>
      <c r="CA24" s="318" t="s">
        <v>308</v>
      </c>
      <c r="CB24" s="319">
        <f>(CB22-CB18)/CB18</f>
        <v>1.0633805350099574E-2</v>
      </c>
    </row>
    <row r="25" spans="3:80" x14ac:dyDescent="0.2">
      <c r="BQ25" s="320"/>
      <c r="BR25" s="321"/>
      <c r="BS25" s="321"/>
      <c r="BT25" s="321"/>
      <c r="BU25" s="321"/>
      <c r="BV25" s="321"/>
      <c r="BW25" s="321"/>
      <c r="BX25" s="321"/>
      <c r="BY25" s="321"/>
      <c r="BZ25" s="321"/>
      <c r="CA25" s="321"/>
      <c r="CB25" s="322"/>
    </row>
    <row r="29" spans="3:80" hidden="1" x14ac:dyDescent="0.2">
      <c r="BQ29" s="300" t="s">
        <v>301</v>
      </c>
      <c r="BR29" s="301"/>
      <c r="BS29" s="301"/>
      <c r="BT29" s="302" t="s">
        <v>309</v>
      </c>
      <c r="BU29" s="303"/>
      <c r="BV29" s="303"/>
      <c r="BW29" s="303"/>
      <c r="BX29" s="303"/>
      <c r="BY29" s="303"/>
      <c r="BZ29" s="301"/>
      <c r="CA29" s="301"/>
      <c r="CB29" s="301"/>
    </row>
    <row r="30" spans="3:80" hidden="1" x14ac:dyDescent="0.2">
      <c r="BQ30" s="304"/>
      <c r="BR30" s="305"/>
      <c r="BS30" s="305"/>
      <c r="BT30" s="305"/>
      <c r="BU30" s="305"/>
      <c r="BV30" s="305"/>
      <c r="BW30" s="305"/>
      <c r="BX30" s="305"/>
      <c r="BY30" s="305"/>
      <c r="BZ30" s="305"/>
      <c r="CA30" s="305"/>
      <c r="CB30" s="306"/>
    </row>
    <row r="31" spans="3:80" hidden="1" x14ac:dyDescent="0.2">
      <c r="BQ31" s="307"/>
      <c r="BR31" s="308" t="s">
        <v>303</v>
      </c>
      <c r="BS31" s="309" t="s">
        <v>310</v>
      </c>
      <c r="BT31" s="309"/>
      <c r="BU31" s="309"/>
      <c r="BV31" s="309"/>
      <c r="BW31" s="309"/>
      <c r="BX31" s="309"/>
      <c r="BY31" s="309"/>
      <c r="BZ31" s="309"/>
      <c r="CA31" s="309"/>
      <c r="CB31" s="310"/>
    </row>
    <row r="32" spans="3:80" hidden="1" x14ac:dyDescent="0.2">
      <c r="BQ32" s="307"/>
      <c r="BR32" s="309"/>
      <c r="BS32" s="297" t="str">
        <f>BX7</f>
        <v>2022Q2</v>
      </c>
      <c r="BT32" s="309"/>
      <c r="BU32" s="309"/>
      <c r="BV32" s="309"/>
      <c r="BW32" s="309"/>
      <c r="BX32" s="309"/>
      <c r="BY32" s="309"/>
      <c r="BZ32" s="309"/>
      <c r="CA32" s="309"/>
      <c r="CB32" s="312" t="s">
        <v>305</v>
      </c>
    </row>
    <row r="33" spans="69:80" hidden="1" x14ac:dyDescent="0.2">
      <c r="BQ33" s="307"/>
      <c r="BR33" s="309"/>
      <c r="BS33" s="313">
        <f>BX9</f>
        <v>2.9793716061765601</v>
      </c>
      <c r="BT33" s="314"/>
      <c r="BU33" s="309"/>
      <c r="BV33" s="309"/>
      <c r="BW33" s="309"/>
      <c r="BX33" s="309"/>
      <c r="BY33" s="309"/>
      <c r="BZ33" s="309"/>
      <c r="CA33" s="309"/>
      <c r="CB33" s="315">
        <f>BS33</f>
        <v>2.9793716061765601</v>
      </c>
    </row>
    <row r="34" spans="69:80" hidden="1" x14ac:dyDescent="0.2">
      <c r="BQ34" s="307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16"/>
    </row>
    <row r="35" spans="69:80" hidden="1" x14ac:dyDescent="0.2">
      <c r="BQ35" s="727" t="s">
        <v>306</v>
      </c>
      <c r="BR35" s="728"/>
      <c r="BS35" s="728"/>
      <c r="BT35" s="309" t="s">
        <v>311</v>
      </c>
      <c r="BU35" s="309"/>
      <c r="BV35" s="309" t="s">
        <v>312</v>
      </c>
      <c r="BW35" s="309"/>
      <c r="BX35" s="309"/>
      <c r="BY35" s="309"/>
      <c r="BZ35" s="309"/>
      <c r="CA35" s="309"/>
      <c r="CB35" s="316"/>
    </row>
    <row r="36" spans="69:80" hidden="1" x14ac:dyDescent="0.2">
      <c r="BQ36" s="307"/>
      <c r="BR36" s="309"/>
      <c r="BS36" s="291" t="str">
        <f>BY7</f>
        <v>2022Q3</v>
      </c>
      <c r="BT36" s="291" t="str">
        <f t="shared" ref="BT36:BZ36" si="2">BZ7</f>
        <v>2022Q4</v>
      </c>
      <c r="BU36" s="291" t="str">
        <f t="shared" si="2"/>
        <v>2023Q1</v>
      </c>
      <c r="BV36" s="291" t="str">
        <f t="shared" si="2"/>
        <v>2023Q2</v>
      </c>
      <c r="BW36" s="291" t="str">
        <f t="shared" si="2"/>
        <v>2023Q3</v>
      </c>
      <c r="BX36" s="291" t="str">
        <f t="shared" si="2"/>
        <v>2023Q4</v>
      </c>
      <c r="BY36" s="291" t="str">
        <f t="shared" si="2"/>
        <v>2024Q1</v>
      </c>
      <c r="BZ36" s="291" t="str">
        <f t="shared" si="2"/>
        <v>2024Q2</v>
      </c>
      <c r="CA36" s="309"/>
      <c r="CB36" s="316"/>
    </row>
    <row r="37" spans="69:80" hidden="1" x14ac:dyDescent="0.2">
      <c r="BQ37" s="307"/>
      <c r="BR37" s="309"/>
      <c r="BS37" s="317">
        <f>BY9</f>
        <v>2.9854598446299301</v>
      </c>
      <c r="BT37" s="317">
        <f t="shared" ref="BT37:BZ37" si="3">BZ9</f>
        <v>2.9937116931399901</v>
      </c>
      <c r="BU37" s="317">
        <f t="shared" si="3"/>
        <v>3.0031799942022999</v>
      </c>
      <c r="BV37" s="317">
        <f t="shared" si="3"/>
        <v>3.0136579769843599</v>
      </c>
      <c r="BW37" s="317">
        <f t="shared" si="3"/>
        <v>3.0239642811323</v>
      </c>
      <c r="BX37" s="317">
        <f t="shared" si="3"/>
        <v>3.0364681428712199</v>
      </c>
      <c r="BY37" s="317">
        <f t="shared" si="3"/>
        <v>3.0499959763401501</v>
      </c>
      <c r="BZ37" s="317">
        <f t="shared" si="3"/>
        <v>3.0639337550737702</v>
      </c>
      <c r="CA37" s="309"/>
      <c r="CB37" s="315">
        <f>AVERAGE(BS37:BZ37)</f>
        <v>3.0212964580467521</v>
      </c>
    </row>
    <row r="38" spans="69:80" hidden="1" x14ac:dyDescent="0.2">
      <c r="BQ38" s="307"/>
      <c r="BR38" s="309"/>
      <c r="BS38" s="309"/>
      <c r="BT38" s="309"/>
      <c r="BU38" s="309"/>
      <c r="BV38" s="309"/>
      <c r="BW38" s="309"/>
      <c r="BX38" s="309"/>
      <c r="BY38" s="309"/>
      <c r="BZ38" s="309"/>
      <c r="CA38" s="309"/>
      <c r="CB38" s="316"/>
    </row>
    <row r="39" spans="69:80" hidden="1" x14ac:dyDescent="0.2">
      <c r="BQ39" s="307"/>
      <c r="BR39" s="309"/>
      <c r="BS39" s="309"/>
      <c r="BT39" s="309"/>
      <c r="BU39" s="309"/>
      <c r="BV39" s="309"/>
      <c r="BW39" s="309"/>
      <c r="BX39" s="309"/>
      <c r="BY39" s="309"/>
      <c r="BZ39" s="309"/>
      <c r="CA39" s="318" t="s">
        <v>308</v>
      </c>
      <c r="CB39" s="319">
        <f>(CB37-CB33)/CB33</f>
        <v>1.407170954548847E-2</v>
      </c>
    </row>
    <row r="40" spans="69:80" hidden="1" x14ac:dyDescent="0.2">
      <c r="BQ40" s="320"/>
      <c r="BR40" s="321"/>
      <c r="BS40" s="321"/>
      <c r="BT40" s="321"/>
      <c r="BU40" s="321"/>
      <c r="BV40" s="321"/>
      <c r="BW40" s="321"/>
      <c r="BX40" s="321"/>
      <c r="BY40" s="321"/>
      <c r="BZ40" s="321"/>
      <c r="CA40" s="321"/>
      <c r="CB40" s="322"/>
    </row>
    <row r="41" spans="69:80" hidden="1" x14ac:dyDescent="0.2"/>
    <row r="42" spans="69:80" hidden="1" x14ac:dyDescent="0.2"/>
    <row r="43" spans="69:80" hidden="1" x14ac:dyDescent="0.2"/>
    <row r="44" spans="69:80" hidden="1" x14ac:dyDescent="0.2"/>
  </sheetData>
  <mergeCells count="2">
    <mergeCell ref="BQ20:BS20"/>
    <mergeCell ref="BQ35:BS35"/>
  </mergeCells>
  <pageMargins left="0.25" right="0.2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98"/>
  <sheetViews>
    <sheetView topLeftCell="D22" zoomScale="50" zoomScaleNormal="50" workbookViewId="0">
      <pane activePane="bottomRight" state="frozen"/>
      <selection activeCell="S36" sqref="S36"/>
    </sheetView>
  </sheetViews>
  <sheetFormatPr defaultColWidth="8.75" defaultRowHeight="18.75" x14ac:dyDescent="0.3"/>
  <cols>
    <col min="1" max="1" width="4.75" style="323" customWidth="1"/>
    <col min="2" max="2" width="46.75" style="323" customWidth="1"/>
    <col min="3" max="3" width="10.5" style="324" customWidth="1"/>
    <col min="4" max="4" width="75.25" style="323" customWidth="1"/>
    <col min="5" max="5" width="4.75" style="323" customWidth="1"/>
    <col min="6" max="6" width="35.5" style="325" customWidth="1"/>
    <col min="7" max="7" width="5.125" style="325" bestFit="1" customWidth="1"/>
    <col min="8" max="8" width="21.125" style="325" bestFit="1" customWidth="1"/>
    <col min="9" max="9" width="18.625" style="326" customWidth="1"/>
    <col min="10" max="10" width="17.25" style="325" bestFit="1" customWidth="1"/>
    <col min="11" max="11" width="8.25" style="325" customWidth="1"/>
    <col min="12" max="12" width="35.375" style="325" customWidth="1"/>
    <col min="13" max="13" width="5.125" style="325" bestFit="1" customWidth="1"/>
    <col min="14" max="14" width="20.625" style="325" customWidth="1"/>
    <col min="15" max="15" width="17.5" style="326" customWidth="1"/>
    <col min="16" max="16" width="17.875" style="325" bestFit="1" customWidth="1"/>
    <col min="17" max="17" width="11.625" style="327" customWidth="1"/>
    <col min="18" max="18" width="11.75" style="328" customWidth="1"/>
    <col min="19" max="19" width="16.25" style="329" customWidth="1"/>
    <col min="20" max="20" width="23.75" style="329" customWidth="1"/>
    <col min="21" max="21" width="24.875" style="323" customWidth="1"/>
    <col min="22" max="16384" width="8.75" style="323"/>
  </cols>
  <sheetData>
    <row r="1" spans="1:20" ht="18" customHeight="1" x14ac:dyDescent="0.3"/>
    <row r="2" spans="1:20" ht="21" customHeight="1" thickBot="1" x14ac:dyDescent="0.35">
      <c r="A2" s="330"/>
      <c r="B2" s="330"/>
      <c r="C2" s="331"/>
      <c r="D2" s="330"/>
      <c r="E2" s="330"/>
    </row>
    <row r="3" spans="1:20" ht="23.25" customHeight="1" thickBot="1" x14ac:dyDescent="0.35">
      <c r="A3" s="330"/>
      <c r="B3" s="733" t="s">
        <v>313</v>
      </c>
      <c r="C3" s="734"/>
      <c r="D3" s="735"/>
      <c r="E3" s="332"/>
      <c r="F3" s="730" t="s">
        <v>314</v>
      </c>
      <c r="G3" s="731"/>
      <c r="H3" s="731"/>
      <c r="I3" s="731"/>
      <c r="J3" s="732"/>
      <c r="L3" s="730" t="s">
        <v>315</v>
      </c>
      <c r="M3" s="731"/>
      <c r="N3" s="731"/>
      <c r="O3" s="731"/>
      <c r="P3" s="732"/>
    </row>
    <row r="4" spans="1:20" s="345" customFormat="1" ht="18.75" customHeight="1" x14ac:dyDescent="0.2">
      <c r="A4" s="333"/>
      <c r="B4" s="736" t="s">
        <v>316</v>
      </c>
      <c r="C4" s="737"/>
      <c r="D4" s="334" t="s">
        <v>317</v>
      </c>
      <c r="E4" s="335"/>
      <c r="F4" s="336" t="s">
        <v>318</v>
      </c>
      <c r="G4" s="337">
        <v>154</v>
      </c>
      <c r="H4" s="338"/>
      <c r="I4" s="339" t="s">
        <v>319</v>
      </c>
      <c r="J4" s="340">
        <f>G4*G5</f>
        <v>41888</v>
      </c>
      <c r="K4" s="341"/>
      <c r="L4" s="336" t="s">
        <v>318</v>
      </c>
      <c r="M4" s="337">
        <v>158</v>
      </c>
      <c r="N4" s="338"/>
      <c r="O4" s="339" t="s">
        <v>319</v>
      </c>
      <c r="P4" s="340">
        <f>M5*M4</f>
        <v>42976</v>
      </c>
      <c r="Q4" s="342"/>
      <c r="R4" s="343"/>
      <c r="S4" s="344"/>
      <c r="T4" s="344"/>
    </row>
    <row r="5" spans="1:20" x14ac:dyDescent="0.3">
      <c r="A5" s="330"/>
      <c r="B5" s="346" t="s">
        <v>320</v>
      </c>
      <c r="C5" s="347">
        <v>69600</v>
      </c>
      <c r="D5" s="348" t="s">
        <v>321</v>
      </c>
      <c r="E5" s="349"/>
      <c r="F5" s="350" t="s">
        <v>322</v>
      </c>
      <c r="G5" s="351">
        <v>272</v>
      </c>
      <c r="H5" s="352"/>
      <c r="I5" s="353"/>
      <c r="J5" s="354"/>
      <c r="L5" s="350" t="s">
        <v>322</v>
      </c>
      <c r="M5" s="351">
        <v>272</v>
      </c>
      <c r="N5" s="352"/>
      <c r="O5" s="353"/>
      <c r="P5" s="354"/>
    </row>
    <row r="6" spans="1:20" ht="15" customHeight="1" x14ac:dyDescent="0.3">
      <c r="A6" s="330"/>
      <c r="B6" s="346" t="s">
        <v>323</v>
      </c>
      <c r="C6" s="347">
        <v>69600</v>
      </c>
      <c r="D6" s="348" t="s">
        <v>321</v>
      </c>
      <c r="E6" s="349"/>
      <c r="F6" s="355"/>
      <c r="G6" s="356"/>
      <c r="H6" s="357" t="s">
        <v>85</v>
      </c>
      <c r="I6" s="357" t="s">
        <v>86</v>
      </c>
      <c r="J6" s="358" t="s">
        <v>87</v>
      </c>
      <c r="L6" s="355"/>
      <c r="M6" s="356"/>
      <c r="N6" s="357" t="s">
        <v>85</v>
      </c>
      <c r="O6" s="357" t="s">
        <v>86</v>
      </c>
      <c r="P6" s="358" t="s">
        <v>87</v>
      </c>
    </row>
    <row r="7" spans="1:20" ht="15.75" customHeight="1" x14ac:dyDescent="0.3">
      <c r="A7" s="330"/>
      <c r="B7" s="346" t="s">
        <v>324</v>
      </c>
      <c r="C7" s="347">
        <v>84385.600000000006</v>
      </c>
      <c r="D7" s="348" t="s">
        <v>321</v>
      </c>
      <c r="E7" s="359"/>
      <c r="F7" s="360" t="s">
        <v>325</v>
      </c>
      <c r="G7" s="361"/>
      <c r="H7" s="362"/>
      <c r="I7" s="362"/>
      <c r="J7" s="363"/>
      <c r="L7" s="360" t="s">
        <v>325</v>
      </c>
      <c r="M7" s="361"/>
      <c r="N7" s="362"/>
      <c r="O7" s="362"/>
      <c r="P7" s="363"/>
    </row>
    <row r="8" spans="1:20" ht="17.25" customHeight="1" x14ac:dyDescent="0.3">
      <c r="A8" s="330"/>
      <c r="B8" s="346" t="s">
        <v>326</v>
      </c>
      <c r="C8" s="347">
        <v>45375.199999999997</v>
      </c>
      <c r="D8" s="364" t="s">
        <v>327</v>
      </c>
      <c r="E8" s="359"/>
      <c r="F8" s="365" t="str">
        <f>B5</f>
        <v>Regional Management Oversight</v>
      </c>
      <c r="G8" s="361"/>
      <c r="H8" s="366">
        <f>C5</f>
        <v>69600</v>
      </c>
      <c r="I8" s="367">
        <f>C12</f>
        <v>0.15</v>
      </c>
      <c r="J8" s="368">
        <f>H8*I8</f>
        <v>10440</v>
      </c>
      <c r="L8" s="365" t="s">
        <v>320</v>
      </c>
      <c r="M8" s="361"/>
      <c r="N8" s="366">
        <f>H8</f>
        <v>69600</v>
      </c>
      <c r="O8" s="367">
        <f>I8</f>
        <v>0.15</v>
      </c>
      <c r="P8" s="368">
        <f>N8*O8</f>
        <v>10440</v>
      </c>
    </row>
    <row r="9" spans="1:20" ht="19.5" customHeight="1" x14ac:dyDescent="0.3">
      <c r="A9" s="330"/>
      <c r="B9" s="346" t="s">
        <v>328</v>
      </c>
      <c r="C9" s="347">
        <v>45210.880000000005</v>
      </c>
      <c r="D9" s="348" t="s">
        <v>321</v>
      </c>
      <c r="E9" s="349"/>
      <c r="F9" s="365" t="str">
        <f>B6</f>
        <v>Regional Manager</v>
      </c>
      <c r="G9" s="352"/>
      <c r="H9" s="366">
        <f>C6</f>
        <v>69600</v>
      </c>
      <c r="I9" s="367">
        <f>C13</f>
        <v>1</v>
      </c>
      <c r="J9" s="368">
        <f>H9*I9</f>
        <v>69600</v>
      </c>
      <c r="L9" s="365" t="s">
        <v>323</v>
      </c>
      <c r="M9" s="352"/>
      <c r="N9" s="366">
        <f t="shared" ref="N9:O11" si="0">H9</f>
        <v>69600</v>
      </c>
      <c r="O9" s="367">
        <f t="shared" si="0"/>
        <v>1</v>
      </c>
      <c r="P9" s="368">
        <f>N9*O9</f>
        <v>69600</v>
      </c>
    </row>
    <row r="10" spans="1:20" ht="17.25" customHeight="1" x14ac:dyDescent="0.3">
      <c r="A10" s="330"/>
      <c r="B10" s="369"/>
      <c r="C10" s="370" t="s">
        <v>329</v>
      </c>
      <c r="D10" s="371"/>
      <c r="E10" s="349"/>
      <c r="F10" s="372" t="str">
        <f>B7</f>
        <v xml:space="preserve">Community Clinical Coordinator (Clinical Director) </v>
      </c>
      <c r="G10" s="352"/>
      <c r="H10" s="366">
        <f>C7</f>
        <v>84385.600000000006</v>
      </c>
      <c r="I10" s="367">
        <f>C14</f>
        <v>1</v>
      </c>
      <c r="J10" s="368">
        <f>H10*I10</f>
        <v>84385.600000000006</v>
      </c>
      <c r="L10" s="372" t="s">
        <v>324</v>
      </c>
      <c r="M10" s="352"/>
      <c r="N10" s="366">
        <f t="shared" si="0"/>
        <v>84385.600000000006</v>
      </c>
      <c r="O10" s="367">
        <f t="shared" si="0"/>
        <v>1</v>
      </c>
      <c r="P10" s="368">
        <f>N10*O10</f>
        <v>84385.600000000006</v>
      </c>
    </row>
    <row r="11" spans="1:20" x14ac:dyDescent="0.3">
      <c r="A11" s="330"/>
      <c r="B11" s="373" t="s">
        <v>105</v>
      </c>
      <c r="C11" s="374" t="s">
        <v>330</v>
      </c>
      <c r="D11" s="375"/>
      <c r="E11" s="376"/>
      <c r="F11" s="377" t="str">
        <f>B8</f>
        <v xml:space="preserve">Family Engagement Specialist </v>
      </c>
      <c r="G11" s="378"/>
      <c r="H11" s="379">
        <f>'2020 BLS Chart'!C18</f>
        <v>63627.199999999997</v>
      </c>
      <c r="I11" s="380">
        <f>C15</f>
        <v>1</v>
      </c>
      <c r="J11" s="381">
        <f>H11*I11</f>
        <v>63627.199999999997</v>
      </c>
      <c r="L11" s="377" t="s">
        <v>326</v>
      </c>
      <c r="M11" s="378"/>
      <c r="N11" s="379">
        <f t="shared" si="0"/>
        <v>63627.199999999997</v>
      </c>
      <c r="O11" s="380">
        <f t="shared" si="0"/>
        <v>1</v>
      </c>
      <c r="P11" s="381">
        <f>N11*O11</f>
        <v>63627.199999999997</v>
      </c>
    </row>
    <row r="12" spans="1:20" x14ac:dyDescent="0.3">
      <c r="A12" s="330"/>
      <c r="B12" s="346" t="s">
        <v>320</v>
      </c>
      <c r="C12" s="382">
        <v>0.15</v>
      </c>
      <c r="D12" s="364" t="s">
        <v>331</v>
      </c>
      <c r="E12" s="376"/>
      <c r="F12" s="383" t="s">
        <v>332</v>
      </c>
      <c r="G12" s="352"/>
      <c r="H12" s="366"/>
      <c r="I12" s="367"/>
      <c r="J12" s="368"/>
      <c r="L12" s="383" t="s">
        <v>332</v>
      </c>
      <c r="M12" s="352"/>
      <c r="N12" s="366"/>
      <c r="O12" s="367"/>
      <c r="P12" s="368"/>
    </row>
    <row r="13" spans="1:20" ht="19.5" thickBot="1" x14ac:dyDescent="0.35">
      <c r="A13" s="330"/>
      <c r="B13" s="346" t="s">
        <v>323</v>
      </c>
      <c r="C13" s="382">
        <f>[12]RawContractData!BO9</f>
        <v>1</v>
      </c>
      <c r="D13" s="364" t="s">
        <v>331</v>
      </c>
      <c r="E13" s="376"/>
      <c r="F13" s="365" t="s">
        <v>333</v>
      </c>
      <c r="G13" s="352"/>
      <c r="H13" s="366">
        <f>C9</f>
        <v>45210.880000000005</v>
      </c>
      <c r="I13" s="367">
        <v>7</v>
      </c>
      <c r="J13" s="368">
        <f>H13*I13</f>
        <v>316476.16000000003</v>
      </c>
      <c r="L13" s="365" t="s">
        <v>333</v>
      </c>
      <c r="M13" s="352"/>
      <c r="N13" s="366">
        <f>H13</f>
        <v>45210.880000000005</v>
      </c>
      <c r="O13" s="367">
        <v>7</v>
      </c>
      <c r="P13" s="368">
        <f>N13*O13</f>
        <v>316476.16000000003</v>
      </c>
    </row>
    <row r="14" spans="1:20" ht="19.5" thickBot="1" x14ac:dyDescent="0.35">
      <c r="A14" s="330"/>
      <c r="B14" s="346" t="s">
        <v>324</v>
      </c>
      <c r="C14" s="382">
        <v>1</v>
      </c>
      <c r="D14" s="364" t="s">
        <v>331</v>
      </c>
      <c r="E14" s="376"/>
      <c r="F14" s="384" t="s">
        <v>334</v>
      </c>
      <c r="G14" s="385"/>
      <c r="H14" s="385"/>
      <c r="I14" s="386">
        <f>SUM(I8:I13)</f>
        <v>10.15</v>
      </c>
      <c r="J14" s="387">
        <f>SUM(J8:J13)</f>
        <v>544528.96</v>
      </c>
      <c r="L14" s="384" t="s">
        <v>334</v>
      </c>
      <c r="M14" s="385"/>
      <c r="N14" s="385"/>
      <c r="O14" s="386">
        <f>SUM(O8:O13)</f>
        <v>10.15</v>
      </c>
      <c r="P14" s="387">
        <f>SUM(P8:P13)</f>
        <v>544528.96</v>
      </c>
    </row>
    <row r="15" spans="1:20" x14ac:dyDescent="0.3">
      <c r="A15" s="330"/>
      <c r="B15" s="346" t="s">
        <v>326</v>
      </c>
      <c r="C15" s="382">
        <v>1</v>
      </c>
      <c r="D15" s="364" t="s">
        <v>331</v>
      </c>
      <c r="E15" s="349"/>
      <c r="F15" s="350"/>
      <c r="G15" s="352"/>
      <c r="H15" s="352"/>
      <c r="I15" s="362"/>
      <c r="J15" s="368"/>
      <c r="L15" s="350"/>
      <c r="M15" s="352"/>
      <c r="N15" s="352"/>
      <c r="O15" s="362"/>
      <c r="P15" s="368"/>
    </row>
    <row r="16" spans="1:20" ht="17.25" customHeight="1" thickBot="1" x14ac:dyDescent="0.35">
      <c r="A16" s="330"/>
      <c r="B16" s="388" t="s">
        <v>335</v>
      </c>
      <c r="C16" s="389">
        <v>1</v>
      </c>
      <c r="D16" s="390" t="s">
        <v>331</v>
      </c>
      <c r="E16" s="376"/>
      <c r="F16" s="391" t="s">
        <v>336</v>
      </c>
      <c r="G16" s="392"/>
      <c r="H16" s="393">
        <v>0.224</v>
      </c>
      <c r="I16" s="394"/>
      <c r="J16" s="395">
        <f>H16*J14</f>
        <v>121974.48703999999</v>
      </c>
      <c r="L16" s="391" t="s">
        <v>336</v>
      </c>
      <c r="M16" s="392"/>
      <c r="N16" s="393">
        <f>H16</f>
        <v>0.224</v>
      </c>
      <c r="O16" s="394"/>
      <c r="P16" s="395">
        <f>N16*P14</f>
        <v>121974.48703999999</v>
      </c>
    </row>
    <row r="17" spans="1:20" s="324" customFormat="1" ht="20.25" thickTop="1" thickBot="1" x14ac:dyDescent="0.35">
      <c r="A17" s="330"/>
      <c r="B17" s="396" t="s">
        <v>337</v>
      </c>
      <c r="C17" s="397"/>
      <c r="D17" s="398"/>
      <c r="E17" s="349"/>
      <c r="F17" s="399" t="s">
        <v>102</v>
      </c>
      <c r="G17" s="400"/>
      <c r="H17" s="400"/>
      <c r="I17" s="401"/>
      <c r="J17" s="402">
        <f>SUM(J14:J16)</f>
        <v>666503.44704</v>
      </c>
      <c r="K17" s="325"/>
      <c r="L17" s="399" t="s">
        <v>102</v>
      </c>
      <c r="M17" s="400"/>
      <c r="N17" s="400"/>
      <c r="O17" s="401"/>
      <c r="P17" s="402">
        <f>SUM(P14:P16)</f>
        <v>666503.44704</v>
      </c>
      <c r="Q17" s="327"/>
      <c r="R17" s="328"/>
      <c r="S17" s="329"/>
      <c r="T17" s="329"/>
    </row>
    <row r="18" spans="1:20" s="324" customFormat="1" ht="19.5" thickTop="1" x14ac:dyDescent="0.3">
      <c r="A18" s="330"/>
      <c r="B18" s="403" t="s">
        <v>338</v>
      </c>
      <c r="C18" s="404">
        <v>11.504530000000001</v>
      </c>
      <c r="D18" s="364" t="s">
        <v>339</v>
      </c>
      <c r="E18" s="376"/>
      <c r="F18" s="405" t="s">
        <v>104</v>
      </c>
      <c r="G18" s="361"/>
      <c r="H18" s="361"/>
      <c r="I18" s="406"/>
      <c r="J18" s="407">
        <f>J4*C18</f>
        <v>481901.75264000002</v>
      </c>
      <c r="K18" s="325"/>
      <c r="L18" s="405" t="s">
        <v>104</v>
      </c>
      <c r="M18" s="361"/>
      <c r="N18" s="361"/>
      <c r="O18" s="406"/>
      <c r="P18" s="407">
        <f>P4*C19</f>
        <v>181578.54224000004</v>
      </c>
      <c r="Q18" s="327"/>
      <c r="R18" s="328"/>
      <c r="S18" s="329"/>
      <c r="T18" s="329"/>
    </row>
    <row r="19" spans="1:20" s="324" customFormat="1" x14ac:dyDescent="0.3">
      <c r="A19" s="330"/>
      <c r="B19" s="403" t="s">
        <v>340</v>
      </c>
      <c r="C19" s="404">
        <v>4.2251150000000006</v>
      </c>
      <c r="D19" s="364" t="s">
        <v>339</v>
      </c>
      <c r="E19" s="376"/>
      <c r="F19" s="405" t="s">
        <v>341</v>
      </c>
      <c r="G19" s="352"/>
      <c r="H19" s="352"/>
      <c r="I19" s="408"/>
      <c r="J19" s="409">
        <f>C24*I14</f>
        <v>6173.9457609480005</v>
      </c>
      <c r="K19" s="325"/>
      <c r="L19" s="405" t="s">
        <v>341</v>
      </c>
      <c r="M19" s="352"/>
      <c r="N19" s="352"/>
      <c r="O19" s="408"/>
      <c r="P19" s="409">
        <f>J19</f>
        <v>6173.9457609480005</v>
      </c>
      <c r="Q19" s="327"/>
      <c r="R19" s="328"/>
      <c r="S19" s="329"/>
      <c r="T19" s="329"/>
    </row>
    <row r="20" spans="1:20" s="324" customFormat="1" ht="17.25" customHeight="1" x14ac:dyDescent="0.3">
      <c r="A20" s="330"/>
      <c r="B20" s="403" t="s">
        <v>342</v>
      </c>
      <c r="C20" s="404">
        <v>6.2613150000000006</v>
      </c>
      <c r="D20" s="364" t="s">
        <v>339</v>
      </c>
      <c r="E20" s="376"/>
      <c r="F20" s="405" t="s">
        <v>343</v>
      </c>
      <c r="G20" s="352"/>
      <c r="H20" s="352"/>
      <c r="I20" s="408"/>
      <c r="J20" s="409">
        <f>C25*12</f>
        <v>15499.852639123572</v>
      </c>
      <c r="K20" s="325"/>
      <c r="L20" s="405" t="s">
        <v>343</v>
      </c>
      <c r="M20" s="352"/>
      <c r="N20" s="352"/>
      <c r="O20" s="408"/>
      <c r="P20" s="409">
        <f t="shared" ref="P20:P24" si="1">J20</f>
        <v>15499.852639123572</v>
      </c>
      <c r="Q20" s="327"/>
      <c r="R20" s="328"/>
      <c r="S20" s="329"/>
      <c r="T20" s="329"/>
    </row>
    <row r="21" spans="1:20" s="324" customFormat="1" x14ac:dyDescent="0.3">
      <c r="A21" s="330"/>
      <c r="B21" s="403" t="s">
        <v>344</v>
      </c>
      <c r="C21" s="404">
        <v>2.6674220000000002</v>
      </c>
      <c r="D21" s="364" t="s">
        <v>339</v>
      </c>
      <c r="E21" s="376"/>
      <c r="F21" s="405" t="s">
        <v>345</v>
      </c>
      <c r="G21" s="352"/>
      <c r="H21" s="352"/>
      <c r="I21" s="410"/>
      <c r="J21" s="368">
        <f>C26*3</f>
        <v>36805.039724304006</v>
      </c>
      <c r="K21" s="325"/>
      <c r="L21" s="405" t="s">
        <v>345</v>
      </c>
      <c r="M21" s="352"/>
      <c r="N21" s="352"/>
      <c r="O21" s="410"/>
      <c r="P21" s="409">
        <f t="shared" si="1"/>
        <v>36805.039724304006</v>
      </c>
      <c r="Q21" s="327"/>
      <c r="R21" s="328"/>
      <c r="S21" s="329"/>
      <c r="T21" s="329"/>
    </row>
    <row r="22" spans="1:20" s="324" customFormat="1" ht="17.25" customHeight="1" x14ac:dyDescent="0.3">
      <c r="A22" s="330"/>
      <c r="B22" s="403" t="s">
        <v>346</v>
      </c>
      <c r="C22" s="404">
        <v>17.602410302928003</v>
      </c>
      <c r="D22" s="364" t="s">
        <v>339</v>
      </c>
      <c r="E22" s="376"/>
      <c r="F22" s="405" t="s">
        <v>347</v>
      </c>
      <c r="G22" s="352"/>
      <c r="H22" s="352"/>
      <c r="I22" s="410"/>
      <c r="J22" s="368">
        <f>C27*G4</f>
        <v>34251.192425284571</v>
      </c>
      <c r="K22" s="325"/>
      <c r="L22" s="405" t="s">
        <v>347</v>
      </c>
      <c r="M22" s="352"/>
      <c r="N22" s="352"/>
      <c r="O22" s="410"/>
      <c r="P22" s="409">
        <f t="shared" si="1"/>
        <v>34251.192425284571</v>
      </c>
      <c r="Q22" s="327"/>
      <c r="R22" s="328"/>
      <c r="S22" s="329"/>
      <c r="T22" s="329"/>
    </row>
    <row r="23" spans="1:20" s="324" customFormat="1" ht="18.75" customHeight="1" x14ac:dyDescent="0.3">
      <c r="A23" s="330"/>
      <c r="B23" s="411" t="s">
        <v>101</v>
      </c>
      <c r="C23" s="412">
        <v>0.12</v>
      </c>
      <c r="D23" s="348" t="s">
        <v>63</v>
      </c>
      <c r="E23" s="349"/>
      <c r="F23" s="405" t="s">
        <v>348</v>
      </c>
      <c r="G23" s="352"/>
      <c r="H23" s="352"/>
      <c r="I23" s="410"/>
      <c r="J23" s="368">
        <f>C28*G4</f>
        <v>17250.362096869445</v>
      </c>
      <c r="K23" s="325"/>
      <c r="L23" s="405" t="s">
        <v>348</v>
      </c>
      <c r="M23" s="352"/>
      <c r="N23" s="352"/>
      <c r="O23" s="410"/>
      <c r="P23" s="409">
        <f t="shared" si="1"/>
        <v>17250.362096869445</v>
      </c>
      <c r="Q23" s="327"/>
      <c r="R23" s="328"/>
      <c r="S23" s="329"/>
      <c r="T23" s="329"/>
    </row>
    <row r="24" spans="1:20" s="324" customFormat="1" ht="19.5" thickBot="1" x14ac:dyDescent="0.35">
      <c r="A24" s="330"/>
      <c r="B24" s="403" t="s">
        <v>341</v>
      </c>
      <c r="C24" s="413">
        <v>608.27051832000006</v>
      </c>
      <c r="D24" s="414" t="s">
        <v>349</v>
      </c>
      <c r="E24" s="376"/>
      <c r="F24" s="391" t="s">
        <v>350</v>
      </c>
      <c r="G24" s="392"/>
      <c r="H24" s="392"/>
      <c r="I24" s="415"/>
      <c r="J24" s="416">
        <f>C29*G4</f>
        <v>86251.81048434721</v>
      </c>
      <c r="K24" s="325"/>
      <c r="L24" s="391" t="s">
        <v>350</v>
      </c>
      <c r="M24" s="392"/>
      <c r="N24" s="392"/>
      <c r="O24" s="415"/>
      <c r="P24" s="416">
        <f t="shared" si="1"/>
        <v>86251.81048434721</v>
      </c>
      <c r="Q24" s="327"/>
      <c r="R24" s="328"/>
      <c r="S24" s="329"/>
      <c r="T24" s="329"/>
    </row>
    <row r="25" spans="1:20" s="324" customFormat="1" ht="20.25" thickTop="1" thickBot="1" x14ac:dyDescent="0.35">
      <c r="A25" s="330"/>
      <c r="B25" s="403" t="s">
        <v>351</v>
      </c>
      <c r="C25" s="413">
        <v>1291.654386593631</v>
      </c>
      <c r="D25" s="414" t="s">
        <v>352</v>
      </c>
      <c r="E25" s="376"/>
      <c r="F25" s="399" t="s">
        <v>353</v>
      </c>
      <c r="G25" s="400"/>
      <c r="H25" s="400"/>
      <c r="I25" s="417"/>
      <c r="J25" s="402">
        <f>SUM(J17:J24)</f>
        <v>1344637.4028108767</v>
      </c>
      <c r="K25" s="325"/>
      <c r="L25" s="399" t="s">
        <v>353</v>
      </c>
      <c r="M25" s="400"/>
      <c r="N25" s="400"/>
      <c r="O25" s="417"/>
      <c r="P25" s="402">
        <f>SUM(P17:P24)</f>
        <v>1044314.1924108767</v>
      </c>
      <c r="Q25" s="327"/>
      <c r="R25" s="328"/>
      <c r="S25" s="329"/>
      <c r="T25" s="329"/>
    </row>
    <row r="26" spans="1:20" s="324" customFormat="1" ht="19.5" thickTop="1" x14ac:dyDescent="0.3">
      <c r="A26" s="330"/>
      <c r="B26" s="403" t="s">
        <v>345</v>
      </c>
      <c r="C26" s="413">
        <v>12268.346574768002</v>
      </c>
      <c r="D26" s="414" t="s">
        <v>354</v>
      </c>
      <c r="E26" s="330"/>
      <c r="F26" s="405"/>
      <c r="G26" s="352"/>
      <c r="H26" s="352"/>
      <c r="I26" s="353"/>
      <c r="J26" s="368"/>
      <c r="K26" s="325"/>
      <c r="L26" s="405"/>
      <c r="M26" s="352"/>
      <c r="N26" s="352"/>
      <c r="O26" s="353"/>
      <c r="P26" s="368"/>
      <c r="Q26" s="327"/>
      <c r="R26" s="328"/>
      <c r="S26" s="329"/>
      <c r="T26" s="329"/>
    </row>
    <row r="27" spans="1:20" s="324" customFormat="1" x14ac:dyDescent="0.3">
      <c r="A27" s="330"/>
      <c r="B27" s="403" t="s">
        <v>355</v>
      </c>
      <c r="C27" s="413">
        <v>222.41034042392579</v>
      </c>
      <c r="D27" s="414" t="s">
        <v>356</v>
      </c>
      <c r="E27" s="330"/>
      <c r="F27" s="405" t="s">
        <v>357</v>
      </c>
      <c r="G27" s="352"/>
      <c r="H27" s="418">
        <f>C31</f>
        <v>0.12</v>
      </c>
      <c r="I27" s="353"/>
      <c r="J27" s="368">
        <f>H27*J25</f>
        <v>161356.4883373052</v>
      </c>
      <c r="K27" s="325"/>
      <c r="L27" s="405" t="s">
        <v>357</v>
      </c>
      <c r="M27" s="352"/>
      <c r="N27" s="418">
        <f>H27</f>
        <v>0.12</v>
      </c>
      <c r="O27" s="353"/>
      <c r="P27" s="368">
        <f>N27*P25</f>
        <v>125317.7030893052</v>
      </c>
      <c r="Q27" s="327"/>
      <c r="R27" s="328"/>
      <c r="S27" s="329"/>
      <c r="T27" s="329"/>
    </row>
    <row r="28" spans="1:20" s="324" customFormat="1" ht="17.25" customHeight="1" thickBot="1" x14ac:dyDescent="0.35">
      <c r="A28" s="330"/>
      <c r="B28" s="403" t="s">
        <v>358</v>
      </c>
      <c r="C28" s="413">
        <v>112.01533829136002</v>
      </c>
      <c r="D28" s="414" t="s">
        <v>356</v>
      </c>
      <c r="E28" s="330"/>
      <c r="F28" s="405" t="str">
        <f>B30</f>
        <v>PFMLA Trust Contribution</v>
      </c>
      <c r="G28" s="352"/>
      <c r="H28" s="418">
        <f>C30</f>
        <v>3.7000000000000002E-3</v>
      </c>
      <c r="I28" s="353"/>
      <c r="J28" s="368">
        <f>J14*H28</f>
        <v>2014.7571519999999</v>
      </c>
      <c r="K28" s="325"/>
      <c r="L28" s="405" t="s">
        <v>125</v>
      </c>
      <c r="M28" s="352"/>
      <c r="N28" s="418">
        <f>H28</f>
        <v>3.7000000000000002E-3</v>
      </c>
      <c r="O28" s="353"/>
      <c r="P28" s="368">
        <f>N28*P14</f>
        <v>2014.7571519999999</v>
      </c>
      <c r="Q28" s="327"/>
      <c r="R28" s="328"/>
      <c r="S28" s="329"/>
      <c r="T28" s="329"/>
    </row>
    <row r="29" spans="1:20" s="324" customFormat="1" ht="19.5" thickBot="1" x14ac:dyDescent="0.35">
      <c r="A29" s="330"/>
      <c r="B29" s="403" t="s">
        <v>359</v>
      </c>
      <c r="C29" s="413">
        <v>560.07669145680006</v>
      </c>
      <c r="D29" s="414" t="s">
        <v>356</v>
      </c>
      <c r="E29" s="330"/>
      <c r="F29" s="384" t="s">
        <v>112</v>
      </c>
      <c r="G29" s="419"/>
      <c r="H29" s="419"/>
      <c r="I29" s="420"/>
      <c r="J29" s="387">
        <f>SUM(J25:J28)</f>
        <v>1508008.6483001818</v>
      </c>
      <c r="K29" s="325"/>
      <c r="L29" s="384" t="s">
        <v>112</v>
      </c>
      <c r="M29" s="419"/>
      <c r="N29" s="419"/>
      <c r="O29" s="420"/>
      <c r="P29" s="387">
        <f>SUM(P25:P28)</f>
        <v>1171646.6526521819</v>
      </c>
      <c r="Q29" s="327"/>
      <c r="R29" s="328"/>
      <c r="S29" s="329"/>
      <c r="T29" s="329"/>
    </row>
    <row r="30" spans="1:20" s="324" customFormat="1" ht="15" customHeight="1" x14ac:dyDescent="0.3">
      <c r="A30" s="330"/>
      <c r="B30" s="403" t="s">
        <v>125</v>
      </c>
      <c r="C30" s="421">
        <v>3.7000000000000002E-3</v>
      </c>
      <c r="D30" s="414" t="s">
        <v>360</v>
      </c>
      <c r="E30" s="330"/>
      <c r="F30" s="422"/>
      <c r="G30" s="423"/>
      <c r="H30" s="423"/>
      <c r="I30" s="424"/>
      <c r="J30" s="425"/>
      <c r="K30" s="325"/>
      <c r="L30" s="422"/>
      <c r="M30" s="423"/>
      <c r="N30" s="423"/>
      <c r="O30" s="424"/>
      <c r="P30" s="425"/>
      <c r="Q30" s="327"/>
      <c r="R30" s="328"/>
      <c r="S30" s="329"/>
      <c r="T30" s="329"/>
    </row>
    <row r="31" spans="1:20" s="324" customFormat="1" ht="19.5" thickBot="1" x14ac:dyDescent="0.35">
      <c r="A31" s="330"/>
      <c r="B31" s="403" t="s">
        <v>357</v>
      </c>
      <c r="C31" s="412">
        <v>0.12</v>
      </c>
      <c r="D31" s="348" t="s">
        <v>63</v>
      </c>
      <c r="E31" s="330"/>
      <c r="F31" s="405" t="s">
        <v>308</v>
      </c>
      <c r="G31" s="352"/>
      <c r="H31" s="418">
        <f>C32</f>
        <v>1.0633805350099574E-2</v>
      </c>
      <c r="I31" s="353"/>
      <c r="J31" s="426">
        <f>J29*(1+H31)</f>
        <v>1524044.5187324728</v>
      </c>
      <c r="K31" s="325"/>
      <c r="L31" s="405" t="s">
        <v>308</v>
      </c>
      <c r="M31" s="352"/>
      <c r="N31" s="418">
        <f>H31</f>
        <v>1.0633805350099574E-2</v>
      </c>
      <c r="O31" s="353"/>
      <c r="P31" s="426">
        <f>P29*(1+N31)</f>
        <v>1184105.715095581</v>
      </c>
      <c r="Q31" s="327"/>
      <c r="R31" s="328"/>
      <c r="S31" s="329"/>
      <c r="T31" s="329"/>
    </row>
    <row r="32" spans="1:20" s="324" customFormat="1" ht="19.5" thickBot="1" x14ac:dyDescent="0.35">
      <c r="A32" s="330"/>
      <c r="B32" s="427" t="s">
        <v>364</v>
      </c>
      <c r="C32" s="435">
        <f>'[13]CAF Spring 2021'!CB24</f>
        <v>1.0633805350099574E-2</v>
      </c>
      <c r="D32" s="428" t="s">
        <v>365</v>
      </c>
      <c r="E32" s="330"/>
      <c r="F32" s="405"/>
      <c r="G32" s="352"/>
      <c r="H32" s="352"/>
      <c r="I32" s="353"/>
      <c r="J32" s="429" t="s">
        <v>361</v>
      </c>
      <c r="K32" s="325"/>
      <c r="L32" s="405"/>
      <c r="M32" s="352"/>
      <c r="N32" s="352"/>
      <c r="O32" s="353"/>
      <c r="P32" s="429" t="s">
        <v>362</v>
      </c>
      <c r="Q32" s="327"/>
      <c r="R32" s="328"/>
      <c r="S32" s="329"/>
      <c r="T32" s="329"/>
    </row>
    <row r="33" spans="1:20" ht="19.5" thickBot="1" x14ac:dyDescent="0.35">
      <c r="A33" s="330"/>
      <c r="B33" s="442"/>
      <c r="C33" s="443"/>
      <c r="D33" s="330"/>
      <c r="E33" s="330"/>
      <c r="F33" s="430" t="s">
        <v>363</v>
      </c>
      <c r="G33" s="431"/>
      <c r="H33" s="431"/>
      <c r="I33" s="432"/>
      <c r="J33" s="433">
        <f>J31/J4</f>
        <v>36.38379771611136</v>
      </c>
      <c r="K33" s="434"/>
      <c r="L33" s="430" t="s">
        <v>363</v>
      </c>
      <c r="M33" s="431"/>
      <c r="N33" s="431"/>
      <c r="O33" s="432"/>
      <c r="P33" s="433">
        <f>P31/P4</f>
        <v>27.552720474115343</v>
      </c>
    </row>
    <row r="34" spans="1:20" ht="19.5" thickBot="1" x14ac:dyDescent="0.35">
      <c r="A34" s="330"/>
      <c r="B34" s="444"/>
      <c r="C34" s="445"/>
      <c r="D34" s="330"/>
      <c r="E34" s="330"/>
      <c r="H34" s="436"/>
      <c r="I34" s="437"/>
      <c r="J34" s="438"/>
      <c r="K34" s="439"/>
      <c r="N34" s="436"/>
      <c r="O34" s="437"/>
      <c r="P34" s="440"/>
      <c r="Q34" s="441"/>
    </row>
    <row r="35" spans="1:20" ht="23.25" customHeight="1" thickBot="1" x14ac:dyDescent="0.35">
      <c r="A35" s="330"/>
      <c r="B35" s="330"/>
      <c r="C35" s="331"/>
      <c r="D35" s="330"/>
      <c r="E35" s="332"/>
      <c r="F35" s="730" t="s">
        <v>366</v>
      </c>
      <c r="G35" s="731"/>
      <c r="H35" s="731"/>
      <c r="I35" s="731"/>
      <c r="J35" s="732"/>
      <c r="L35" s="730" t="s">
        <v>367</v>
      </c>
      <c r="M35" s="731"/>
      <c r="N35" s="731"/>
      <c r="O35" s="731"/>
      <c r="P35" s="732"/>
    </row>
    <row r="36" spans="1:20" s="345" customFormat="1" ht="18.75" customHeight="1" x14ac:dyDescent="0.25">
      <c r="A36" s="333"/>
      <c r="B36" s="330"/>
      <c r="C36" s="331"/>
      <c r="D36" s="330"/>
      <c r="E36" s="335"/>
      <c r="F36" s="336" t="s">
        <v>318</v>
      </c>
      <c r="G36" s="337">
        <v>137</v>
      </c>
      <c r="H36" s="338"/>
      <c r="I36" s="339" t="s">
        <v>319</v>
      </c>
      <c r="J36" s="340">
        <f>G37*G36</f>
        <v>37264</v>
      </c>
      <c r="K36" s="341"/>
      <c r="L36" s="336" t="s">
        <v>318</v>
      </c>
      <c r="M36" s="337">
        <v>111</v>
      </c>
      <c r="N36" s="338"/>
      <c r="O36" s="339" t="s">
        <v>319</v>
      </c>
      <c r="P36" s="340">
        <f>M37*M36</f>
        <v>30192</v>
      </c>
      <c r="Q36" s="342"/>
      <c r="R36" s="343"/>
      <c r="S36" s="344"/>
      <c r="T36" s="344"/>
    </row>
    <row r="37" spans="1:20" x14ac:dyDescent="0.3">
      <c r="A37" s="330"/>
      <c r="B37" s="738"/>
      <c r="C37" s="738"/>
      <c r="D37" s="738"/>
      <c r="E37" s="349"/>
      <c r="F37" s="350" t="s">
        <v>322</v>
      </c>
      <c r="G37" s="351">
        <v>272</v>
      </c>
      <c r="H37" s="352"/>
      <c r="I37" s="353"/>
      <c r="J37" s="354"/>
      <c r="L37" s="350" t="s">
        <v>322</v>
      </c>
      <c r="M37" s="351">
        <v>272</v>
      </c>
      <c r="N37" s="352"/>
      <c r="O37" s="353"/>
      <c r="P37" s="354"/>
    </row>
    <row r="38" spans="1:20" ht="15" customHeight="1" x14ac:dyDescent="0.3">
      <c r="A38" s="330"/>
      <c r="B38" s="729"/>
      <c r="C38" s="729"/>
      <c r="D38" s="447"/>
      <c r="E38" s="349"/>
      <c r="F38" s="355"/>
      <c r="G38" s="356"/>
      <c r="H38" s="357" t="s">
        <v>85</v>
      </c>
      <c r="I38" s="357" t="s">
        <v>86</v>
      </c>
      <c r="J38" s="358" t="s">
        <v>87</v>
      </c>
      <c r="L38" s="355"/>
      <c r="M38" s="356"/>
      <c r="N38" s="357" t="s">
        <v>85</v>
      </c>
      <c r="O38" s="357" t="s">
        <v>86</v>
      </c>
      <c r="P38" s="446" t="s">
        <v>87</v>
      </c>
    </row>
    <row r="39" spans="1:20" ht="15.75" customHeight="1" x14ac:dyDescent="0.3">
      <c r="A39" s="330"/>
      <c r="B39" s="448"/>
      <c r="C39" s="347"/>
      <c r="D39" s="449"/>
      <c r="E39" s="359"/>
      <c r="F39" s="360" t="s">
        <v>325</v>
      </c>
      <c r="G39" s="361"/>
      <c r="H39" s="362"/>
      <c r="I39" s="362"/>
      <c r="J39" s="363"/>
      <c r="L39" s="360" t="s">
        <v>325</v>
      </c>
      <c r="M39" s="361"/>
      <c r="N39" s="362"/>
      <c r="O39" s="362"/>
      <c r="P39" s="363"/>
    </row>
    <row r="40" spans="1:20" ht="17.25" customHeight="1" x14ac:dyDescent="0.3">
      <c r="A40" s="330"/>
      <c r="B40" s="448"/>
      <c r="C40" s="347"/>
      <c r="D40" s="449"/>
      <c r="E40" s="359"/>
      <c r="F40" s="365" t="s">
        <v>320</v>
      </c>
      <c r="G40" s="361"/>
      <c r="H40" s="366">
        <f>H8</f>
        <v>69600</v>
      </c>
      <c r="I40" s="367">
        <v>0.15</v>
      </c>
      <c r="J40" s="368">
        <f>I40*H40</f>
        <v>10440</v>
      </c>
      <c r="L40" s="365" t="s">
        <v>320</v>
      </c>
      <c r="M40" s="361"/>
      <c r="N40" s="366">
        <f>H40</f>
        <v>69600</v>
      </c>
      <c r="O40" s="367">
        <v>0.15</v>
      </c>
      <c r="P40" s="409">
        <f>O40*N40</f>
        <v>10440</v>
      </c>
    </row>
    <row r="41" spans="1:20" ht="22.9" customHeight="1" x14ac:dyDescent="0.3">
      <c r="A41" s="330"/>
      <c r="B41" s="448"/>
      <c r="C41" s="347"/>
      <c r="D41" s="449"/>
      <c r="E41" s="349"/>
      <c r="F41" s="365" t="s">
        <v>323</v>
      </c>
      <c r="G41" s="352"/>
      <c r="H41" s="366">
        <f t="shared" ref="H41:H45" si="2">H9</f>
        <v>69600</v>
      </c>
      <c r="I41" s="367">
        <v>1</v>
      </c>
      <c r="J41" s="368">
        <f t="shared" ref="J41:J45" si="3">I41*H41</f>
        <v>69600</v>
      </c>
      <c r="L41" s="365" t="s">
        <v>323</v>
      </c>
      <c r="M41" s="352"/>
      <c r="N41" s="366">
        <f>H41</f>
        <v>69600</v>
      </c>
      <c r="O41" s="367">
        <v>1</v>
      </c>
      <c r="P41" s="409">
        <f t="shared" ref="P41:P45" si="4">O41*N41</f>
        <v>69600</v>
      </c>
    </row>
    <row r="42" spans="1:20" ht="40.9" customHeight="1" x14ac:dyDescent="0.3">
      <c r="A42" s="330"/>
      <c r="B42" s="448"/>
      <c r="C42" s="347"/>
      <c r="D42" s="376"/>
      <c r="E42" s="349"/>
      <c r="F42" s="372" t="s">
        <v>324</v>
      </c>
      <c r="G42" s="352"/>
      <c r="H42" s="366">
        <f t="shared" si="2"/>
        <v>84385.600000000006</v>
      </c>
      <c r="I42" s="367">
        <v>1</v>
      </c>
      <c r="J42" s="368">
        <f t="shared" si="3"/>
        <v>84385.600000000006</v>
      </c>
      <c r="L42" s="372" t="s">
        <v>324</v>
      </c>
      <c r="M42" s="352"/>
      <c r="N42" s="366">
        <f>'2020 BLS Chart'!C20</f>
        <v>84385.600000000006</v>
      </c>
      <c r="O42" s="367">
        <v>1</v>
      </c>
      <c r="P42" s="409">
        <f t="shared" si="4"/>
        <v>84385.600000000006</v>
      </c>
    </row>
    <row r="43" spans="1:20" x14ac:dyDescent="0.3">
      <c r="A43" s="330"/>
      <c r="B43" s="448"/>
      <c r="C43" s="347"/>
      <c r="D43" s="376"/>
      <c r="E43" s="376"/>
      <c r="F43" s="377" t="s">
        <v>326</v>
      </c>
      <c r="G43" s="378"/>
      <c r="H43" s="379">
        <f t="shared" si="2"/>
        <v>63627.199999999997</v>
      </c>
      <c r="I43" s="380">
        <v>1</v>
      </c>
      <c r="J43" s="381">
        <f t="shared" si="3"/>
        <v>63627.199999999997</v>
      </c>
      <c r="L43" s="377" t="s">
        <v>326</v>
      </c>
      <c r="M43" s="378"/>
      <c r="N43" s="379">
        <f>H43</f>
        <v>63627.199999999997</v>
      </c>
      <c r="O43" s="380">
        <v>1</v>
      </c>
      <c r="P43" s="450">
        <f t="shared" si="4"/>
        <v>63627.199999999997</v>
      </c>
    </row>
    <row r="44" spans="1:20" x14ac:dyDescent="0.3">
      <c r="A44" s="330"/>
      <c r="B44" s="451"/>
      <c r="C44" s="452"/>
      <c r="D44" s="376"/>
      <c r="E44" s="376"/>
      <c r="F44" s="383" t="s">
        <v>332</v>
      </c>
      <c r="G44" s="352"/>
      <c r="H44" s="366"/>
      <c r="I44" s="367"/>
      <c r="J44" s="368"/>
      <c r="L44" s="383" t="s">
        <v>332</v>
      </c>
      <c r="M44" s="352"/>
      <c r="N44" s="366"/>
      <c r="O44" s="367"/>
      <c r="P44" s="409"/>
    </row>
    <row r="45" spans="1:20" ht="19.5" thickBot="1" x14ac:dyDescent="0.35">
      <c r="A45" s="330"/>
      <c r="B45" s="453"/>
      <c r="C45" s="454"/>
      <c r="D45" s="376"/>
      <c r="E45" s="376"/>
      <c r="F45" s="365" t="s">
        <v>333</v>
      </c>
      <c r="G45" s="352"/>
      <c r="H45" s="366">
        <f t="shared" si="2"/>
        <v>45210.880000000005</v>
      </c>
      <c r="I45" s="367">
        <v>7</v>
      </c>
      <c r="J45" s="368">
        <f t="shared" si="3"/>
        <v>316476.16000000003</v>
      </c>
      <c r="L45" s="365" t="s">
        <v>333</v>
      </c>
      <c r="M45" s="352"/>
      <c r="N45" s="366">
        <f>H45</f>
        <v>45210.880000000005</v>
      </c>
      <c r="O45" s="367">
        <v>7</v>
      </c>
      <c r="P45" s="409">
        <f t="shared" si="4"/>
        <v>316476.16000000003</v>
      </c>
    </row>
    <row r="46" spans="1:20" ht="19.5" thickBot="1" x14ac:dyDescent="0.35">
      <c r="A46" s="330"/>
      <c r="B46" s="448"/>
      <c r="C46" s="456"/>
      <c r="D46" s="376"/>
      <c r="E46" s="376"/>
      <c r="F46" s="384" t="s">
        <v>334</v>
      </c>
      <c r="G46" s="385"/>
      <c r="H46" s="385"/>
      <c r="I46" s="386">
        <v>10.15</v>
      </c>
      <c r="J46" s="387">
        <f>SUM(J40:J45)</f>
        <v>544528.96</v>
      </c>
      <c r="L46" s="384" t="s">
        <v>334</v>
      </c>
      <c r="M46" s="385"/>
      <c r="N46" s="385"/>
      <c r="O46" s="386">
        <v>10.15</v>
      </c>
      <c r="P46" s="387">
        <f>SUM(P40:P45)</f>
        <v>544528.96</v>
      </c>
    </row>
    <row r="47" spans="1:20" x14ac:dyDescent="0.3">
      <c r="A47" s="330"/>
      <c r="B47" s="448"/>
      <c r="C47" s="456"/>
      <c r="D47" s="376"/>
      <c r="E47" s="349"/>
      <c r="F47" s="350"/>
      <c r="G47" s="352"/>
      <c r="H47" s="352"/>
      <c r="I47" s="362"/>
      <c r="J47" s="368"/>
      <c r="L47" s="350"/>
      <c r="M47" s="352"/>
      <c r="N47" s="352"/>
      <c r="O47" s="362"/>
      <c r="P47" s="354"/>
    </row>
    <row r="48" spans="1:20" ht="17.25" customHeight="1" thickBot="1" x14ac:dyDescent="0.35">
      <c r="A48" s="330"/>
      <c r="B48" s="448"/>
      <c r="C48" s="456"/>
      <c r="D48" s="376"/>
      <c r="E48" s="376"/>
      <c r="F48" s="391" t="s">
        <v>336</v>
      </c>
      <c r="G48" s="392"/>
      <c r="H48" s="393">
        <v>0.224</v>
      </c>
      <c r="I48" s="394"/>
      <c r="J48" s="395">
        <f>J46*H48</f>
        <v>121974.48703999999</v>
      </c>
      <c r="L48" s="391" t="s">
        <v>336</v>
      </c>
      <c r="M48" s="392"/>
      <c r="N48" s="393">
        <v>0.224</v>
      </c>
      <c r="O48" s="394"/>
      <c r="P48" s="455">
        <f>P46*N48</f>
        <v>121974.48703999999</v>
      </c>
    </row>
    <row r="49" spans="1:20" s="324" customFormat="1" ht="20.25" thickTop="1" thickBot="1" x14ac:dyDescent="0.35">
      <c r="A49" s="330"/>
      <c r="B49" s="448"/>
      <c r="C49" s="456"/>
      <c r="D49" s="376"/>
      <c r="E49" s="349"/>
      <c r="F49" s="399" t="s">
        <v>102</v>
      </c>
      <c r="G49" s="400"/>
      <c r="H49" s="400"/>
      <c r="I49" s="401"/>
      <c r="J49" s="402">
        <f>J48+J46</f>
        <v>666503.44704</v>
      </c>
      <c r="K49" s="325"/>
      <c r="L49" s="399" t="s">
        <v>102</v>
      </c>
      <c r="M49" s="400"/>
      <c r="N49" s="400"/>
      <c r="O49" s="401"/>
      <c r="P49" s="457">
        <f>P48+P46</f>
        <v>666503.44704</v>
      </c>
      <c r="Q49" s="327"/>
      <c r="R49" s="328"/>
      <c r="S49" s="329"/>
      <c r="T49" s="329"/>
    </row>
    <row r="50" spans="1:20" s="324" customFormat="1" ht="19.5" thickTop="1" x14ac:dyDescent="0.3">
      <c r="A50" s="330"/>
      <c r="B50" s="448"/>
      <c r="C50" s="456"/>
      <c r="D50" s="376"/>
      <c r="E50" s="376"/>
      <c r="F50" s="405" t="s">
        <v>104</v>
      </c>
      <c r="G50" s="361"/>
      <c r="H50" s="361"/>
      <c r="I50" s="406"/>
      <c r="J50" s="368">
        <f>J36*C20</f>
        <v>233321.64216000002</v>
      </c>
      <c r="K50" s="325"/>
      <c r="L50" s="405" t="s">
        <v>104</v>
      </c>
      <c r="M50" s="361"/>
      <c r="N50" s="361"/>
      <c r="O50" s="406"/>
      <c r="P50" s="458">
        <f>P36*C22</f>
        <v>531451.97186600231</v>
      </c>
      <c r="Q50" s="327"/>
      <c r="R50" s="328"/>
      <c r="S50" s="329"/>
      <c r="T50" s="329"/>
    </row>
    <row r="51" spans="1:20" s="324" customFormat="1" x14ac:dyDescent="0.3">
      <c r="A51" s="330"/>
      <c r="B51" s="459"/>
      <c r="C51" s="347"/>
      <c r="D51" s="376"/>
      <c r="E51" s="376"/>
      <c r="F51" s="405" t="s">
        <v>341</v>
      </c>
      <c r="G51" s="352"/>
      <c r="H51" s="352"/>
      <c r="I51" s="408"/>
      <c r="J51" s="409">
        <f>J19</f>
        <v>6173.9457609480005</v>
      </c>
      <c r="K51" s="325"/>
      <c r="L51" s="405" t="s">
        <v>341</v>
      </c>
      <c r="M51" s="352"/>
      <c r="N51" s="352"/>
      <c r="O51" s="408"/>
      <c r="P51" s="409">
        <f>J51</f>
        <v>6173.9457609480005</v>
      </c>
      <c r="Q51" s="327"/>
      <c r="R51" s="328"/>
      <c r="S51" s="329"/>
      <c r="T51" s="329"/>
    </row>
    <row r="52" spans="1:20" s="324" customFormat="1" ht="17.25" customHeight="1" x14ac:dyDescent="0.3">
      <c r="A52" s="330"/>
      <c r="B52" s="376"/>
      <c r="C52" s="412"/>
      <c r="D52" s="449"/>
      <c r="E52" s="376"/>
      <c r="F52" s="405" t="s">
        <v>343</v>
      </c>
      <c r="G52" s="352"/>
      <c r="H52" s="352"/>
      <c r="I52" s="408"/>
      <c r="J52" s="409">
        <f t="shared" ref="J52:J56" si="5">J20</f>
        <v>15499.852639123572</v>
      </c>
      <c r="K52" s="325"/>
      <c r="L52" s="405" t="s">
        <v>343</v>
      </c>
      <c r="M52" s="352"/>
      <c r="N52" s="352"/>
      <c r="O52" s="408"/>
      <c r="P52" s="409">
        <f t="shared" ref="P52:P56" si="6">J52</f>
        <v>15499.852639123572</v>
      </c>
      <c r="Q52" s="327"/>
      <c r="R52" s="328"/>
      <c r="S52" s="329"/>
      <c r="T52" s="329"/>
    </row>
    <row r="53" spans="1:20" s="324" customFormat="1" x14ac:dyDescent="0.3">
      <c r="A53" s="330"/>
      <c r="B53" s="376"/>
      <c r="C53" s="413"/>
      <c r="D53" s="376"/>
      <c r="E53" s="376"/>
      <c r="F53" s="405" t="s">
        <v>345</v>
      </c>
      <c r="G53" s="352"/>
      <c r="H53" s="352"/>
      <c r="I53" s="410"/>
      <c r="J53" s="409">
        <f t="shared" si="5"/>
        <v>36805.039724304006</v>
      </c>
      <c r="K53" s="325"/>
      <c r="L53" s="405" t="s">
        <v>345</v>
      </c>
      <c r="M53" s="352"/>
      <c r="N53" s="352"/>
      <c r="O53" s="410"/>
      <c r="P53" s="409">
        <f t="shared" si="6"/>
        <v>36805.039724304006</v>
      </c>
      <c r="Q53" s="327"/>
      <c r="R53" s="328"/>
      <c r="S53" s="329"/>
      <c r="T53" s="329"/>
    </row>
    <row r="54" spans="1:20" s="324" customFormat="1" ht="17.25" customHeight="1" x14ac:dyDescent="0.3">
      <c r="A54" s="330"/>
      <c r="B54" s="376"/>
      <c r="C54" s="413"/>
      <c r="D54" s="376"/>
      <c r="E54" s="376"/>
      <c r="F54" s="405" t="s">
        <v>347</v>
      </c>
      <c r="G54" s="352"/>
      <c r="H54" s="352"/>
      <c r="I54" s="410"/>
      <c r="J54" s="409">
        <f t="shared" si="5"/>
        <v>34251.192425284571</v>
      </c>
      <c r="K54" s="325"/>
      <c r="L54" s="405" t="s">
        <v>347</v>
      </c>
      <c r="M54" s="352"/>
      <c r="N54" s="352"/>
      <c r="O54" s="410"/>
      <c r="P54" s="409">
        <f t="shared" si="6"/>
        <v>34251.192425284571</v>
      </c>
      <c r="Q54" s="327"/>
      <c r="R54" s="328"/>
      <c r="S54" s="329"/>
      <c r="T54" s="329"/>
    </row>
    <row r="55" spans="1:20" s="324" customFormat="1" ht="18.75" customHeight="1" x14ac:dyDescent="0.3">
      <c r="A55" s="330"/>
      <c r="B55" s="376"/>
      <c r="C55" s="413"/>
      <c r="D55" s="376"/>
      <c r="E55" s="349"/>
      <c r="F55" s="405" t="s">
        <v>348</v>
      </c>
      <c r="G55" s="352"/>
      <c r="H55" s="352"/>
      <c r="I55" s="410"/>
      <c r="J55" s="409">
        <f t="shared" si="5"/>
        <v>17250.362096869445</v>
      </c>
      <c r="K55" s="325"/>
      <c r="L55" s="405" t="s">
        <v>348</v>
      </c>
      <c r="M55" s="352"/>
      <c r="N55" s="352"/>
      <c r="O55" s="410"/>
      <c r="P55" s="409">
        <f t="shared" si="6"/>
        <v>17250.362096869445</v>
      </c>
      <c r="Q55" s="327"/>
      <c r="R55" s="328"/>
      <c r="S55" s="329"/>
      <c r="T55" s="329"/>
    </row>
    <row r="56" spans="1:20" s="324" customFormat="1" ht="19.5" thickBot="1" x14ac:dyDescent="0.35">
      <c r="A56" s="330"/>
      <c r="B56" s="376"/>
      <c r="C56" s="413"/>
      <c r="D56" s="376"/>
      <c r="E56" s="376"/>
      <c r="F56" s="391" t="s">
        <v>350</v>
      </c>
      <c r="G56" s="392"/>
      <c r="H56" s="392"/>
      <c r="I56" s="415"/>
      <c r="J56" s="416">
        <f t="shared" si="5"/>
        <v>86251.81048434721</v>
      </c>
      <c r="K56" s="325"/>
      <c r="L56" s="391" t="s">
        <v>350</v>
      </c>
      <c r="M56" s="392"/>
      <c r="N56" s="392"/>
      <c r="O56" s="415"/>
      <c r="P56" s="416">
        <f t="shared" si="6"/>
        <v>86251.81048434721</v>
      </c>
      <c r="Q56" s="327"/>
      <c r="R56" s="328"/>
      <c r="S56" s="329"/>
      <c r="T56" s="329"/>
    </row>
    <row r="57" spans="1:20" s="324" customFormat="1" ht="20.25" thickTop="1" thickBot="1" x14ac:dyDescent="0.35">
      <c r="A57" s="330"/>
      <c r="B57" s="376"/>
      <c r="C57" s="413"/>
      <c r="D57" s="376"/>
      <c r="E57" s="376"/>
      <c r="F57" s="399" t="s">
        <v>353</v>
      </c>
      <c r="G57" s="400"/>
      <c r="H57" s="400"/>
      <c r="I57" s="417"/>
      <c r="J57" s="402">
        <f>SUM(J49:J56)</f>
        <v>1096057.2923308767</v>
      </c>
      <c r="K57" s="325"/>
      <c r="L57" s="399" t="s">
        <v>353</v>
      </c>
      <c r="M57" s="400"/>
      <c r="N57" s="400"/>
      <c r="O57" s="417"/>
      <c r="P57" s="457">
        <f>SUM(P49:P56)</f>
        <v>1394187.622036879</v>
      </c>
      <c r="Q57" s="327"/>
      <c r="R57" s="328"/>
      <c r="S57" s="329"/>
      <c r="T57" s="329"/>
    </row>
    <row r="58" spans="1:20" s="324" customFormat="1" ht="19.5" thickTop="1" x14ac:dyDescent="0.3">
      <c r="A58" s="330"/>
      <c r="B58" s="376"/>
      <c r="C58" s="413"/>
      <c r="D58" s="376"/>
      <c r="E58" s="330"/>
      <c r="F58" s="405"/>
      <c r="G58" s="352"/>
      <c r="H58" s="352"/>
      <c r="I58" s="353"/>
      <c r="J58" s="368"/>
      <c r="K58" s="325"/>
      <c r="L58" s="405"/>
      <c r="M58" s="352"/>
      <c r="N58" s="352"/>
      <c r="O58" s="353"/>
      <c r="P58" s="354"/>
      <c r="Q58" s="327"/>
      <c r="R58" s="328"/>
      <c r="S58" s="329"/>
      <c r="T58" s="329"/>
    </row>
    <row r="59" spans="1:20" s="324" customFormat="1" x14ac:dyDescent="0.3">
      <c r="A59" s="330"/>
      <c r="B59" s="376"/>
      <c r="C59" s="421"/>
      <c r="D59" s="376"/>
      <c r="E59" s="330"/>
      <c r="F59" s="405" t="s">
        <v>357</v>
      </c>
      <c r="G59" s="352"/>
      <c r="H59" s="418">
        <v>0.12</v>
      </c>
      <c r="I59" s="353"/>
      <c r="J59" s="368">
        <f>J57*H59</f>
        <v>131526.87507970521</v>
      </c>
      <c r="K59" s="325"/>
      <c r="L59" s="405" t="s">
        <v>357</v>
      </c>
      <c r="M59" s="352"/>
      <c r="N59" s="418">
        <v>0.12</v>
      </c>
      <c r="O59" s="353"/>
      <c r="P59" s="460">
        <f>P57*N59</f>
        <v>167302.51464442548</v>
      </c>
      <c r="Q59" s="327"/>
      <c r="R59" s="328"/>
      <c r="S59" s="329"/>
      <c r="T59" s="329"/>
    </row>
    <row r="60" spans="1:20" s="324" customFormat="1" ht="17.25" customHeight="1" thickBot="1" x14ac:dyDescent="0.35">
      <c r="A60" s="330"/>
      <c r="B60" s="376"/>
      <c r="C60" s="412"/>
      <c r="D60" s="449"/>
      <c r="E60" s="330"/>
      <c r="F60" s="405" t="s">
        <v>125</v>
      </c>
      <c r="G60" s="352"/>
      <c r="H60" s="418">
        <f>C30</f>
        <v>3.7000000000000002E-3</v>
      </c>
      <c r="I60" s="353"/>
      <c r="J60" s="368">
        <f>J46*H60</f>
        <v>2014.7571519999999</v>
      </c>
      <c r="K60" s="325"/>
      <c r="L60" s="405" t="s">
        <v>125</v>
      </c>
      <c r="M60" s="352"/>
      <c r="N60" s="418">
        <f>C30</f>
        <v>3.7000000000000002E-3</v>
      </c>
      <c r="O60" s="353"/>
      <c r="P60" s="461">
        <f>P46*N60</f>
        <v>2014.7571519999999</v>
      </c>
      <c r="Q60" s="327"/>
      <c r="R60" s="328"/>
      <c r="S60" s="329"/>
      <c r="T60" s="329"/>
    </row>
    <row r="61" spans="1:20" s="324" customFormat="1" ht="19.5" thickBot="1" x14ac:dyDescent="0.35">
      <c r="A61" s="330"/>
      <c r="B61" s="376"/>
      <c r="C61" s="463"/>
      <c r="D61" s="376"/>
      <c r="E61" s="330"/>
      <c r="F61" s="384" t="s">
        <v>112</v>
      </c>
      <c r="G61" s="419"/>
      <c r="H61" s="419"/>
      <c r="I61" s="420"/>
      <c r="J61" s="387">
        <f>J57+J59+J60</f>
        <v>1229598.9245625818</v>
      </c>
      <c r="K61" s="325"/>
      <c r="L61" s="384" t="s">
        <v>112</v>
      </c>
      <c r="M61" s="419"/>
      <c r="N61" s="419"/>
      <c r="O61" s="420"/>
      <c r="P61" s="387">
        <f>P60+P59+P57</f>
        <v>1563504.8938333045</v>
      </c>
      <c r="Q61" s="327"/>
      <c r="R61" s="328"/>
      <c r="S61" s="329"/>
      <c r="T61" s="329"/>
    </row>
    <row r="62" spans="1:20" s="324" customFormat="1" ht="15" customHeight="1" x14ac:dyDescent="0.3">
      <c r="A62" s="330"/>
      <c r="B62" s="376"/>
      <c r="C62" s="463"/>
      <c r="D62" s="376"/>
      <c r="E62" s="330"/>
      <c r="F62" s="422"/>
      <c r="G62" s="423"/>
      <c r="H62" s="423"/>
      <c r="I62" s="424"/>
      <c r="J62" s="425"/>
      <c r="K62" s="325"/>
      <c r="L62" s="422"/>
      <c r="M62" s="423"/>
      <c r="N62" s="423"/>
      <c r="O62" s="424"/>
      <c r="P62" s="462"/>
      <c r="Q62" s="327"/>
      <c r="R62" s="328"/>
      <c r="S62" s="329"/>
      <c r="T62" s="329"/>
    </row>
    <row r="63" spans="1:20" s="324" customFormat="1" x14ac:dyDescent="0.3">
      <c r="A63" s="330"/>
      <c r="B63" s="376"/>
      <c r="C63" s="466"/>
      <c r="D63" s="376"/>
      <c r="E63" s="330"/>
      <c r="F63" s="405" t="s">
        <v>308</v>
      </c>
      <c r="G63" s="352"/>
      <c r="H63" s="418">
        <v>1.06E-2</v>
      </c>
      <c r="I63" s="353"/>
      <c r="J63" s="426">
        <f>J61*(H63+1)</f>
        <v>1242632.6731629451</v>
      </c>
      <c r="K63" s="325"/>
      <c r="L63" s="405" t="s">
        <v>308</v>
      </c>
      <c r="M63" s="352"/>
      <c r="N63" s="418">
        <v>1.06E-2</v>
      </c>
      <c r="O63" s="353"/>
      <c r="P63" s="426">
        <f>P61*(N63+1)</f>
        <v>1580078.0457079376</v>
      </c>
      <c r="Q63" s="327"/>
      <c r="R63" s="328"/>
      <c r="S63" s="329"/>
      <c r="T63" s="329"/>
    </row>
    <row r="64" spans="1:20" s="324" customFormat="1" x14ac:dyDescent="0.3">
      <c r="A64" s="330"/>
      <c r="B64" s="442"/>
      <c r="C64" s="443"/>
      <c r="D64" s="330"/>
      <c r="E64" s="330"/>
      <c r="F64" s="405"/>
      <c r="G64" s="352"/>
      <c r="H64" s="352"/>
      <c r="I64" s="353"/>
      <c r="J64" s="429" t="s">
        <v>361</v>
      </c>
      <c r="K64" s="325"/>
      <c r="L64" s="405"/>
      <c r="M64" s="352"/>
      <c r="N64" s="352"/>
      <c r="O64" s="353"/>
      <c r="P64" s="464" t="s">
        <v>361</v>
      </c>
      <c r="Q64" s="327"/>
      <c r="R64" s="328"/>
      <c r="S64" s="329"/>
      <c r="T64" s="329"/>
    </row>
    <row r="65" spans="1:20" ht="19.5" thickBot="1" x14ac:dyDescent="0.35">
      <c r="A65" s="330"/>
      <c r="B65" s="442"/>
      <c r="C65" s="443"/>
      <c r="D65" s="330"/>
      <c r="E65" s="330"/>
      <c r="F65" s="430" t="s">
        <v>363</v>
      </c>
      <c r="G65" s="431"/>
      <c r="H65" s="431"/>
      <c r="I65" s="432"/>
      <c r="J65" s="433">
        <f>J63/J36</f>
        <v>33.346733393166197</v>
      </c>
      <c r="K65" s="434"/>
      <c r="L65" s="430" t="s">
        <v>363</v>
      </c>
      <c r="M65" s="431"/>
      <c r="N65" s="431"/>
      <c r="O65" s="432"/>
      <c r="P65" s="465">
        <f>P63/P36</f>
        <v>52.334328487941761</v>
      </c>
    </row>
    <row r="66" spans="1:20" ht="19.5" thickBot="1" x14ac:dyDescent="0.35">
      <c r="A66" s="330"/>
      <c r="B66" s="444"/>
      <c r="C66" s="445"/>
      <c r="D66" s="330"/>
      <c r="E66" s="330"/>
      <c r="J66" s="467"/>
      <c r="K66" s="439"/>
      <c r="P66" s="467"/>
      <c r="Q66" s="441"/>
      <c r="R66" s="468"/>
    </row>
    <row r="67" spans="1:20" ht="18.75" customHeight="1" thickBot="1" x14ac:dyDescent="0.5">
      <c r="A67" s="330"/>
      <c r="B67" s="469"/>
      <c r="C67" s="473"/>
      <c r="D67" s="469"/>
      <c r="E67" s="330"/>
      <c r="F67" s="730" t="s">
        <v>368</v>
      </c>
      <c r="G67" s="731"/>
      <c r="H67" s="731"/>
      <c r="I67" s="731"/>
      <c r="J67" s="732"/>
      <c r="P67" s="439"/>
      <c r="R67" s="468"/>
    </row>
    <row r="68" spans="1:20" s="469" customFormat="1" ht="15" customHeight="1" x14ac:dyDescent="0.45">
      <c r="C68" s="473"/>
      <c r="F68" s="336" t="s">
        <v>318</v>
      </c>
      <c r="G68" s="337">
        <v>114</v>
      </c>
      <c r="H68" s="338"/>
      <c r="I68" s="339" t="s">
        <v>319</v>
      </c>
      <c r="J68" s="340">
        <f>G69*G68</f>
        <v>31008</v>
      </c>
      <c r="K68" s="325"/>
      <c r="L68" s="325"/>
      <c r="M68" s="325"/>
      <c r="N68" s="325"/>
      <c r="O68" s="326"/>
      <c r="P68" s="325"/>
      <c r="Q68" s="327"/>
      <c r="R68" s="470"/>
      <c r="S68" s="471"/>
      <c r="T68" s="471"/>
    </row>
    <row r="69" spans="1:20" s="469" customFormat="1" ht="18.600000000000001" customHeight="1" x14ac:dyDescent="0.45">
      <c r="C69" s="473"/>
      <c r="F69" s="350" t="s">
        <v>322</v>
      </c>
      <c r="G69" s="351">
        <v>272</v>
      </c>
      <c r="H69" s="352"/>
      <c r="I69" s="353"/>
      <c r="J69" s="354"/>
      <c r="K69" s="325"/>
      <c r="L69" s="325"/>
      <c r="M69" s="325"/>
      <c r="N69" s="325"/>
      <c r="O69" s="326"/>
      <c r="P69" s="325"/>
      <c r="Q69" s="327"/>
      <c r="R69" s="472"/>
      <c r="S69" s="471"/>
      <c r="T69" s="471"/>
    </row>
    <row r="70" spans="1:20" s="469" customFormat="1" ht="28.5" x14ac:dyDescent="0.45">
      <c r="C70" s="473"/>
      <c r="F70" s="355"/>
      <c r="G70" s="356"/>
      <c r="H70" s="357" t="s">
        <v>85</v>
      </c>
      <c r="I70" s="357" t="s">
        <v>86</v>
      </c>
      <c r="J70" s="358" t="s">
        <v>87</v>
      </c>
      <c r="K70" s="325"/>
      <c r="L70" s="325"/>
      <c r="M70" s="325"/>
      <c r="N70" s="325"/>
      <c r="O70" s="326"/>
      <c r="P70" s="325"/>
      <c r="Q70" s="327"/>
      <c r="R70" s="472"/>
      <c r="S70" s="471"/>
      <c r="T70" s="471"/>
    </row>
    <row r="71" spans="1:20" s="469" customFormat="1" ht="19.899999999999999" customHeight="1" x14ac:dyDescent="0.45">
      <c r="C71" s="473"/>
      <c r="F71" s="360" t="s">
        <v>325</v>
      </c>
      <c r="G71" s="361"/>
      <c r="H71" s="362"/>
      <c r="I71" s="362"/>
      <c r="J71" s="363"/>
      <c r="K71" s="325"/>
      <c r="L71" s="325"/>
      <c r="M71" s="325"/>
      <c r="N71" s="325"/>
      <c r="O71" s="326"/>
      <c r="P71" s="325"/>
      <c r="Q71" s="327"/>
      <c r="R71" s="472"/>
      <c r="S71" s="471"/>
      <c r="T71" s="471"/>
    </row>
    <row r="72" spans="1:20" s="469" customFormat="1" ht="19.899999999999999" customHeight="1" x14ac:dyDescent="0.45">
      <c r="C72" s="473"/>
      <c r="F72" s="365" t="s">
        <v>320</v>
      </c>
      <c r="G72" s="361"/>
      <c r="H72" s="366">
        <f>H40</f>
        <v>69600</v>
      </c>
      <c r="I72" s="367">
        <v>0.15</v>
      </c>
      <c r="J72" s="368">
        <f>I72*H72</f>
        <v>10440</v>
      </c>
      <c r="K72" s="325"/>
      <c r="L72" s="325"/>
      <c r="M72" s="325"/>
      <c r="N72" s="325"/>
      <c r="O72" s="326"/>
      <c r="P72" s="325"/>
      <c r="Q72" s="327"/>
      <c r="R72" s="472"/>
      <c r="S72" s="471"/>
      <c r="T72" s="471"/>
    </row>
    <row r="73" spans="1:20" s="469" customFormat="1" ht="19.899999999999999" customHeight="1" x14ac:dyDescent="0.45">
      <c r="C73" s="473"/>
      <c r="F73" s="365" t="s">
        <v>323</v>
      </c>
      <c r="G73" s="352"/>
      <c r="H73" s="366">
        <f t="shared" ref="H73:H77" si="7">H41</f>
        <v>69600</v>
      </c>
      <c r="I73" s="367">
        <v>1</v>
      </c>
      <c r="J73" s="368">
        <f t="shared" ref="J73:J75" si="8">I73*H73</f>
        <v>69600</v>
      </c>
      <c r="K73" s="325"/>
      <c r="L73" s="325"/>
      <c r="M73" s="325"/>
      <c r="N73" s="325"/>
      <c r="O73" s="326"/>
      <c r="P73" s="325"/>
      <c r="Q73" s="327"/>
      <c r="R73" s="472"/>
      <c r="S73" s="471"/>
      <c r="T73" s="471"/>
    </row>
    <row r="74" spans="1:20" s="469" customFormat="1" ht="38.450000000000003" customHeight="1" x14ac:dyDescent="0.45">
      <c r="C74" s="473"/>
      <c r="F74" s="372" t="s">
        <v>324</v>
      </c>
      <c r="G74" s="352"/>
      <c r="H74" s="366">
        <f t="shared" si="7"/>
        <v>84385.600000000006</v>
      </c>
      <c r="I74" s="367">
        <v>1</v>
      </c>
      <c r="J74" s="368">
        <f t="shared" si="8"/>
        <v>84385.600000000006</v>
      </c>
      <c r="K74" s="325"/>
      <c r="L74" s="325"/>
      <c r="M74" s="325"/>
      <c r="N74" s="325"/>
      <c r="O74" s="326"/>
      <c r="P74" s="325"/>
      <c r="Q74" s="327"/>
      <c r="R74" s="472"/>
      <c r="S74" s="471"/>
      <c r="T74" s="471"/>
    </row>
    <row r="75" spans="1:20" s="469" customFormat="1" ht="19.899999999999999" customHeight="1" x14ac:dyDescent="0.45">
      <c r="C75" s="473"/>
      <c r="F75" s="377" t="s">
        <v>326</v>
      </c>
      <c r="G75" s="378"/>
      <c r="H75" s="379">
        <f t="shared" si="7"/>
        <v>63627.199999999997</v>
      </c>
      <c r="I75" s="380">
        <v>1</v>
      </c>
      <c r="J75" s="381">
        <f t="shared" si="8"/>
        <v>63627.199999999997</v>
      </c>
      <c r="K75" s="325"/>
      <c r="L75" s="325"/>
      <c r="M75" s="325"/>
      <c r="N75" s="325"/>
      <c r="O75" s="326"/>
      <c r="P75" s="325"/>
      <c r="Q75" s="327"/>
      <c r="R75" s="472"/>
      <c r="S75" s="471"/>
      <c r="T75" s="471"/>
    </row>
    <row r="76" spans="1:20" s="469" customFormat="1" ht="19.899999999999999" customHeight="1" x14ac:dyDescent="0.45">
      <c r="C76" s="473"/>
      <c r="F76" s="383" t="s">
        <v>332</v>
      </c>
      <c r="G76" s="352"/>
      <c r="H76" s="366"/>
      <c r="I76" s="367"/>
      <c r="J76" s="368"/>
      <c r="K76" s="325"/>
      <c r="L76" s="325"/>
      <c r="M76" s="325"/>
      <c r="N76" s="325"/>
      <c r="O76" s="326"/>
      <c r="P76" s="325"/>
      <c r="Q76" s="327"/>
      <c r="R76" s="472"/>
      <c r="S76" s="471"/>
      <c r="T76" s="471"/>
    </row>
    <row r="77" spans="1:20" s="469" customFormat="1" ht="19.899999999999999" customHeight="1" thickBot="1" x14ac:dyDescent="0.5">
      <c r="C77" s="473"/>
      <c r="F77" s="365" t="s">
        <v>333</v>
      </c>
      <c r="G77" s="352"/>
      <c r="H77" s="366">
        <f t="shared" si="7"/>
        <v>45210.880000000005</v>
      </c>
      <c r="I77" s="367">
        <v>7</v>
      </c>
      <c r="J77" s="368">
        <f t="shared" ref="J77" si="9">I77*H77</f>
        <v>316476.16000000003</v>
      </c>
      <c r="K77" s="325"/>
      <c r="L77" s="325"/>
      <c r="M77" s="325"/>
      <c r="N77" s="325"/>
      <c r="O77" s="326"/>
      <c r="P77" s="325"/>
      <c r="Q77" s="327"/>
      <c r="R77" s="472"/>
      <c r="S77" s="471"/>
      <c r="T77" s="471"/>
    </row>
    <row r="78" spans="1:20" s="469" customFormat="1" ht="29.25" thickBot="1" x14ac:dyDescent="0.5">
      <c r="C78" s="473"/>
      <c r="F78" s="384" t="s">
        <v>334</v>
      </c>
      <c r="G78" s="385"/>
      <c r="H78" s="385"/>
      <c r="I78" s="386">
        <v>10.15</v>
      </c>
      <c r="J78" s="387">
        <f>SUM(J72:J77)</f>
        <v>544528.96</v>
      </c>
      <c r="K78" s="325"/>
      <c r="L78" s="325"/>
      <c r="M78" s="325"/>
      <c r="N78" s="325"/>
      <c r="O78" s="326"/>
      <c r="P78" s="325"/>
      <c r="Q78" s="327"/>
      <c r="R78" s="472"/>
      <c r="S78" s="471"/>
      <c r="T78" s="471"/>
    </row>
    <row r="79" spans="1:20" s="469" customFormat="1" ht="28.5" x14ac:dyDescent="0.45">
      <c r="C79" s="473"/>
      <c r="F79" s="350"/>
      <c r="G79" s="352"/>
      <c r="H79" s="352"/>
      <c r="I79" s="362"/>
      <c r="J79" s="368"/>
      <c r="K79" s="325"/>
      <c r="L79" s="325"/>
      <c r="M79" s="325"/>
      <c r="N79" s="325"/>
      <c r="O79" s="326"/>
      <c r="P79" s="325"/>
      <c r="Q79" s="327"/>
      <c r="R79" s="472"/>
      <c r="S79" s="471"/>
      <c r="T79" s="471"/>
    </row>
    <row r="80" spans="1:20" s="469" customFormat="1" ht="29.25" thickBot="1" x14ac:dyDescent="0.5">
      <c r="C80" s="473"/>
      <c r="F80" s="391" t="s">
        <v>336</v>
      </c>
      <c r="G80" s="392"/>
      <c r="H80" s="393">
        <v>0.224</v>
      </c>
      <c r="I80" s="394"/>
      <c r="J80" s="395">
        <f>J78*H80</f>
        <v>121974.48703999999</v>
      </c>
      <c r="K80" s="325"/>
      <c r="L80" s="325"/>
      <c r="M80" s="325"/>
      <c r="N80" s="325"/>
      <c r="O80" s="326"/>
      <c r="P80" s="325"/>
      <c r="Q80" s="327"/>
      <c r="R80" s="472"/>
      <c r="S80" s="471"/>
      <c r="T80" s="471"/>
    </row>
    <row r="81" spans="6:10" ht="20.25" thickTop="1" thickBot="1" x14ac:dyDescent="0.35">
      <c r="F81" s="399" t="s">
        <v>102</v>
      </c>
      <c r="G81" s="400"/>
      <c r="H81" s="400"/>
      <c r="I81" s="401"/>
      <c r="J81" s="402">
        <f>J80+J78</f>
        <v>666503.44704</v>
      </c>
    </row>
    <row r="82" spans="6:10" ht="19.5" thickTop="1" x14ac:dyDescent="0.3">
      <c r="F82" s="405" t="s">
        <v>104</v>
      </c>
      <c r="G82" s="361"/>
      <c r="H82" s="361"/>
      <c r="I82" s="406"/>
      <c r="J82" s="368">
        <f>J68*C21</f>
        <v>82711.421375999998</v>
      </c>
    </row>
    <row r="83" spans="6:10" x14ac:dyDescent="0.3">
      <c r="F83" s="405" t="s">
        <v>341</v>
      </c>
      <c r="G83" s="352"/>
      <c r="H83" s="352"/>
      <c r="I83" s="408"/>
      <c r="J83" s="409">
        <f>J51</f>
        <v>6173.9457609480005</v>
      </c>
    </row>
    <row r="84" spans="6:10" x14ac:dyDescent="0.3">
      <c r="F84" s="405" t="s">
        <v>343</v>
      </c>
      <c r="G84" s="352"/>
      <c r="H84" s="352"/>
      <c r="I84" s="408"/>
      <c r="J84" s="409">
        <f t="shared" ref="J84:J88" si="10">J52</f>
        <v>15499.852639123572</v>
      </c>
    </row>
    <row r="85" spans="6:10" x14ac:dyDescent="0.3">
      <c r="F85" s="405" t="s">
        <v>345</v>
      </c>
      <c r="G85" s="352"/>
      <c r="H85" s="352"/>
      <c r="I85" s="410"/>
      <c r="J85" s="409">
        <f t="shared" si="10"/>
        <v>36805.039724304006</v>
      </c>
    </row>
    <row r="86" spans="6:10" x14ac:dyDescent="0.3">
      <c r="F86" s="405" t="s">
        <v>347</v>
      </c>
      <c r="G86" s="352"/>
      <c r="H86" s="352"/>
      <c r="I86" s="410"/>
      <c r="J86" s="409">
        <f t="shared" si="10"/>
        <v>34251.192425284571</v>
      </c>
    </row>
    <row r="87" spans="6:10" x14ac:dyDescent="0.3">
      <c r="F87" s="405" t="s">
        <v>348</v>
      </c>
      <c r="G87" s="352"/>
      <c r="H87" s="352"/>
      <c r="I87" s="410"/>
      <c r="J87" s="409">
        <f t="shared" si="10"/>
        <v>17250.362096869445</v>
      </c>
    </row>
    <row r="88" spans="6:10" ht="19.5" thickBot="1" x14ac:dyDescent="0.35">
      <c r="F88" s="391" t="s">
        <v>350</v>
      </c>
      <c r="G88" s="392"/>
      <c r="H88" s="392"/>
      <c r="I88" s="415"/>
      <c r="J88" s="416">
        <f t="shared" si="10"/>
        <v>86251.81048434721</v>
      </c>
    </row>
    <row r="89" spans="6:10" ht="20.25" thickTop="1" thickBot="1" x14ac:dyDescent="0.35">
      <c r="F89" s="399" t="s">
        <v>353</v>
      </c>
      <c r="G89" s="400"/>
      <c r="H89" s="400"/>
      <c r="I89" s="417"/>
      <c r="J89" s="402">
        <f>SUM(J81:J88)</f>
        <v>945447.0715468768</v>
      </c>
    </row>
    <row r="90" spans="6:10" ht="19.5" thickTop="1" x14ac:dyDescent="0.3">
      <c r="F90" s="405"/>
      <c r="G90" s="352"/>
      <c r="H90" s="352"/>
      <c r="I90" s="353"/>
      <c r="J90" s="368"/>
    </row>
    <row r="91" spans="6:10" x14ac:dyDescent="0.3">
      <c r="F91" s="405" t="s">
        <v>357</v>
      </c>
      <c r="G91" s="352"/>
      <c r="H91" s="418">
        <v>0.12</v>
      </c>
      <c r="I91" s="353"/>
      <c r="J91" s="368">
        <f>J89*H91</f>
        <v>113453.64858562521</v>
      </c>
    </row>
    <row r="92" spans="6:10" ht="19.5" thickBot="1" x14ac:dyDescent="0.35">
      <c r="F92" s="405" t="s">
        <v>125</v>
      </c>
      <c r="G92" s="352"/>
      <c r="H92" s="418">
        <f>C30</f>
        <v>3.7000000000000002E-3</v>
      </c>
      <c r="I92" s="353"/>
      <c r="J92" s="368">
        <f>J78*H92</f>
        <v>2014.7571519999999</v>
      </c>
    </row>
    <row r="93" spans="6:10" ht="19.5" thickBot="1" x14ac:dyDescent="0.35">
      <c r="F93" s="384" t="s">
        <v>112</v>
      </c>
      <c r="G93" s="419"/>
      <c r="H93" s="419"/>
      <c r="I93" s="420"/>
      <c r="J93" s="387">
        <f>J89+J91+J92</f>
        <v>1060915.477284502</v>
      </c>
    </row>
    <row r="94" spans="6:10" x14ac:dyDescent="0.3">
      <c r="F94" s="422"/>
      <c r="G94" s="423"/>
      <c r="H94" s="423"/>
      <c r="I94" s="424"/>
      <c r="J94" s="425"/>
    </row>
    <row r="95" spans="6:10" x14ac:dyDescent="0.3">
      <c r="F95" s="405" t="s">
        <v>308</v>
      </c>
      <c r="G95" s="352"/>
      <c r="H95" s="418">
        <v>1.06E-2</v>
      </c>
      <c r="I95" s="353"/>
      <c r="J95" s="426">
        <f>J93*(H95+1)</f>
        <v>1072161.1813437177</v>
      </c>
    </row>
    <row r="96" spans="6:10" x14ac:dyDescent="0.3">
      <c r="F96" s="405"/>
      <c r="G96" s="352"/>
      <c r="H96" s="352"/>
      <c r="I96" s="353"/>
      <c r="J96" s="429" t="s">
        <v>361</v>
      </c>
    </row>
    <row r="97" spans="6:11" ht="19.5" thickBot="1" x14ac:dyDescent="0.35">
      <c r="F97" s="430" t="s">
        <v>363</v>
      </c>
      <c r="G97" s="431"/>
      <c r="H97" s="431"/>
      <c r="I97" s="432"/>
      <c r="J97" s="433">
        <f>J95/J68</f>
        <v>34.57692148296303</v>
      </c>
    </row>
    <row r="98" spans="6:11" x14ac:dyDescent="0.3">
      <c r="K98" s="474"/>
    </row>
  </sheetData>
  <mergeCells count="9">
    <mergeCell ref="B38:C38"/>
    <mergeCell ref="F67:J67"/>
    <mergeCell ref="B3:D3"/>
    <mergeCell ref="F3:J3"/>
    <mergeCell ref="L3:P3"/>
    <mergeCell ref="B4:C4"/>
    <mergeCell ref="F35:J35"/>
    <mergeCell ref="L35:P35"/>
    <mergeCell ref="B37:D37"/>
  </mergeCells>
  <pageMargins left="0.25" right="0.25" top="0.25" bottom="0.25" header="0.3" footer="0.3"/>
  <pageSetup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workbookViewId="0">
      <selection activeCell="E12" sqref="E12"/>
    </sheetView>
  </sheetViews>
  <sheetFormatPr defaultColWidth="8.75" defaultRowHeight="15" x14ac:dyDescent="0.25"/>
  <cols>
    <col min="1" max="1" width="32.625" style="478" customWidth="1"/>
    <col min="2" max="2" width="18.25" style="478" customWidth="1"/>
    <col min="3" max="3" width="18.125" style="478" customWidth="1"/>
    <col min="4" max="4" width="9.75" style="478" customWidth="1"/>
    <col min="5" max="5" width="16.125" style="478" customWidth="1"/>
    <col min="6" max="16384" width="8.75" style="478"/>
  </cols>
  <sheetData>
    <row r="1" spans="1:5" ht="60.75" thickBot="1" x14ac:dyDescent="0.3">
      <c r="A1" s="475"/>
      <c r="B1" s="476" t="s">
        <v>369</v>
      </c>
      <c r="C1" s="477" t="s">
        <v>370</v>
      </c>
      <c r="E1" s="479" t="s">
        <v>371</v>
      </c>
    </row>
    <row r="2" spans="1:5" x14ac:dyDescent="0.25">
      <c r="A2" s="480" t="s">
        <v>85</v>
      </c>
      <c r="B2" s="481">
        <v>34927.359999999993</v>
      </c>
      <c r="C2" s="482">
        <v>45210.880000000005</v>
      </c>
      <c r="E2" s="483">
        <v>10000</v>
      </c>
    </row>
    <row r="3" spans="1:5" x14ac:dyDescent="0.25">
      <c r="A3" s="484" t="s">
        <v>372</v>
      </c>
      <c r="B3" s="485">
        <v>0.224</v>
      </c>
      <c r="C3" s="486">
        <v>0.224</v>
      </c>
    </row>
    <row r="4" spans="1:5" x14ac:dyDescent="0.25">
      <c r="A4" s="484" t="s">
        <v>373</v>
      </c>
      <c r="B4" s="487">
        <f>B2*B3</f>
        <v>7823.7286399999984</v>
      </c>
      <c r="C4" s="488">
        <f>C2*C3</f>
        <v>10127.237120000002</v>
      </c>
    </row>
    <row r="5" spans="1:5" x14ac:dyDescent="0.25">
      <c r="A5" s="484" t="s">
        <v>374</v>
      </c>
      <c r="B5" s="487">
        <f>B4+B2</f>
        <v>42751.088639999994</v>
      </c>
      <c r="C5" s="488">
        <f>C4+C2</f>
        <v>55338.11712000001</v>
      </c>
    </row>
    <row r="6" spans="1:5" x14ac:dyDescent="0.25">
      <c r="A6" s="489" t="s">
        <v>61</v>
      </c>
      <c r="B6" s="490">
        <f>B2*0.37%</f>
        <v>129.23123199999998</v>
      </c>
      <c r="C6" s="491">
        <f>C2*0.37%</f>
        <v>167.28025600000004</v>
      </c>
    </row>
    <row r="7" spans="1:5" x14ac:dyDescent="0.25">
      <c r="A7" s="484" t="s">
        <v>375</v>
      </c>
      <c r="B7" s="487">
        <f>B6+B5</f>
        <v>42880.319871999993</v>
      </c>
      <c r="C7" s="488">
        <f>C6+C5</f>
        <v>55505.397376000008</v>
      </c>
    </row>
    <row r="8" spans="1:5" ht="15.75" thickBot="1" x14ac:dyDescent="0.3">
      <c r="A8" s="484" t="s">
        <v>64</v>
      </c>
      <c r="B8" s="492">
        <f>B7*'[13]CAF Spring 2021'!CB24</f>
        <v>455.98097486885462</v>
      </c>
      <c r="C8" s="493">
        <f>C7*'[13]CAF Spring 2021'!CB24</f>
        <v>590.23359157631171</v>
      </c>
    </row>
    <row r="9" spans="1:5" ht="16.5" thickTop="1" thickBot="1" x14ac:dyDescent="0.3">
      <c r="A9" s="494" t="s">
        <v>376</v>
      </c>
      <c r="B9" s="495">
        <f>(B7+B8)/12</f>
        <v>3611.3584039057373</v>
      </c>
      <c r="C9" s="496">
        <f>(C7+C8)/12</f>
        <v>4674.6359139646929</v>
      </c>
    </row>
    <row r="10" spans="1:5" ht="15.75" thickBot="1" x14ac:dyDescent="0.3">
      <c r="A10" s="497" t="s">
        <v>377</v>
      </c>
      <c r="B10" s="498">
        <f>B9*0.5</f>
        <v>1805.6792019528687</v>
      </c>
      <c r="C10" s="499">
        <f>C9*0.5</f>
        <v>2337.3179569823465</v>
      </c>
    </row>
    <row r="16" spans="1:5" x14ac:dyDescent="0.25">
      <c r="B16" s="50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K31"/>
  <sheetViews>
    <sheetView topLeftCell="B1" zoomScale="70" zoomScaleNormal="70" workbookViewId="0">
      <pane activePane="bottomRight" state="frozen"/>
      <selection activeCell="G24" sqref="G24"/>
    </sheetView>
  </sheetViews>
  <sheetFormatPr defaultColWidth="8" defaultRowHeight="15.75" x14ac:dyDescent="0.25"/>
  <cols>
    <col min="1" max="1" width="8" style="501"/>
    <col min="2" max="2" width="11.125" style="501" customWidth="1"/>
    <col min="3" max="3" width="50.125" style="501" customWidth="1"/>
    <col min="4" max="4" width="10.25" style="501" customWidth="1"/>
    <col min="5" max="5" width="10.5" style="501" bestFit="1" customWidth="1"/>
    <col min="6" max="6" width="9.625" style="502" customWidth="1"/>
    <col min="7" max="7" width="13.25" style="501" customWidth="1"/>
    <col min="8" max="8" width="3.875" style="501" customWidth="1"/>
    <col min="9" max="9" width="27.625" style="501" hidden="1" customWidth="1"/>
    <col min="10" max="10" width="5.375" style="501" hidden="1" customWidth="1"/>
    <col min="11" max="11" width="9.625" style="501" hidden="1" customWidth="1"/>
    <col min="12" max="12" width="9.625" style="502" hidden="1" customWidth="1"/>
    <col min="13" max="13" width="13.25" style="501" hidden="1" customWidth="1"/>
    <col min="14" max="14" width="11.625" style="503" customWidth="1"/>
    <col min="15" max="15" width="4" style="504" customWidth="1"/>
    <col min="16" max="16" width="61.75" style="505" bestFit="1" customWidth="1"/>
    <col min="17" max="17" width="10.5" style="504" bestFit="1" customWidth="1"/>
    <col min="18" max="18" width="54.25" style="505" customWidth="1"/>
    <col min="19" max="37" width="8" style="505"/>
    <col min="38" max="16384" width="8" style="501"/>
  </cols>
  <sheetData>
    <row r="1" spans="2:37" ht="18" customHeight="1" x14ac:dyDescent="0.25"/>
    <row r="2" spans="2:37" ht="21" customHeight="1" thickBot="1" x14ac:dyDescent="0.3">
      <c r="B2" s="505"/>
      <c r="C2" s="505"/>
      <c r="D2" s="505"/>
      <c r="E2" s="505"/>
      <c r="F2" s="504"/>
      <c r="G2" s="505"/>
      <c r="H2" s="505"/>
      <c r="I2" s="505"/>
      <c r="J2" s="505"/>
      <c r="K2" s="505"/>
      <c r="L2" s="504"/>
      <c r="M2" s="505"/>
    </row>
    <row r="3" spans="2:37" ht="34.9" customHeight="1" thickBot="1" x14ac:dyDescent="0.4">
      <c r="B3" s="506"/>
      <c r="C3" s="740" t="s">
        <v>378</v>
      </c>
      <c r="D3" s="741"/>
      <c r="E3" s="741"/>
      <c r="F3" s="741"/>
      <c r="G3" s="742"/>
      <c r="H3" s="507"/>
      <c r="I3" s="743" t="s">
        <v>379</v>
      </c>
      <c r="J3" s="744"/>
      <c r="K3" s="744"/>
      <c r="L3" s="744"/>
      <c r="M3" s="745"/>
      <c r="N3" s="508"/>
      <c r="O3" s="509"/>
      <c r="P3" s="507"/>
      <c r="Q3" s="509"/>
      <c r="R3" s="507"/>
    </row>
    <row r="4" spans="2:37" s="520" customFormat="1" ht="18.75" customHeight="1" x14ac:dyDescent="0.2">
      <c r="B4" s="510"/>
      <c r="C4" s="511" t="s">
        <v>380</v>
      </c>
      <c r="D4" s="512">
        <v>20</v>
      </c>
      <c r="E4" s="513"/>
      <c r="F4" s="514" t="s">
        <v>319</v>
      </c>
      <c r="G4" s="515">
        <f>D4*D5</f>
        <v>5200</v>
      </c>
      <c r="H4" s="516"/>
      <c r="I4" s="511" t="s">
        <v>380</v>
      </c>
      <c r="J4" s="512">
        <v>200</v>
      </c>
      <c r="K4" s="513"/>
      <c r="L4" s="514" t="s">
        <v>319</v>
      </c>
      <c r="M4" s="515">
        <f>J4*J5</f>
        <v>54400</v>
      </c>
      <c r="N4" s="517"/>
      <c r="O4" s="518"/>
      <c r="P4" s="746" t="s">
        <v>316</v>
      </c>
      <c r="Q4" s="747"/>
      <c r="R4" s="748"/>
      <c r="S4" s="519"/>
      <c r="T4" s="519"/>
      <c r="U4" s="519"/>
      <c r="V4" s="519"/>
      <c r="W4" s="519"/>
      <c r="X4" s="519"/>
      <c r="Y4" s="519"/>
      <c r="Z4" s="519"/>
      <c r="AA4" s="519"/>
      <c r="AB4" s="519"/>
      <c r="AC4" s="519"/>
      <c r="AD4" s="519"/>
      <c r="AE4" s="519"/>
      <c r="AF4" s="519"/>
      <c r="AG4" s="519"/>
      <c r="AH4" s="519"/>
      <c r="AI4" s="519"/>
      <c r="AJ4" s="519"/>
      <c r="AK4" s="519"/>
    </row>
    <row r="5" spans="2:37" ht="15.6" customHeight="1" x14ac:dyDescent="0.35">
      <c r="B5" s="521"/>
      <c r="C5" s="522" t="s">
        <v>322</v>
      </c>
      <c r="D5" s="523">
        <v>260</v>
      </c>
      <c r="E5" s="524"/>
      <c r="F5" s="525"/>
      <c r="G5" s="526"/>
      <c r="H5" s="507"/>
      <c r="I5" s="522" t="s">
        <v>322</v>
      </c>
      <c r="J5" s="523">
        <v>272</v>
      </c>
      <c r="K5" s="524"/>
      <c r="L5" s="525"/>
      <c r="M5" s="526"/>
      <c r="N5" s="508"/>
      <c r="O5" s="509"/>
      <c r="P5" s="527"/>
      <c r="Q5" s="528"/>
      <c r="R5" s="529"/>
    </row>
    <row r="6" spans="2:37" ht="28.15" customHeight="1" x14ac:dyDescent="0.35">
      <c r="B6" s="521"/>
      <c r="C6" s="530"/>
      <c r="D6" s="531"/>
      <c r="E6" s="532" t="s">
        <v>85</v>
      </c>
      <c r="F6" s="532" t="s">
        <v>86</v>
      </c>
      <c r="G6" s="533" t="s">
        <v>87</v>
      </c>
      <c r="H6" s="507"/>
      <c r="I6" s="530"/>
      <c r="J6" s="531"/>
      <c r="K6" s="532" t="s">
        <v>85</v>
      </c>
      <c r="L6" s="532" t="s">
        <v>86</v>
      </c>
      <c r="M6" s="534" t="s">
        <v>87</v>
      </c>
      <c r="N6" s="508"/>
      <c r="O6" s="509"/>
      <c r="P6" s="527" t="s">
        <v>381</v>
      </c>
      <c r="Q6" s="528">
        <f>'2020 BLS Chart'!C12</f>
        <v>45375.199999999997</v>
      </c>
      <c r="R6" s="529" t="s">
        <v>382</v>
      </c>
    </row>
    <row r="7" spans="2:37" ht="19.149999999999999" customHeight="1" x14ac:dyDescent="0.35">
      <c r="B7" s="535"/>
      <c r="C7" s="749" t="str">
        <f>P6</f>
        <v>Substance Abuse Case Worker (BA Level Social Work)</v>
      </c>
      <c r="D7" s="536"/>
      <c r="E7" s="537"/>
      <c r="F7" s="538"/>
      <c r="G7" s="539"/>
      <c r="H7" s="507"/>
      <c r="I7" s="540" t="s">
        <v>325</v>
      </c>
      <c r="J7" s="536"/>
      <c r="K7" s="541"/>
      <c r="L7" s="541"/>
      <c r="M7" s="542"/>
      <c r="N7" s="508"/>
      <c r="O7" s="509"/>
      <c r="P7" s="752" t="s">
        <v>383</v>
      </c>
      <c r="Q7" s="753"/>
      <c r="R7" s="754"/>
    </row>
    <row r="8" spans="2:37" ht="17.25" customHeight="1" x14ac:dyDescent="0.35">
      <c r="B8" s="535"/>
      <c r="C8" s="750"/>
      <c r="D8" s="536"/>
      <c r="E8" s="537">
        <f>Q6</f>
        <v>45375.199999999997</v>
      </c>
      <c r="F8" s="543">
        <f>Q9</f>
        <v>1</v>
      </c>
      <c r="G8" s="544">
        <f>E8*F8</f>
        <v>45375.199999999997</v>
      </c>
      <c r="H8" s="507"/>
      <c r="I8" s="545" t="s">
        <v>384</v>
      </c>
      <c r="J8" s="536"/>
      <c r="K8" s="546">
        <f>Q5</f>
        <v>0</v>
      </c>
      <c r="L8" s="547">
        <f>Q8</f>
        <v>0</v>
      </c>
      <c r="M8" s="548">
        <f>K8*L8</f>
        <v>0</v>
      </c>
      <c r="N8" s="508"/>
      <c r="O8" s="509"/>
      <c r="P8" s="527"/>
      <c r="Q8" s="549"/>
      <c r="R8" s="529"/>
    </row>
    <row r="9" spans="2:37" ht="17.25" customHeight="1" thickBot="1" x14ac:dyDescent="0.4">
      <c r="B9" s="535"/>
      <c r="C9" s="751"/>
      <c r="D9" s="536"/>
      <c r="E9" s="546"/>
      <c r="F9" s="547"/>
      <c r="G9" s="544"/>
      <c r="H9" s="507"/>
      <c r="I9" s="545"/>
      <c r="J9" s="536"/>
      <c r="K9" s="546"/>
      <c r="L9" s="547"/>
      <c r="M9" s="548"/>
      <c r="N9" s="508"/>
      <c r="O9" s="509"/>
      <c r="P9" s="527" t="str">
        <f>P6</f>
        <v>Substance Abuse Case Worker (BA Level Social Work)</v>
      </c>
      <c r="Q9" s="549">
        <v>1</v>
      </c>
      <c r="R9" s="529" t="s">
        <v>385</v>
      </c>
    </row>
    <row r="10" spans="2:37" ht="21.75" thickBot="1" x14ac:dyDescent="0.4">
      <c r="B10" s="550"/>
      <c r="C10" s="551" t="s">
        <v>334</v>
      </c>
      <c r="D10" s="552"/>
      <c r="E10" s="552"/>
      <c r="F10" s="553">
        <f>SUM(F7:F8)</f>
        <v>1</v>
      </c>
      <c r="G10" s="554">
        <f>G8+G7</f>
        <v>45375.199999999997</v>
      </c>
      <c r="H10" s="507"/>
      <c r="I10" s="551" t="s">
        <v>334</v>
      </c>
      <c r="J10" s="552"/>
      <c r="K10" s="552"/>
      <c r="L10" s="553">
        <f>SUM(L8:L8)</f>
        <v>0</v>
      </c>
      <c r="M10" s="554">
        <f>M8</f>
        <v>0</v>
      </c>
      <c r="N10" s="508"/>
      <c r="O10" s="509"/>
      <c r="P10" s="752" t="s">
        <v>337</v>
      </c>
      <c r="Q10" s="753"/>
      <c r="R10" s="754"/>
    </row>
    <row r="11" spans="2:37" ht="21" x14ac:dyDescent="0.35">
      <c r="B11" s="521"/>
      <c r="C11" s="555" t="str">
        <f>P12</f>
        <v>PFLMA Contribution</v>
      </c>
      <c r="D11" s="524"/>
      <c r="E11" s="556">
        <f>Q12</f>
        <v>3.7000000000000002E-3</v>
      </c>
      <c r="F11" s="541"/>
      <c r="G11" s="544">
        <f>G10*E11</f>
        <v>167.88824</v>
      </c>
      <c r="H11" s="507"/>
      <c r="I11" s="522"/>
      <c r="J11" s="524"/>
      <c r="K11" s="524"/>
      <c r="L11" s="541"/>
      <c r="M11" s="526"/>
      <c r="N11" s="508"/>
      <c r="O11" s="509"/>
      <c r="P11" s="527" t="s">
        <v>386</v>
      </c>
      <c r="Q11" s="557">
        <v>0.224</v>
      </c>
      <c r="R11" s="529" t="s">
        <v>387</v>
      </c>
    </row>
    <row r="12" spans="2:37" ht="32.450000000000003" customHeight="1" thickBot="1" x14ac:dyDescent="0.4">
      <c r="B12" s="550"/>
      <c r="C12" s="558" t="s">
        <v>336</v>
      </c>
      <c r="D12" s="559"/>
      <c r="E12" s="560">
        <f>Q11</f>
        <v>0.224</v>
      </c>
      <c r="F12" s="561"/>
      <c r="G12" s="562">
        <f>E12*G10</f>
        <v>10164.0448</v>
      </c>
      <c r="H12" s="507"/>
      <c r="I12" s="558" t="s">
        <v>336</v>
      </c>
      <c r="J12" s="559"/>
      <c r="K12" s="563">
        <f>Q11</f>
        <v>0.224</v>
      </c>
      <c r="L12" s="561"/>
      <c r="M12" s="564">
        <f>K12*M10</f>
        <v>0</v>
      </c>
      <c r="N12" s="508"/>
      <c r="O12" s="509"/>
      <c r="P12" s="527" t="s">
        <v>388</v>
      </c>
      <c r="Q12" s="557">
        <v>3.7000000000000002E-3</v>
      </c>
      <c r="R12" s="529"/>
    </row>
    <row r="13" spans="2:37" s="503" customFormat="1" ht="22.5" thickTop="1" thickBot="1" x14ac:dyDescent="0.4">
      <c r="B13" s="521"/>
      <c r="C13" s="565" t="s">
        <v>102</v>
      </c>
      <c r="D13" s="566"/>
      <c r="E13" s="566"/>
      <c r="F13" s="567"/>
      <c r="G13" s="568">
        <f>SUM(G10:G12)</f>
        <v>55707.133040000001</v>
      </c>
      <c r="H13" s="507"/>
      <c r="I13" s="565" t="s">
        <v>102</v>
      </c>
      <c r="J13" s="566"/>
      <c r="K13" s="566"/>
      <c r="L13" s="567"/>
      <c r="M13" s="569">
        <f>M12+M10</f>
        <v>0</v>
      </c>
      <c r="N13" s="508"/>
      <c r="O13" s="509"/>
      <c r="P13" s="570"/>
      <c r="Q13" s="571"/>
      <c r="R13" s="739" t="s">
        <v>389</v>
      </c>
      <c r="S13" s="505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</row>
    <row r="14" spans="2:37" s="503" customFormat="1" ht="25.9" customHeight="1" thickTop="1" x14ac:dyDescent="0.35">
      <c r="B14" s="550"/>
      <c r="C14" s="522"/>
      <c r="D14" s="536"/>
      <c r="E14" s="536"/>
      <c r="F14" s="573"/>
      <c r="G14" s="574"/>
      <c r="H14" s="507"/>
      <c r="I14" s="522"/>
      <c r="J14" s="536"/>
      <c r="K14" s="536"/>
      <c r="L14" s="573"/>
      <c r="M14" s="575"/>
      <c r="N14" s="508"/>
      <c r="O14" s="509"/>
      <c r="P14" s="570" t="s">
        <v>390</v>
      </c>
      <c r="Q14" s="571">
        <v>14000</v>
      </c>
      <c r="R14" s="739"/>
      <c r="S14" s="505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</row>
    <row r="15" spans="2:37" s="503" customFormat="1" ht="21" x14ac:dyDescent="0.35">
      <c r="B15" s="550"/>
      <c r="C15" s="555" t="s">
        <v>391</v>
      </c>
      <c r="D15" s="524"/>
      <c r="E15" s="576">
        <f>Q14</f>
        <v>14000</v>
      </c>
      <c r="F15" s="577"/>
      <c r="G15" s="548">
        <f>E15*F10</f>
        <v>14000</v>
      </c>
      <c r="H15" s="507"/>
      <c r="I15" s="555" t="s">
        <v>104</v>
      </c>
      <c r="J15" s="524"/>
      <c r="K15" s="524"/>
      <c r="L15" s="577"/>
      <c r="M15" s="548">
        <f>Q13*12*100*L10</f>
        <v>0</v>
      </c>
      <c r="N15" s="578"/>
      <c r="O15" s="579"/>
      <c r="P15" s="527" t="s">
        <v>392</v>
      </c>
      <c r="Q15" s="557">
        <v>0.12</v>
      </c>
      <c r="R15" s="529" t="s">
        <v>63</v>
      </c>
      <c r="S15" s="505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</row>
    <row r="16" spans="2:37" s="503" customFormat="1" ht="21.75" thickBot="1" x14ac:dyDescent="0.4">
      <c r="B16" s="505"/>
      <c r="C16" s="565" t="s">
        <v>353</v>
      </c>
      <c r="D16" s="566"/>
      <c r="E16" s="566"/>
      <c r="F16" s="580"/>
      <c r="G16" s="568">
        <f>SUM(G13:G15)</f>
        <v>69707.133040000001</v>
      </c>
      <c r="H16" s="507"/>
      <c r="I16" s="565" t="s">
        <v>353</v>
      </c>
      <c r="J16" s="566"/>
      <c r="K16" s="566"/>
      <c r="L16" s="580"/>
      <c r="M16" s="569">
        <f>SUM(M13:M15)</f>
        <v>0</v>
      </c>
      <c r="N16" s="508"/>
      <c r="O16" s="509"/>
      <c r="P16" s="581"/>
      <c r="Q16" s="582"/>
      <c r="R16" s="583"/>
      <c r="S16" s="505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</row>
    <row r="17" spans="2:37" s="503" customFormat="1" ht="42.75" thickTop="1" x14ac:dyDescent="0.35">
      <c r="B17" s="505"/>
      <c r="C17" s="555"/>
      <c r="D17" s="524"/>
      <c r="E17" s="524"/>
      <c r="F17" s="525"/>
      <c r="G17" s="544"/>
      <c r="H17" s="507"/>
      <c r="I17" s="555"/>
      <c r="J17" s="524"/>
      <c r="K17" s="524"/>
      <c r="L17" s="525"/>
      <c r="M17" s="526"/>
      <c r="N17" s="508"/>
      <c r="O17" s="509"/>
      <c r="P17" s="581" t="s">
        <v>393</v>
      </c>
      <c r="Q17" s="582">
        <f>'[13]CAF Spring 2021'!CB24</f>
        <v>1.0633805350099574E-2</v>
      </c>
      <c r="R17" s="584" t="s">
        <v>365</v>
      </c>
      <c r="S17" s="505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</row>
    <row r="18" spans="2:37" s="503" customFormat="1" ht="17.25" customHeight="1" x14ac:dyDescent="0.35">
      <c r="B18" s="505"/>
      <c r="C18" s="555" t="s">
        <v>357</v>
      </c>
      <c r="D18" s="524"/>
      <c r="E18" s="585">
        <f>Q15</f>
        <v>0.12</v>
      </c>
      <c r="F18" s="525"/>
      <c r="G18" s="544">
        <f>E18*G16</f>
        <v>8364.8559647999991</v>
      </c>
      <c r="H18" s="507"/>
      <c r="I18" s="555" t="s">
        <v>357</v>
      </c>
      <c r="J18" s="524"/>
      <c r="K18" s="586">
        <f>Q15</f>
        <v>0.12</v>
      </c>
      <c r="L18" s="525"/>
      <c r="M18" s="587">
        <f>K18*M16</f>
        <v>0</v>
      </c>
      <c r="N18" s="508"/>
      <c r="O18" s="509"/>
      <c r="P18" s="507"/>
      <c r="Q18" s="509"/>
      <c r="R18" s="507"/>
      <c r="S18" s="505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</row>
    <row r="19" spans="2:37" s="503" customFormat="1" ht="21.75" thickBot="1" x14ac:dyDescent="0.4">
      <c r="B19" s="505"/>
      <c r="C19" s="555"/>
      <c r="D19" s="524"/>
      <c r="E19" s="524"/>
      <c r="F19" s="525"/>
      <c r="G19" s="544"/>
      <c r="H19" s="507"/>
      <c r="I19" s="555"/>
      <c r="J19" s="524"/>
      <c r="K19" s="524"/>
      <c r="L19" s="525"/>
      <c r="M19" s="526"/>
      <c r="N19" s="508"/>
      <c r="O19" s="509"/>
      <c r="P19" s="507"/>
      <c r="Q19" s="509"/>
      <c r="R19" s="507"/>
      <c r="S19" s="505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</row>
    <row r="20" spans="2:37" s="503" customFormat="1" ht="15" customHeight="1" thickBot="1" x14ac:dyDescent="0.4">
      <c r="B20" s="505"/>
      <c r="C20" s="551" t="s">
        <v>112</v>
      </c>
      <c r="D20" s="588"/>
      <c r="E20" s="588"/>
      <c r="F20" s="589"/>
      <c r="G20" s="554">
        <f>SUM(G16:G18)</f>
        <v>78071.989004799994</v>
      </c>
      <c r="H20" s="507"/>
      <c r="I20" s="551" t="s">
        <v>112</v>
      </c>
      <c r="J20" s="588"/>
      <c r="K20" s="588"/>
      <c r="L20" s="589"/>
      <c r="M20" s="590">
        <f>SUM(M16:M18)</f>
        <v>0</v>
      </c>
      <c r="N20" s="508"/>
      <c r="O20" s="509"/>
      <c r="P20" s="507"/>
      <c r="Q20" s="509"/>
      <c r="R20" s="507"/>
      <c r="S20" s="505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</row>
    <row r="21" spans="2:37" s="503" customFormat="1" ht="21" x14ac:dyDescent="0.35">
      <c r="B21" s="505"/>
      <c r="C21" s="591"/>
      <c r="D21" s="592"/>
      <c r="E21" s="592"/>
      <c r="F21" s="593"/>
      <c r="G21" s="594"/>
      <c r="H21" s="507"/>
      <c r="I21" s="591"/>
      <c r="J21" s="592"/>
      <c r="K21" s="592"/>
      <c r="L21" s="593"/>
      <c r="M21" s="595"/>
      <c r="N21" s="596"/>
      <c r="O21" s="597"/>
      <c r="P21" s="507"/>
      <c r="Q21" s="509"/>
      <c r="R21" s="507"/>
      <c r="S21" s="505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</row>
    <row r="22" spans="2:37" s="503" customFormat="1" ht="21" x14ac:dyDescent="0.35">
      <c r="B22" s="505"/>
      <c r="C22" s="555" t="s">
        <v>394</v>
      </c>
      <c r="D22" s="524"/>
      <c r="E22" s="585">
        <f>Q17</f>
        <v>1.0633805350099574E-2</v>
      </c>
      <c r="F22" s="525"/>
      <c r="G22" s="598">
        <f>G20*(1+E22)</f>
        <v>78902.191339172161</v>
      </c>
      <c r="H22" s="507"/>
      <c r="I22" s="555" t="s">
        <v>308</v>
      </c>
      <c r="J22" s="524"/>
      <c r="K22" s="599">
        <f>Q16</f>
        <v>0</v>
      </c>
      <c r="L22" s="525"/>
      <c r="M22" s="598">
        <f>M20*(1+K22)</f>
        <v>0</v>
      </c>
      <c r="N22" s="600"/>
      <c r="O22" s="597"/>
      <c r="P22" s="507"/>
      <c r="Q22" s="509"/>
      <c r="R22" s="507"/>
      <c r="S22" s="505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</row>
    <row r="23" spans="2:37" ht="21" x14ac:dyDescent="0.35">
      <c r="B23" s="505"/>
      <c r="C23" s="555"/>
      <c r="D23" s="524"/>
      <c r="E23" s="524"/>
      <c r="F23" s="525"/>
      <c r="G23" s="601" t="s">
        <v>361</v>
      </c>
      <c r="H23" s="507"/>
      <c r="I23" s="555"/>
      <c r="J23" s="524"/>
      <c r="K23" s="524"/>
      <c r="L23" s="525"/>
      <c r="M23" s="602" t="s">
        <v>361</v>
      </c>
      <c r="N23" s="603"/>
      <c r="O23" s="597"/>
      <c r="P23" s="507"/>
      <c r="Q23" s="509"/>
      <c r="R23" s="507"/>
    </row>
    <row r="24" spans="2:37" ht="21.75" thickBot="1" x14ac:dyDescent="0.4">
      <c r="B24" s="505"/>
      <c r="C24" s="604" t="s">
        <v>363</v>
      </c>
      <c r="D24" s="605"/>
      <c r="E24" s="605"/>
      <c r="F24" s="606">
        <f>G20/G4</f>
        <v>15.013844039384614</v>
      </c>
      <c r="G24" s="701">
        <f>G22/G4</f>
        <v>15.173498334456184</v>
      </c>
      <c r="H24" s="507"/>
      <c r="I24" s="604" t="s">
        <v>363</v>
      </c>
      <c r="J24" s="605"/>
      <c r="K24" s="605"/>
      <c r="L24" s="606">
        <f>M20/M4</f>
        <v>0</v>
      </c>
      <c r="M24" s="607">
        <f>M22/M4</f>
        <v>0</v>
      </c>
      <c r="N24" s="608"/>
      <c r="O24" s="597"/>
      <c r="P24" s="507"/>
      <c r="Q24" s="509"/>
      <c r="R24" s="507"/>
    </row>
    <row r="25" spans="2:37" ht="21" x14ac:dyDescent="0.35">
      <c r="B25" s="505"/>
      <c r="C25" s="507"/>
      <c r="D25" s="507"/>
      <c r="E25" s="609"/>
      <c r="F25" s="610"/>
      <c r="G25" s="611"/>
      <c r="H25" s="507"/>
      <c r="I25" s="507"/>
      <c r="J25" s="507"/>
      <c r="K25" s="609"/>
      <c r="L25" s="610"/>
      <c r="M25" s="612"/>
      <c r="N25" s="603"/>
      <c r="O25" s="613"/>
      <c r="P25" s="507"/>
      <c r="Q25" s="509"/>
      <c r="R25" s="507"/>
    </row>
    <row r="26" spans="2:37" ht="21" x14ac:dyDescent="0.35">
      <c r="B26" s="505"/>
      <c r="C26" s="507"/>
      <c r="D26" s="507"/>
      <c r="E26" s="609"/>
      <c r="F26" s="610"/>
      <c r="G26" s="614"/>
      <c r="H26" s="507"/>
      <c r="I26" s="507"/>
      <c r="J26" s="507"/>
      <c r="K26" s="609"/>
      <c r="L26" s="610"/>
      <c r="M26" s="612"/>
      <c r="N26" s="608"/>
      <c r="O26" s="613"/>
      <c r="P26" s="507"/>
      <c r="Q26" s="509"/>
      <c r="R26" s="507"/>
    </row>
    <row r="27" spans="2:37" ht="21" x14ac:dyDescent="0.35">
      <c r="B27" s="505"/>
      <c r="C27" s="507"/>
      <c r="D27" s="507"/>
      <c r="E27" s="507"/>
      <c r="F27" s="509"/>
      <c r="G27" s="507"/>
      <c r="H27" s="507"/>
      <c r="I27" s="507"/>
      <c r="J27" s="507"/>
      <c r="K27" s="507"/>
      <c r="L27" s="509"/>
      <c r="M27" s="507"/>
      <c r="N27" s="603"/>
      <c r="O27" s="613"/>
      <c r="P27" s="507"/>
      <c r="Q27" s="509"/>
      <c r="R27" s="507"/>
    </row>
    <row r="28" spans="2:37" s="503" customFormat="1" ht="21" x14ac:dyDescent="0.35">
      <c r="B28" s="501"/>
      <c r="C28" s="507"/>
      <c r="D28" s="507"/>
      <c r="E28" s="611"/>
      <c r="F28" s="611"/>
      <c r="G28" s="611"/>
      <c r="H28" s="507"/>
      <c r="I28" s="507"/>
      <c r="J28" s="507"/>
      <c r="K28" s="507"/>
      <c r="L28" s="509"/>
      <c r="M28" s="507"/>
      <c r="N28" s="603"/>
      <c r="O28" s="597"/>
      <c r="P28" s="507"/>
      <c r="Q28" s="509"/>
      <c r="R28" s="507"/>
      <c r="S28" s="505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</row>
    <row r="29" spans="2:37" s="503" customFormat="1" ht="21" x14ac:dyDescent="0.35">
      <c r="B29" s="501"/>
      <c r="C29" s="507"/>
      <c r="D29" s="507"/>
      <c r="E29" s="507"/>
      <c r="F29" s="509"/>
      <c r="G29" s="507"/>
      <c r="H29" s="507"/>
      <c r="I29" s="507"/>
      <c r="J29" s="507"/>
      <c r="K29" s="507"/>
      <c r="L29" s="509"/>
      <c r="M29" s="507"/>
      <c r="N29" s="508"/>
      <c r="O29" s="509"/>
      <c r="P29" s="507"/>
      <c r="Q29" s="509"/>
      <c r="R29" s="507"/>
      <c r="S29" s="505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</row>
    <row r="30" spans="2:37" ht="21" x14ac:dyDescent="0.35">
      <c r="C30" s="507"/>
      <c r="D30" s="507"/>
      <c r="E30" s="507"/>
      <c r="F30" s="509"/>
      <c r="G30" s="507"/>
      <c r="H30" s="507"/>
      <c r="I30" s="507"/>
      <c r="J30" s="507"/>
      <c r="K30" s="507"/>
      <c r="L30" s="509"/>
      <c r="M30" s="507"/>
      <c r="N30" s="508"/>
      <c r="O30" s="509"/>
      <c r="P30" s="507"/>
      <c r="Q30" s="509"/>
      <c r="R30" s="507"/>
    </row>
    <row r="31" spans="2:37" ht="21" x14ac:dyDescent="0.35">
      <c r="C31" s="507"/>
      <c r="D31" s="507"/>
      <c r="E31" s="507"/>
      <c r="F31" s="509"/>
      <c r="G31" s="507"/>
      <c r="H31" s="507"/>
      <c r="I31" s="507"/>
      <c r="J31" s="507"/>
      <c r="K31" s="507"/>
      <c r="L31" s="509"/>
      <c r="M31" s="507"/>
      <c r="N31" s="508"/>
      <c r="O31" s="509"/>
      <c r="P31" s="507"/>
      <c r="Q31" s="509"/>
      <c r="R31" s="507"/>
    </row>
  </sheetData>
  <mergeCells count="7">
    <mergeCell ref="R13:R14"/>
    <mergeCell ref="C3:G3"/>
    <mergeCell ref="I3:M3"/>
    <mergeCell ref="P4:R4"/>
    <mergeCell ref="C7:C9"/>
    <mergeCell ref="P7:R7"/>
    <mergeCell ref="P10:R10"/>
  </mergeCells>
  <pageMargins left="0.25" right="0.25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2020 BLS Chart</vt:lpstr>
      <vt:lpstr>Youth Res Rate Models(2022)</vt:lpstr>
      <vt:lpstr>TILP Rates (A&amp;B) 2022</vt:lpstr>
      <vt:lpstr> Add-Ons (DC &amp; Clinical (2022)</vt:lpstr>
      <vt:lpstr>FY20 UFR Data</vt:lpstr>
      <vt:lpstr>CAF Spring 2021</vt:lpstr>
      <vt:lpstr>2022 CSN Model Budgets </vt:lpstr>
      <vt:lpstr>CSN Add On Rates </vt:lpstr>
      <vt:lpstr>READY review-2514 (FY22)</vt:lpstr>
      <vt:lpstr>' Add-Ons (DC &amp; Clinical (2022)'!Print_Area</vt:lpstr>
      <vt:lpstr>'2020 BLS Chart'!Print_Area</vt:lpstr>
      <vt:lpstr>'2022 CSN Model Budgets '!Print_Area</vt:lpstr>
      <vt:lpstr>'READY review-2514 (FY22)'!Print_Area</vt:lpstr>
      <vt:lpstr>'TILP Rates (A&amp;B) 2022'!Print_Area</vt:lpstr>
      <vt:lpstr>'Youth Res Rate Models(2022)'!Print_Area</vt:lpstr>
      <vt:lpstr>'CAF Spring 2021'!Print_Titles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Harrison, Deborah (EHS)</cp:lastModifiedBy>
  <dcterms:created xsi:type="dcterms:W3CDTF">2021-10-15T15:15:37Z</dcterms:created>
  <dcterms:modified xsi:type="dcterms:W3CDTF">2021-12-15T16:31:00Z</dcterms:modified>
</cp:coreProperties>
</file>