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65" windowWidth="21060" windowHeight="8085" tabRatio="722"/>
  </bookViews>
  <sheets>
    <sheet name="CIRT " sheetId="4" r:id="rId1"/>
    <sheet name="IRTP " sheetId="5" r:id="rId2"/>
    <sheet name="Teen Parent" sheetId="1" r:id="rId3"/>
    <sheet name="Group Home" sheetId="6" r:id="rId4"/>
    <sheet name="STARR " sheetId="7" r:id="rId5"/>
    <sheet name="Continuum " sheetId="8" r:id="rId6"/>
    <sheet name="FA - SO " sheetId="9" r:id="rId7"/>
    <sheet name="SpecPgm-TAY" sheetId="10" r:id="rId8"/>
    <sheet name="SpecPgm-1t1 SL " sheetId="11" r:id="rId9"/>
    <sheet name="SpecPgm-1t2 GH " sheetId="12" r:id="rId10"/>
    <sheet name="Inten GH w exp. Nurs " sheetId="13" r:id="rId11"/>
    <sheet name="SpecPgm-Med.Com N.GH " sheetId="14" r:id="rId12"/>
    <sheet name="SpecPgm-TransIFC" sheetId="16" r:id="rId13"/>
    <sheet name="Salary Bench Chart" sheetId="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0">'CIRT '!$H$1:$S$59</definedName>
    <definedName name="_xlnm.Print_Area" localSheetId="5">'Continuum '!$B$1:$G$123</definedName>
    <definedName name="_xlnm.Print_Area" localSheetId="6">'FA - SO '!$A$6:$E$74</definedName>
    <definedName name="_xlnm.Print_Area" localSheetId="3">'Group Home'!$H$1:$S$159</definedName>
    <definedName name="_xlnm.Print_Area" localSheetId="10">'Inten GH w exp. Nurs '!$A$6:$E$51</definedName>
    <definedName name="_xlnm.Print_Area" localSheetId="1">'IRTP '!$A$1:$Y$60</definedName>
    <definedName name="_xlnm.Print_Area" localSheetId="13">'Salary Bench Chart'!$B$1:$G$32</definedName>
    <definedName name="_xlnm.Print_Area" localSheetId="8">'SpecPgm-1t1 SL '!$A$6:$E$43</definedName>
    <definedName name="_xlnm.Print_Area" localSheetId="9">'SpecPgm-1t2 GH '!$A$6:$E$49</definedName>
    <definedName name="_xlnm.Print_Area" localSheetId="11">'SpecPgm-Med.Com N.GH '!$H$47:$N$130</definedName>
    <definedName name="_xlnm.Print_Area" localSheetId="7">'SpecPgm-TAY'!$A$1:$E$89</definedName>
    <definedName name="_xlnm.Print_Area" localSheetId="12">'SpecPgm-TransIFC'!$A$6:$F$41</definedName>
    <definedName name="_xlnm.Print_Area" localSheetId="4">'STARR '!$H$62:$N$122</definedName>
    <definedName name="_xlnm.Print_Area" localSheetId="2">'Teen Parent'!$A$1:$O$136</definedName>
    <definedName name="Program_File" localSheetId="12">#REF!</definedName>
    <definedName name="Program_File">#REF!</definedName>
    <definedName name="ProvFTE">'[1]FTE Data'!$A$3:$AW$56</definedName>
    <definedName name="PurchasedBy">'[1]FTE Data'!$C$263:$AZ$657</definedName>
    <definedName name="Site_list">[1]Lists!$A$2:$A$53</definedName>
  </definedNames>
  <calcPr calcId="145621"/>
</workbook>
</file>

<file path=xl/calcChain.xml><?xml version="1.0" encoding="utf-8"?>
<calcChain xmlns="http://schemas.openxmlformats.org/spreadsheetml/2006/main">
  <c r="J41" i="16" l="1"/>
  <c r="J42" i="16" s="1"/>
  <c r="H71" i="1" l="1"/>
  <c r="F32" i="8" l="1"/>
  <c r="F34" i="8"/>
  <c r="G36" i="8"/>
  <c r="J14" i="16" l="1"/>
  <c r="J15" i="16"/>
  <c r="C13" i="16" s="1"/>
  <c r="J30" i="16"/>
  <c r="B27" i="16" s="1"/>
  <c r="J24" i="16"/>
  <c r="C17" i="16" s="1"/>
  <c r="J25" i="16"/>
  <c r="B23" i="16" s="1"/>
  <c r="J26" i="16"/>
  <c r="D20" i="16" s="1"/>
  <c r="J28" i="16"/>
  <c r="C24" i="16" s="1"/>
  <c r="A27" i="16"/>
  <c r="A23" i="16"/>
  <c r="J21" i="16"/>
  <c r="J20" i="16"/>
  <c r="J18" i="16"/>
  <c r="B8" i="16" s="1"/>
  <c r="E8" i="16" s="1"/>
  <c r="C12" i="16"/>
  <c r="D13" i="16"/>
  <c r="D12" i="16"/>
  <c r="J8" i="16"/>
  <c r="J7" i="16"/>
  <c r="J6" i="16"/>
  <c r="J5" i="16"/>
  <c r="D14" i="16" l="1"/>
  <c r="E12" i="16"/>
  <c r="E13" i="16"/>
  <c r="E20" i="16"/>
  <c r="J9" i="16"/>
  <c r="J10" i="16" s="1"/>
  <c r="E14" i="16" l="1"/>
  <c r="E23" i="16" l="1"/>
  <c r="E17" i="16"/>
  <c r="E18" i="16" s="1"/>
  <c r="D18" i="16" l="1"/>
  <c r="E22" i="16"/>
  <c r="E24" i="16" l="1"/>
  <c r="E26" i="16" s="1"/>
  <c r="E27" i="16" s="1"/>
  <c r="E28" i="16" s="1"/>
  <c r="F32" i="16" s="1"/>
  <c r="F33" i="16" l="1"/>
  <c r="I111" i="14" l="1"/>
  <c r="I68" i="14"/>
  <c r="I25" i="14"/>
  <c r="S39" i="14"/>
  <c r="S22" i="14"/>
  <c r="J18" i="14" s="1"/>
  <c r="S20" i="14"/>
  <c r="C16" i="14" s="1"/>
  <c r="S19" i="14"/>
  <c r="J15" i="14" s="1"/>
  <c r="S18" i="14"/>
  <c r="C14" i="14" s="1"/>
  <c r="J23" i="13"/>
  <c r="S16" i="14"/>
  <c r="S15" i="14"/>
  <c r="H158" i="14"/>
  <c r="H159" i="14" s="1"/>
  <c r="H148" i="14"/>
  <c r="H149" i="14" s="1"/>
  <c r="H137" i="14"/>
  <c r="G137" i="14"/>
  <c r="F137" i="14"/>
  <c r="E137" i="14"/>
  <c r="D137" i="14"/>
  <c r="C137" i="14"/>
  <c r="B137" i="14"/>
  <c r="H136" i="14"/>
  <c r="G136" i="14"/>
  <c r="F136" i="14"/>
  <c r="E136" i="14"/>
  <c r="D136" i="14"/>
  <c r="C136" i="14"/>
  <c r="B136" i="14"/>
  <c r="H139" i="14" s="1"/>
  <c r="H140" i="14" s="1"/>
  <c r="K58" i="14" s="1"/>
  <c r="M113" i="14"/>
  <c r="N113" i="14" s="1"/>
  <c r="K113" i="14"/>
  <c r="L113" i="14" s="1"/>
  <c r="M112" i="14"/>
  <c r="L112" i="14"/>
  <c r="H111" i="14"/>
  <c r="K105" i="14"/>
  <c r="M104" i="14"/>
  <c r="M102" i="14"/>
  <c r="M100" i="14"/>
  <c r="M97" i="14"/>
  <c r="M95" i="14"/>
  <c r="M105" i="14" s="1"/>
  <c r="N92" i="14"/>
  <c r="L92" i="14"/>
  <c r="H79" i="14"/>
  <c r="H122" i="14" s="1"/>
  <c r="M70" i="14"/>
  <c r="N70" i="14" s="1"/>
  <c r="K70" i="14"/>
  <c r="L70" i="14" s="1"/>
  <c r="M69" i="14"/>
  <c r="K69" i="14"/>
  <c r="H68" i="14"/>
  <c r="N49" i="14"/>
  <c r="L49" i="14"/>
  <c r="S47" i="14"/>
  <c r="I79" i="14" s="1"/>
  <c r="I122" i="14" s="1"/>
  <c r="S45" i="14"/>
  <c r="J76" i="14" s="1"/>
  <c r="S42" i="14"/>
  <c r="M71" i="14" s="1"/>
  <c r="N71" i="14" s="1"/>
  <c r="C41" i="14"/>
  <c r="S38" i="14"/>
  <c r="J108" i="14" s="1"/>
  <c r="C37" i="14"/>
  <c r="I36" i="14"/>
  <c r="H36" i="14"/>
  <c r="S35" i="14"/>
  <c r="K61" i="14" s="1"/>
  <c r="M61" i="14" s="1"/>
  <c r="J33" i="14"/>
  <c r="S31" i="14"/>
  <c r="K57" i="14" s="1"/>
  <c r="M57" i="14" s="1"/>
  <c r="S29" i="14"/>
  <c r="S28" i="14"/>
  <c r="M28" i="14"/>
  <c r="K28" i="14"/>
  <c r="D28" i="14"/>
  <c r="M27" i="14"/>
  <c r="K27" i="14"/>
  <c r="D27" i="14"/>
  <c r="S26" i="14"/>
  <c r="K9" i="14" s="1"/>
  <c r="M26" i="14"/>
  <c r="M29" i="14" s="1"/>
  <c r="K26" i="14"/>
  <c r="D26" i="14"/>
  <c r="D29" i="14" s="1"/>
  <c r="S25" i="14"/>
  <c r="B6" i="14" s="1"/>
  <c r="E6" i="14" s="1"/>
  <c r="H25" i="14"/>
  <c r="C22" i="14"/>
  <c r="K18" i="14"/>
  <c r="M18" i="14" s="1"/>
  <c r="D18" i="14"/>
  <c r="C18" i="14"/>
  <c r="C11" i="14"/>
  <c r="K15" i="14"/>
  <c r="M15" i="14" s="1"/>
  <c r="D15" i="14"/>
  <c r="K14" i="14"/>
  <c r="J14" i="14"/>
  <c r="D14" i="14"/>
  <c r="S13" i="14"/>
  <c r="C9" i="14" s="1"/>
  <c r="J13" i="14"/>
  <c r="K12" i="14"/>
  <c r="J12" i="14"/>
  <c r="D12" i="14"/>
  <c r="C12" i="14"/>
  <c r="K11" i="14"/>
  <c r="J11" i="14"/>
  <c r="D11" i="14"/>
  <c r="J9" i="14"/>
  <c r="S8" i="14"/>
  <c r="S7" i="14"/>
  <c r="S6" i="14"/>
  <c r="N6" i="14"/>
  <c r="N28" i="14" s="1"/>
  <c r="L6" i="14"/>
  <c r="L28" i="14" s="1"/>
  <c r="S5" i="14"/>
  <c r="J64" i="13"/>
  <c r="J54" i="13"/>
  <c r="C29" i="13" s="1"/>
  <c r="J55" i="13"/>
  <c r="J30" i="13"/>
  <c r="J29" i="13"/>
  <c r="J28" i="13"/>
  <c r="J26" i="13"/>
  <c r="J25" i="13"/>
  <c r="J22" i="13"/>
  <c r="J20" i="13"/>
  <c r="J18" i="13"/>
  <c r="J17" i="13"/>
  <c r="C14" i="13" s="1"/>
  <c r="J62" i="13"/>
  <c r="J59" i="13"/>
  <c r="J57" i="13"/>
  <c r="J56" i="13"/>
  <c r="J49" i="13"/>
  <c r="J46" i="13"/>
  <c r="J44" i="13"/>
  <c r="B43" i="13"/>
  <c r="A43" i="13"/>
  <c r="J41" i="13"/>
  <c r="J40" i="13"/>
  <c r="D16" i="13" s="1"/>
  <c r="C40" i="13"/>
  <c r="J39" i="13"/>
  <c r="J38" i="13"/>
  <c r="J37" i="13"/>
  <c r="D13" i="13" s="1"/>
  <c r="J35" i="13"/>
  <c r="D11" i="13" s="1"/>
  <c r="D35" i="13"/>
  <c r="E35" i="13" s="1"/>
  <c r="D34" i="13"/>
  <c r="E34" i="13" s="1"/>
  <c r="D33" i="13"/>
  <c r="E33" i="13" s="1"/>
  <c r="D32" i="13"/>
  <c r="B31" i="13"/>
  <c r="A31" i="13"/>
  <c r="C25" i="13"/>
  <c r="E25" i="13" s="1"/>
  <c r="C23" i="13"/>
  <c r="C21" i="13"/>
  <c r="D25" i="13"/>
  <c r="D24" i="13"/>
  <c r="C24" i="13"/>
  <c r="E24" i="13" s="1"/>
  <c r="C19" i="13"/>
  <c r="D23" i="13"/>
  <c r="D20" i="13"/>
  <c r="J19" i="13"/>
  <c r="D19" i="13"/>
  <c r="C15" i="13"/>
  <c r="D17" i="13"/>
  <c r="C17" i="13"/>
  <c r="J16" i="13"/>
  <c r="C16" i="13"/>
  <c r="D15" i="13"/>
  <c r="J14" i="13"/>
  <c r="C11" i="13" s="1"/>
  <c r="E11" i="13" s="1"/>
  <c r="D14" i="13"/>
  <c r="C13" i="13"/>
  <c r="E13" i="13" s="1"/>
  <c r="J9" i="13"/>
  <c r="J8" i="13"/>
  <c r="E8" i="13"/>
  <c r="B8" i="13"/>
  <c r="J7" i="13"/>
  <c r="J6" i="13"/>
  <c r="J10" i="13" s="1"/>
  <c r="J11" i="13" s="1"/>
  <c r="B27" i="12"/>
  <c r="J45" i="12"/>
  <c r="J34" i="12"/>
  <c r="J35" i="12"/>
  <c r="J15" i="12"/>
  <c r="J20" i="12"/>
  <c r="C18" i="12" s="1"/>
  <c r="J19" i="12"/>
  <c r="J18" i="12"/>
  <c r="C16" i="12" s="1"/>
  <c r="J16" i="12"/>
  <c r="B38" i="12"/>
  <c r="J43" i="12"/>
  <c r="J40" i="12"/>
  <c r="D30" i="12" s="1"/>
  <c r="J39" i="12"/>
  <c r="J38" i="12"/>
  <c r="J41" i="12" s="1"/>
  <c r="A38" i="12"/>
  <c r="C35" i="12"/>
  <c r="C22" i="12"/>
  <c r="J29" i="12"/>
  <c r="D16" i="12" s="1"/>
  <c r="D29" i="12"/>
  <c r="D28" i="12"/>
  <c r="D31" i="12" s="1"/>
  <c r="J27" i="12"/>
  <c r="D14" i="12" s="1"/>
  <c r="A27" i="12"/>
  <c r="J26" i="12"/>
  <c r="E26" i="12"/>
  <c r="C26" i="12"/>
  <c r="J24" i="12"/>
  <c r="D11" i="12" s="1"/>
  <c r="J23" i="12"/>
  <c r="B8" i="12" s="1"/>
  <c r="E8" i="12" s="1"/>
  <c r="D17" i="12"/>
  <c r="C17" i="12"/>
  <c r="E17" i="12" s="1"/>
  <c r="C14" i="12"/>
  <c r="J13" i="12"/>
  <c r="C11" i="12" s="1"/>
  <c r="D13" i="12"/>
  <c r="C13" i="12"/>
  <c r="J8" i="12"/>
  <c r="J7" i="12"/>
  <c r="J6" i="12"/>
  <c r="J5" i="12"/>
  <c r="B25" i="11"/>
  <c r="I42" i="11"/>
  <c r="I34" i="11"/>
  <c r="I35" i="11"/>
  <c r="I20" i="11"/>
  <c r="I19" i="11"/>
  <c r="I18" i="11"/>
  <c r="C16" i="11" s="1"/>
  <c r="E16" i="11" s="1"/>
  <c r="I15" i="11"/>
  <c r="I40" i="11"/>
  <c r="C32" i="11" s="1"/>
  <c r="I37" i="11"/>
  <c r="D27" i="11" s="1"/>
  <c r="I36" i="11"/>
  <c r="B35" i="11"/>
  <c r="A35" i="11"/>
  <c r="C22" i="11"/>
  <c r="I27" i="11"/>
  <c r="I26" i="11"/>
  <c r="D26" i="11"/>
  <c r="A25" i="11"/>
  <c r="I24" i="11"/>
  <c r="D11" i="11" s="1"/>
  <c r="I23" i="11"/>
  <c r="C18" i="11"/>
  <c r="D17" i="11"/>
  <c r="C17" i="11"/>
  <c r="E17" i="11" s="1"/>
  <c r="D16" i="11"/>
  <c r="D14" i="11"/>
  <c r="C14" i="11"/>
  <c r="I13" i="11"/>
  <c r="C11" i="11" s="1"/>
  <c r="D13" i="11"/>
  <c r="C13" i="11"/>
  <c r="I8" i="11"/>
  <c r="B8" i="11"/>
  <c r="E8" i="11" s="1"/>
  <c r="I7" i="11"/>
  <c r="I6" i="11"/>
  <c r="I5" i="11"/>
  <c r="B81" i="10"/>
  <c r="C67" i="10"/>
  <c r="B71" i="10"/>
  <c r="I45" i="10"/>
  <c r="I56" i="10"/>
  <c r="I46" i="10"/>
  <c r="I25" i="10"/>
  <c r="C63" i="10" s="1"/>
  <c r="I23" i="10"/>
  <c r="C61" i="10" s="1"/>
  <c r="I22" i="10"/>
  <c r="C60" i="10" s="1"/>
  <c r="I20" i="10"/>
  <c r="I16" i="10"/>
  <c r="C54" i="10" s="1"/>
  <c r="I18" i="10"/>
  <c r="A81" i="10"/>
  <c r="A71" i="10"/>
  <c r="I54" i="10"/>
  <c r="C78" i="10" s="1"/>
  <c r="J51" i="10"/>
  <c r="D73" i="10" s="1"/>
  <c r="I51" i="10"/>
  <c r="J50" i="10"/>
  <c r="D72" i="10" s="1"/>
  <c r="I50" i="10"/>
  <c r="I52" i="10" s="1"/>
  <c r="I47" i="10"/>
  <c r="C70" i="10" s="1"/>
  <c r="J42" i="10"/>
  <c r="D63" i="10" s="1"/>
  <c r="I42" i="10"/>
  <c r="D15" i="10" s="1"/>
  <c r="B35" i="10"/>
  <c r="A35" i="10"/>
  <c r="J39" i="10"/>
  <c r="D60" i="10" s="1"/>
  <c r="I39" i="10"/>
  <c r="D12" i="10" s="1"/>
  <c r="J38" i="10"/>
  <c r="D59" i="10" s="1"/>
  <c r="J37" i="10"/>
  <c r="D58" i="10" s="1"/>
  <c r="I37" i="10"/>
  <c r="J35" i="10"/>
  <c r="D56" i="10" s="1"/>
  <c r="I35" i="10"/>
  <c r="J34" i="10"/>
  <c r="D55" i="10" s="1"/>
  <c r="J33" i="10"/>
  <c r="D54" i="10" s="1"/>
  <c r="I33" i="10"/>
  <c r="D8" i="10" s="1"/>
  <c r="D27" i="10"/>
  <c r="E27" i="10" s="1"/>
  <c r="J32" i="10"/>
  <c r="D53" i="10" s="1"/>
  <c r="I32" i="10"/>
  <c r="D26" i="10"/>
  <c r="E26" i="10" s="1"/>
  <c r="D25" i="10"/>
  <c r="J30" i="10"/>
  <c r="D51" i="10" s="1"/>
  <c r="I30" i="10"/>
  <c r="E24" i="10"/>
  <c r="J29" i="10"/>
  <c r="B48" i="10" s="1"/>
  <c r="E48" i="10" s="1"/>
  <c r="I29" i="10"/>
  <c r="B2" i="10" s="1"/>
  <c r="E2" i="10" s="1"/>
  <c r="B23" i="10"/>
  <c r="A23" i="10"/>
  <c r="C22" i="10"/>
  <c r="C15" i="10"/>
  <c r="C58" i="10"/>
  <c r="C56" i="10"/>
  <c r="E56" i="10" s="1"/>
  <c r="I17" i="10"/>
  <c r="C55" i="10" s="1"/>
  <c r="D11" i="10"/>
  <c r="I15" i="10"/>
  <c r="C53" i="10" s="1"/>
  <c r="D9" i="10"/>
  <c r="I13" i="10"/>
  <c r="C51" i="10" s="1"/>
  <c r="D7" i="10"/>
  <c r="C7" i="10"/>
  <c r="D5" i="10"/>
  <c r="C5" i="10"/>
  <c r="I8" i="10"/>
  <c r="I7" i="10"/>
  <c r="I6" i="10"/>
  <c r="I5" i="10"/>
  <c r="I9" i="10" s="1"/>
  <c r="I10" i="10" s="1"/>
  <c r="J40" i="10" s="1"/>
  <c r="D61" i="10" s="1"/>
  <c r="B61" i="9"/>
  <c r="B27" i="9"/>
  <c r="J38" i="9"/>
  <c r="J21" i="9"/>
  <c r="J19" i="9"/>
  <c r="J18" i="9"/>
  <c r="J15" i="9"/>
  <c r="C13" i="9" s="1"/>
  <c r="A61" i="9"/>
  <c r="J47" i="9"/>
  <c r="B69" i="9" s="1"/>
  <c r="H47" i="9"/>
  <c r="A69" i="9" s="1"/>
  <c r="J45" i="9"/>
  <c r="C66" i="9" s="1"/>
  <c r="J42" i="9"/>
  <c r="D62" i="9" s="1"/>
  <c r="J40" i="9"/>
  <c r="C60" i="9" s="1"/>
  <c r="J39" i="9"/>
  <c r="C59" i="9" s="1"/>
  <c r="J37" i="9"/>
  <c r="C56" i="9" s="1"/>
  <c r="B35" i="9"/>
  <c r="C32" i="9"/>
  <c r="J31" i="9"/>
  <c r="J32" i="9" s="1"/>
  <c r="K30" i="9"/>
  <c r="D50" i="9" s="1"/>
  <c r="J28" i="9"/>
  <c r="D28" i="9"/>
  <c r="A27" i="9"/>
  <c r="K26" i="9"/>
  <c r="D48" i="9" s="1"/>
  <c r="J26" i="9"/>
  <c r="C26" i="9"/>
  <c r="K25" i="9"/>
  <c r="K34" i="9" s="1"/>
  <c r="D52" i="9" s="1"/>
  <c r="J25" i="9"/>
  <c r="J34" i="9" s="1"/>
  <c r="D18" i="9" s="1"/>
  <c r="C25" i="9"/>
  <c r="C22" i="9"/>
  <c r="C52" i="9"/>
  <c r="E52" i="9" s="1"/>
  <c r="C15" i="9"/>
  <c r="C16" i="9"/>
  <c r="D15" i="9"/>
  <c r="J13" i="9"/>
  <c r="C48" i="9" s="1"/>
  <c r="E48" i="9" s="1"/>
  <c r="D13" i="9"/>
  <c r="D11" i="9"/>
  <c r="J8" i="9"/>
  <c r="J7" i="9"/>
  <c r="J6" i="9"/>
  <c r="J5" i="9"/>
  <c r="E96" i="8"/>
  <c r="E95" i="8"/>
  <c r="E91" i="8"/>
  <c r="M41" i="8"/>
  <c r="C60" i="8"/>
  <c r="E51" i="8"/>
  <c r="J22" i="8"/>
  <c r="J26" i="8"/>
  <c r="J24" i="8"/>
  <c r="J23" i="8"/>
  <c r="D16" i="8" s="1"/>
  <c r="J21" i="8"/>
  <c r="D11" i="8" s="1"/>
  <c r="J19" i="8"/>
  <c r="D48" i="8" s="1"/>
  <c r="K58" i="8"/>
  <c r="D72" i="8" s="1"/>
  <c r="D116" i="8" s="1"/>
  <c r="K46" i="8"/>
  <c r="D102" i="8" s="1"/>
  <c r="K47" i="8"/>
  <c r="C22" i="8" s="1"/>
  <c r="B116" i="8"/>
  <c r="E106" i="8"/>
  <c r="C104" i="8"/>
  <c r="B104" i="8"/>
  <c r="C86" i="8"/>
  <c r="F86" i="8" s="1"/>
  <c r="F105" i="8" s="1"/>
  <c r="J82" i="8"/>
  <c r="P81" i="8"/>
  <c r="P82" i="8" s="1"/>
  <c r="N81" i="8"/>
  <c r="N82" i="8" s="1"/>
  <c r="M81" i="8"/>
  <c r="M82" i="8" s="1"/>
  <c r="L81" i="8"/>
  <c r="L82" i="8" s="1"/>
  <c r="K81" i="8"/>
  <c r="K82" i="8" s="1"/>
  <c r="R80" i="8"/>
  <c r="B60" i="8"/>
  <c r="I58" i="8"/>
  <c r="K56" i="8"/>
  <c r="D112" i="8" s="1"/>
  <c r="C40" i="8"/>
  <c r="F40" i="8" s="1"/>
  <c r="L53" i="8"/>
  <c r="E107" i="8" s="1"/>
  <c r="F107" i="8" s="1"/>
  <c r="J52" i="8"/>
  <c r="J51" i="8"/>
  <c r="L50" i="8"/>
  <c r="J50" i="8"/>
  <c r="M43" i="8"/>
  <c r="E98" i="8" s="1"/>
  <c r="L43" i="8"/>
  <c r="E54" i="8" s="1"/>
  <c r="J43" i="8"/>
  <c r="B32" i="8"/>
  <c r="J40" i="8"/>
  <c r="J41" i="8" s="1"/>
  <c r="M39" i="8"/>
  <c r="E94" i="8" s="1"/>
  <c r="L39" i="8"/>
  <c r="E50" i="8" s="1"/>
  <c r="J39" i="8"/>
  <c r="E12" i="8" s="1"/>
  <c r="J38" i="8"/>
  <c r="D29" i="8"/>
  <c r="M36" i="8"/>
  <c r="E92" i="8" s="1"/>
  <c r="L36" i="8"/>
  <c r="E48" i="8" s="1"/>
  <c r="J36" i="8"/>
  <c r="L35" i="8"/>
  <c r="E47" i="8" s="1"/>
  <c r="J35" i="8"/>
  <c r="L34" i="8"/>
  <c r="E46" i="8" s="1"/>
  <c r="L33" i="8"/>
  <c r="E45" i="8" s="1"/>
  <c r="J33" i="8"/>
  <c r="E7" i="8" s="1"/>
  <c r="E25" i="8"/>
  <c r="E24" i="8"/>
  <c r="M31" i="8"/>
  <c r="E89" i="8" s="1"/>
  <c r="L31" i="8"/>
  <c r="E43" i="8" s="1"/>
  <c r="J31" i="8"/>
  <c r="E5" i="8" s="1"/>
  <c r="E23" i="8"/>
  <c r="J30" i="8"/>
  <c r="B22" i="8"/>
  <c r="D21" i="8"/>
  <c r="D19" i="8"/>
  <c r="L22" i="8"/>
  <c r="D94" i="8"/>
  <c r="F94" i="8" s="1"/>
  <c r="E16" i="8"/>
  <c r="L19" i="8"/>
  <c r="D92" i="8" s="1"/>
  <c r="E13" i="8"/>
  <c r="J18" i="8"/>
  <c r="L18" i="8" s="1"/>
  <c r="L17" i="8"/>
  <c r="D91" i="8" s="1"/>
  <c r="F91" i="8" s="1"/>
  <c r="E11" i="8"/>
  <c r="L16" i="8"/>
  <c r="J16" i="8"/>
  <c r="D45" i="8" s="1"/>
  <c r="F45" i="8" s="1"/>
  <c r="E9" i="8"/>
  <c r="D9" i="8"/>
  <c r="L14" i="8"/>
  <c r="D89" i="8" s="1"/>
  <c r="E8" i="8"/>
  <c r="D8" i="8"/>
  <c r="K8" i="8"/>
  <c r="C3" i="8"/>
  <c r="F21" i="8" s="1"/>
  <c r="K7" i="8"/>
  <c r="K6" i="8"/>
  <c r="K5" i="8"/>
  <c r="M106" i="7"/>
  <c r="M103" i="7"/>
  <c r="M102" i="7"/>
  <c r="M101" i="7"/>
  <c r="M99" i="7"/>
  <c r="M97" i="7"/>
  <c r="M75" i="7"/>
  <c r="M72" i="7"/>
  <c r="M71" i="7"/>
  <c r="M70" i="7"/>
  <c r="M68" i="7"/>
  <c r="M66" i="7"/>
  <c r="M44" i="7"/>
  <c r="M41" i="7"/>
  <c r="M40" i="7"/>
  <c r="M38" i="7"/>
  <c r="T40" i="7"/>
  <c r="I20" i="7" s="1"/>
  <c r="T49" i="7"/>
  <c r="J30" i="7" s="1"/>
  <c r="R49" i="7"/>
  <c r="R41" i="7"/>
  <c r="R42" i="7"/>
  <c r="R43" i="7"/>
  <c r="R44" i="7"/>
  <c r="R40" i="7"/>
  <c r="R39" i="7"/>
  <c r="M10" i="7"/>
  <c r="M9" i="7"/>
  <c r="M7" i="7"/>
  <c r="T18" i="7"/>
  <c r="J10" i="7" s="1"/>
  <c r="L10" i="7" s="1"/>
  <c r="M116" i="7"/>
  <c r="K116" i="7"/>
  <c r="D145" i="7"/>
  <c r="M115" i="7"/>
  <c r="K115" i="7"/>
  <c r="D144" i="7"/>
  <c r="M114" i="7"/>
  <c r="K114" i="7"/>
  <c r="D143" i="7"/>
  <c r="H112" i="7"/>
  <c r="K107" i="7"/>
  <c r="D131" i="7"/>
  <c r="D130" i="7"/>
  <c r="N95" i="7"/>
  <c r="L95" i="7"/>
  <c r="M85" i="7"/>
  <c r="K85" i="7"/>
  <c r="D110" i="7"/>
  <c r="M84" i="7"/>
  <c r="K84" i="7"/>
  <c r="D109" i="7"/>
  <c r="M83" i="7"/>
  <c r="K83" i="7"/>
  <c r="D108" i="7"/>
  <c r="H81" i="7"/>
  <c r="D100" i="7"/>
  <c r="D99" i="7"/>
  <c r="N64" i="7"/>
  <c r="L64" i="7"/>
  <c r="Z78" i="7"/>
  <c r="Z76" i="7"/>
  <c r="M54" i="7"/>
  <c r="K54" i="7"/>
  <c r="D73" i="7"/>
  <c r="M53" i="7"/>
  <c r="K53" i="7"/>
  <c r="D72" i="7"/>
  <c r="M52" i="7"/>
  <c r="K52" i="7"/>
  <c r="D71" i="7"/>
  <c r="H50" i="7"/>
  <c r="Z67" i="7"/>
  <c r="Z68" i="7" s="1"/>
  <c r="D60" i="7"/>
  <c r="D59" i="7"/>
  <c r="N34" i="7"/>
  <c r="L34" i="7"/>
  <c r="J60" i="7"/>
  <c r="J91" i="7" s="1"/>
  <c r="H60" i="7"/>
  <c r="H91" i="7" s="1"/>
  <c r="H122" i="7" s="1"/>
  <c r="T47" i="7"/>
  <c r="J28" i="7" s="1"/>
  <c r="T41" i="7"/>
  <c r="M51" i="7" s="1"/>
  <c r="T39" i="7"/>
  <c r="J48" i="7" s="1"/>
  <c r="D135" i="7"/>
  <c r="D101" i="7"/>
  <c r="D63" i="7"/>
  <c r="D132" i="7"/>
  <c r="U33" i="7"/>
  <c r="M24" i="7"/>
  <c r="K24" i="7"/>
  <c r="D30" i="7"/>
  <c r="D128" i="7"/>
  <c r="D97" i="7"/>
  <c r="D57" i="7"/>
  <c r="M23" i="7"/>
  <c r="K23" i="7"/>
  <c r="D29" i="7"/>
  <c r="M22" i="7"/>
  <c r="K22" i="7"/>
  <c r="D28" i="7"/>
  <c r="D127" i="7"/>
  <c r="U27" i="7"/>
  <c r="M5" i="7" s="1"/>
  <c r="D95" i="7"/>
  <c r="S27" i="7"/>
  <c r="D55" i="7" s="1"/>
  <c r="V26" i="7"/>
  <c r="U26" i="7"/>
  <c r="B8" i="7" s="1"/>
  <c r="E8" i="7" s="1"/>
  <c r="T26" i="7"/>
  <c r="B92" i="7" s="1"/>
  <c r="E92" i="7" s="1"/>
  <c r="S26" i="7"/>
  <c r="B52" i="7" s="1"/>
  <c r="E52" i="7" s="1"/>
  <c r="H20" i="7"/>
  <c r="T22" i="7"/>
  <c r="C63" i="7" s="1"/>
  <c r="K15" i="7"/>
  <c r="J14" i="7"/>
  <c r="N14" i="7" s="1"/>
  <c r="D20" i="7"/>
  <c r="T19" i="7"/>
  <c r="C60" i="7" s="1"/>
  <c r="T17" i="7"/>
  <c r="D17" i="7"/>
  <c r="D16" i="7"/>
  <c r="T15" i="7"/>
  <c r="J9" i="7"/>
  <c r="D15" i="7"/>
  <c r="C15" i="7"/>
  <c r="T13" i="7"/>
  <c r="J5" i="7" s="1"/>
  <c r="D13" i="7"/>
  <c r="C13" i="7"/>
  <c r="T8" i="7"/>
  <c r="N3" i="7"/>
  <c r="L3" i="7"/>
  <c r="T7" i="7"/>
  <c r="T6" i="7"/>
  <c r="T5" i="7"/>
  <c r="K46" i="6"/>
  <c r="P44" i="6"/>
  <c r="K53" i="6" s="1"/>
  <c r="K9" i="6"/>
  <c r="P21" i="6"/>
  <c r="J49" i="6" s="1"/>
  <c r="P26" i="6"/>
  <c r="J53" i="6" s="1"/>
  <c r="P24" i="6"/>
  <c r="P23" i="6"/>
  <c r="C19" i="6" s="1"/>
  <c r="P47" i="6"/>
  <c r="C26" i="6" s="1"/>
  <c r="P48" i="6"/>
  <c r="I23" i="6" s="1"/>
  <c r="D81" i="1"/>
  <c r="A81" i="1"/>
  <c r="M20" i="1"/>
  <c r="P20" i="6"/>
  <c r="P18" i="6"/>
  <c r="C59" i="6" s="1"/>
  <c r="P16" i="6"/>
  <c r="C101" i="6" s="1"/>
  <c r="C155" i="6"/>
  <c r="K131" i="6"/>
  <c r="D142" i="6"/>
  <c r="I129" i="6"/>
  <c r="H129" i="6"/>
  <c r="K124" i="6"/>
  <c r="L115" i="6"/>
  <c r="K99" i="6"/>
  <c r="D111" i="6"/>
  <c r="I97" i="6"/>
  <c r="H97" i="6"/>
  <c r="K84" i="6"/>
  <c r="L79" i="6"/>
  <c r="C88" i="6"/>
  <c r="K62" i="6"/>
  <c r="D74" i="6"/>
  <c r="K61" i="6"/>
  <c r="D73" i="6"/>
  <c r="H59" i="6"/>
  <c r="P57" i="6"/>
  <c r="J69" i="6" s="1"/>
  <c r="J105" i="6" s="1"/>
  <c r="J136" i="6" s="1"/>
  <c r="N57" i="6"/>
  <c r="H69" i="6" s="1"/>
  <c r="H105" i="6" s="1"/>
  <c r="H136" i="6" s="1"/>
  <c r="P55" i="6"/>
  <c r="J31" i="6" s="1"/>
  <c r="L41" i="6"/>
  <c r="P52" i="6"/>
  <c r="D75" i="6" s="1"/>
  <c r="P49" i="6"/>
  <c r="D29" i="6" s="1"/>
  <c r="C45" i="6"/>
  <c r="R44" i="6"/>
  <c r="D136" i="6" s="1"/>
  <c r="Q44" i="6"/>
  <c r="D105" i="6" s="1"/>
  <c r="D65" i="6"/>
  <c r="O44" i="6"/>
  <c r="K17" i="6" s="1"/>
  <c r="Q41" i="6"/>
  <c r="P41" i="6"/>
  <c r="D62" i="6" s="1"/>
  <c r="O41" i="6"/>
  <c r="J33" i="6"/>
  <c r="R40" i="6"/>
  <c r="D135" i="6" s="1"/>
  <c r="Q40" i="6"/>
  <c r="D103" i="6" s="1"/>
  <c r="P39" i="6"/>
  <c r="D61" i="6" s="1"/>
  <c r="O39" i="6"/>
  <c r="K13" i="6" s="1"/>
  <c r="R38" i="6"/>
  <c r="Q38" i="6"/>
  <c r="P36" i="6"/>
  <c r="D59" i="6" s="1"/>
  <c r="O36" i="6"/>
  <c r="K11" i="6" s="1"/>
  <c r="O35" i="6"/>
  <c r="K10" i="6" s="1"/>
  <c r="Q34" i="6"/>
  <c r="D101" i="6" s="1"/>
  <c r="D58" i="6"/>
  <c r="O33" i="6"/>
  <c r="K8" i="6" s="1"/>
  <c r="R31" i="6"/>
  <c r="Q31" i="6"/>
  <c r="D99" i="6" s="1"/>
  <c r="P31" i="6"/>
  <c r="D56" i="6" s="1"/>
  <c r="O31" i="6"/>
  <c r="D11" i="6" s="1"/>
  <c r="K26" i="6"/>
  <c r="D31" i="6"/>
  <c r="R30" i="6"/>
  <c r="B132" i="6" s="1"/>
  <c r="E132" i="6" s="1"/>
  <c r="E142" i="6" s="1"/>
  <c r="Q30" i="6"/>
  <c r="B96" i="6" s="1"/>
  <c r="E96" i="6" s="1"/>
  <c r="P30" i="6"/>
  <c r="B53" i="6" s="1"/>
  <c r="E53" i="6" s="1"/>
  <c r="O30" i="6"/>
  <c r="K25" i="6"/>
  <c r="D30" i="6"/>
  <c r="H23" i="6"/>
  <c r="J21" i="6"/>
  <c r="D22" i="6"/>
  <c r="D18" i="6"/>
  <c r="P17" i="6"/>
  <c r="J10" i="6" s="1"/>
  <c r="D16" i="6"/>
  <c r="P15" i="6"/>
  <c r="C13" i="6" s="1"/>
  <c r="J9" i="6"/>
  <c r="D14" i="6"/>
  <c r="P13" i="6"/>
  <c r="C56" i="6" s="1"/>
  <c r="P8" i="6"/>
  <c r="L3" i="6"/>
  <c r="B8" i="6"/>
  <c r="E8" i="6" s="1"/>
  <c r="P7" i="6"/>
  <c r="P6" i="6"/>
  <c r="P5" i="6"/>
  <c r="C11" i="9" l="1"/>
  <c r="E17" i="13"/>
  <c r="L24" i="7"/>
  <c r="N9" i="7"/>
  <c r="C16" i="7"/>
  <c r="E16" i="7" s="1"/>
  <c r="N24" i="7"/>
  <c r="E60" i="7"/>
  <c r="E30" i="7"/>
  <c r="A35" i="9"/>
  <c r="C15" i="6"/>
  <c r="D15" i="6"/>
  <c r="D11" i="7"/>
  <c r="B8" i="9"/>
  <c r="E8" i="9" s="1"/>
  <c r="E11" i="9"/>
  <c r="E5" i="10"/>
  <c r="E7" i="10"/>
  <c r="E51" i="10"/>
  <c r="E13" i="12"/>
  <c r="E15" i="13"/>
  <c r="D36" i="13"/>
  <c r="D9" i="14"/>
  <c r="E9" i="14" s="1"/>
  <c r="L11" i="14"/>
  <c r="E12" i="14"/>
  <c r="L12" i="14"/>
  <c r="E18" i="14"/>
  <c r="E13" i="11"/>
  <c r="I38" i="11"/>
  <c r="I81" i="7"/>
  <c r="I112" i="7"/>
  <c r="F92" i="8"/>
  <c r="E13" i="9"/>
  <c r="E11" i="11"/>
  <c r="E11" i="12"/>
  <c r="E30" i="12"/>
  <c r="E19" i="13"/>
  <c r="J60" i="13"/>
  <c r="L14" i="14"/>
  <c r="E11" i="14"/>
  <c r="K29" i="14"/>
  <c r="C33" i="14"/>
  <c r="E15" i="9"/>
  <c r="E54" i="10"/>
  <c r="E60" i="10"/>
  <c r="E63" i="10"/>
  <c r="E14" i="11"/>
  <c r="E27" i="11"/>
  <c r="E14" i="12"/>
  <c r="E23" i="13"/>
  <c r="E14" i="13"/>
  <c r="E14" i="14"/>
  <c r="J22" i="14"/>
  <c r="J16" i="14"/>
  <c r="C15" i="14"/>
  <c r="E15" i="14" s="1"/>
  <c r="N12" i="14"/>
  <c r="S9" i="14"/>
  <c r="S10" i="14" s="1"/>
  <c r="S33" i="14" s="1"/>
  <c r="D16" i="14" s="1"/>
  <c r="D19" i="14" s="1"/>
  <c r="E28" i="14"/>
  <c r="E27" i="14"/>
  <c r="N15" i="14"/>
  <c r="E16" i="14"/>
  <c r="N18" i="14"/>
  <c r="L18" i="14"/>
  <c r="M9" i="14"/>
  <c r="N9" i="14" s="1"/>
  <c r="N11" i="14"/>
  <c r="N14" i="14"/>
  <c r="L15" i="14"/>
  <c r="K16" i="14"/>
  <c r="M16" i="14" s="1"/>
  <c r="J98" i="14"/>
  <c r="J55" i="14"/>
  <c r="J101" i="14"/>
  <c r="J58" i="14"/>
  <c r="E26" i="14"/>
  <c r="L26" i="14"/>
  <c r="N26" i="14"/>
  <c r="K55" i="14"/>
  <c r="K54" i="14"/>
  <c r="M72" i="14"/>
  <c r="K59" i="14"/>
  <c r="M59" i="14" s="1"/>
  <c r="M58" i="14"/>
  <c r="H150" i="14"/>
  <c r="L9" i="14"/>
  <c r="J95" i="14"/>
  <c r="J52" i="14"/>
  <c r="J54" i="14"/>
  <c r="J97" i="14"/>
  <c r="J100" i="14"/>
  <c r="J57" i="14"/>
  <c r="J102" i="14"/>
  <c r="J59" i="14"/>
  <c r="J61" i="14"/>
  <c r="J104" i="14"/>
  <c r="L27" i="14"/>
  <c r="N27" i="14"/>
  <c r="J65" i="14"/>
  <c r="L69" i="14"/>
  <c r="N69" i="14"/>
  <c r="K114" i="14"/>
  <c r="L114" i="14" s="1"/>
  <c r="M114" i="14"/>
  <c r="N114" i="14" s="1"/>
  <c r="K115" i="14"/>
  <c r="J119" i="14"/>
  <c r="S43" i="14"/>
  <c r="K71" i="14"/>
  <c r="L71" i="14" s="1"/>
  <c r="N112" i="14"/>
  <c r="I9" i="11"/>
  <c r="I10" i="11" s="1"/>
  <c r="I31" i="11" s="1"/>
  <c r="D18" i="11" s="1"/>
  <c r="E18" i="11" s="1"/>
  <c r="E19" i="11" s="1"/>
  <c r="E25" i="11" s="1"/>
  <c r="J9" i="12"/>
  <c r="J10" i="12" s="1"/>
  <c r="J31" i="12" s="1"/>
  <c r="D18" i="12" s="1"/>
  <c r="E18" i="12" s="1"/>
  <c r="E16" i="13"/>
  <c r="J47" i="13"/>
  <c r="D21" i="13" s="1"/>
  <c r="D26" i="13" s="1"/>
  <c r="C20" i="13"/>
  <c r="E20" i="13" s="1"/>
  <c r="E32" i="13"/>
  <c r="E16" i="12"/>
  <c r="E29" i="12"/>
  <c r="E28" i="12"/>
  <c r="D19" i="11"/>
  <c r="D28" i="11"/>
  <c r="E26" i="11"/>
  <c r="C9" i="10"/>
  <c r="E9" i="10" s="1"/>
  <c r="E53" i="10"/>
  <c r="C12" i="10"/>
  <c r="C19" i="10"/>
  <c r="E22" i="10"/>
  <c r="D28" i="10"/>
  <c r="E12" i="10"/>
  <c r="E15" i="10"/>
  <c r="E61" i="10"/>
  <c r="E55" i="10"/>
  <c r="E58" i="10"/>
  <c r="E70" i="10"/>
  <c r="E72" i="10"/>
  <c r="D74" i="10"/>
  <c r="E73" i="10"/>
  <c r="D64" i="10"/>
  <c r="I40" i="10"/>
  <c r="D13" i="10" s="1"/>
  <c r="D16" i="10" s="1"/>
  <c r="C8" i="10"/>
  <c r="E8" i="10" s="1"/>
  <c r="C11" i="10"/>
  <c r="E11" i="10" s="1"/>
  <c r="C13" i="10"/>
  <c r="E25" i="10"/>
  <c r="C32" i="10"/>
  <c r="J52" i="10"/>
  <c r="J9" i="9"/>
  <c r="J10" i="9" s="1"/>
  <c r="K10" i="9" s="1"/>
  <c r="D16" i="9" s="1"/>
  <c r="E16" i="9" s="1"/>
  <c r="D19" i="9"/>
  <c r="E28" i="9"/>
  <c r="D53" i="9"/>
  <c r="E25" i="9"/>
  <c r="E26" i="9"/>
  <c r="B45" i="9"/>
  <c r="E45" i="9" s="1"/>
  <c r="E62" i="9" s="1"/>
  <c r="C18" i="9"/>
  <c r="E18" i="9" s="1"/>
  <c r="J43" i="9"/>
  <c r="E99" i="8"/>
  <c r="D7" i="8"/>
  <c r="E14" i="8"/>
  <c r="E17" i="8" s="1"/>
  <c r="F48" i="8"/>
  <c r="K9" i="8"/>
  <c r="K10" i="8" s="1"/>
  <c r="L41" i="8" s="1"/>
  <c r="E52" i="8" s="1"/>
  <c r="F7" i="8"/>
  <c r="F8" i="8"/>
  <c r="J14" i="8"/>
  <c r="D5" i="8" s="1"/>
  <c r="F5" i="8" s="1"/>
  <c r="F9" i="8"/>
  <c r="F11" i="8"/>
  <c r="D13" i="8"/>
  <c r="D32" i="8"/>
  <c r="F13" i="8"/>
  <c r="F16" i="8"/>
  <c r="D12" i="8"/>
  <c r="F12" i="8" s="1"/>
  <c r="L23" i="8"/>
  <c r="D51" i="8" s="1"/>
  <c r="F51" i="8" s="1"/>
  <c r="E26" i="8"/>
  <c r="L54" i="8"/>
  <c r="J54" i="8"/>
  <c r="F89" i="8"/>
  <c r="E55" i="8"/>
  <c r="F62" i="8"/>
  <c r="F61" i="8"/>
  <c r="R82" i="8"/>
  <c r="E108" i="8"/>
  <c r="D14" i="8"/>
  <c r="D46" i="8"/>
  <c r="F46" i="8" s="1"/>
  <c r="D47" i="8"/>
  <c r="F47" i="8" s="1"/>
  <c r="D50" i="8"/>
  <c r="F50" i="8" s="1"/>
  <c r="E63" i="8"/>
  <c r="D68" i="8"/>
  <c r="F106" i="8"/>
  <c r="F3" i="8"/>
  <c r="F23" i="8" s="1"/>
  <c r="L24" i="8"/>
  <c r="D58" i="8"/>
  <c r="C24" i="7"/>
  <c r="E63" i="7"/>
  <c r="L116" i="7"/>
  <c r="I50" i="7"/>
  <c r="M36" i="7"/>
  <c r="L83" i="7"/>
  <c r="N5" i="7"/>
  <c r="C11" i="7"/>
  <c r="E15" i="7"/>
  <c r="M11" i="7"/>
  <c r="J18" i="7"/>
  <c r="E13" i="7"/>
  <c r="N52" i="7"/>
  <c r="N54" i="7"/>
  <c r="L85" i="7"/>
  <c r="L5" i="7"/>
  <c r="L9" i="7"/>
  <c r="J11" i="7"/>
  <c r="Z79" i="7"/>
  <c r="N116" i="7"/>
  <c r="T9" i="7"/>
  <c r="T10" i="7" s="1"/>
  <c r="V34" i="7" s="1"/>
  <c r="M104" i="7" s="1"/>
  <c r="J122" i="7"/>
  <c r="T34" i="7"/>
  <c r="N51" i="7"/>
  <c r="M55" i="7"/>
  <c r="C128" i="7"/>
  <c r="E128" i="7" s="1"/>
  <c r="C97" i="7"/>
  <c r="E97" i="7" s="1"/>
  <c r="N10" i="7"/>
  <c r="J7" i="7"/>
  <c r="C127" i="7"/>
  <c r="E127" i="7" s="1"/>
  <c r="C95" i="7"/>
  <c r="E95" i="7" s="1"/>
  <c r="C17" i="7"/>
  <c r="E17" i="7" s="1"/>
  <c r="C130" i="7"/>
  <c r="E130" i="7" s="1"/>
  <c r="J70" i="7"/>
  <c r="C131" i="7"/>
  <c r="E131" i="7" s="1"/>
  <c r="C100" i="7"/>
  <c r="E100" i="7" s="1"/>
  <c r="J71" i="7"/>
  <c r="C20" i="7"/>
  <c r="E20" i="7" s="1"/>
  <c r="L14" i="7"/>
  <c r="T20" i="7"/>
  <c r="D27" i="7"/>
  <c r="K21" i="7"/>
  <c r="M21" i="7"/>
  <c r="M25" i="7" s="1"/>
  <c r="C35" i="7"/>
  <c r="H30" i="7"/>
  <c r="J110" i="7"/>
  <c r="C139" i="7"/>
  <c r="J79" i="7"/>
  <c r="C104" i="7"/>
  <c r="J36" i="7"/>
  <c r="J38" i="7"/>
  <c r="C59" i="7"/>
  <c r="E59" i="7" s="1"/>
  <c r="C67" i="7"/>
  <c r="D70" i="7"/>
  <c r="L52" i="7"/>
  <c r="E72" i="7"/>
  <c r="N53" i="7"/>
  <c r="L54" i="7"/>
  <c r="J68" i="7"/>
  <c r="C99" i="7"/>
  <c r="E99" i="7" s="1"/>
  <c r="C132" i="7"/>
  <c r="E132" i="7" s="1"/>
  <c r="J72" i="7"/>
  <c r="J41" i="7"/>
  <c r="C135" i="7"/>
  <c r="E135" i="7" s="1"/>
  <c r="C101" i="7"/>
  <c r="E101" i="7" s="1"/>
  <c r="J75" i="7"/>
  <c r="J44" i="7"/>
  <c r="E145" i="7"/>
  <c r="E144" i="7"/>
  <c r="E143" i="7"/>
  <c r="E28" i="7"/>
  <c r="L22" i="7"/>
  <c r="N22" i="7"/>
  <c r="E29" i="7"/>
  <c r="L23" i="7"/>
  <c r="N23" i="7"/>
  <c r="D133" i="7"/>
  <c r="D136" i="7" s="1"/>
  <c r="M113" i="7"/>
  <c r="K113" i="7"/>
  <c r="D142" i="7"/>
  <c r="M82" i="7"/>
  <c r="D107" i="7"/>
  <c r="K82" i="7"/>
  <c r="T45" i="7"/>
  <c r="J120" i="7"/>
  <c r="C150" i="7"/>
  <c r="J89" i="7"/>
  <c r="C115" i="7"/>
  <c r="J58" i="7"/>
  <c r="C78" i="7"/>
  <c r="C55" i="7"/>
  <c r="E55" i="7" s="1"/>
  <c r="C57" i="7"/>
  <c r="E57" i="7" s="1"/>
  <c r="J40" i="7"/>
  <c r="K51" i="7"/>
  <c r="E71" i="7"/>
  <c r="L53" i="7"/>
  <c r="E73" i="7"/>
  <c r="J66" i="7"/>
  <c r="E108" i="7"/>
  <c r="N83" i="7"/>
  <c r="L84" i="7"/>
  <c r="E110" i="7"/>
  <c r="N85" i="7"/>
  <c r="E109" i="7"/>
  <c r="N84" i="7"/>
  <c r="L114" i="7"/>
  <c r="N114" i="7"/>
  <c r="L115" i="7"/>
  <c r="N115" i="7"/>
  <c r="K27" i="6"/>
  <c r="L27" i="6" s="1"/>
  <c r="D32" i="6"/>
  <c r="E32" i="6" s="1"/>
  <c r="C41" i="6"/>
  <c r="L53" i="6"/>
  <c r="K6" i="6"/>
  <c r="K14" i="6"/>
  <c r="K49" i="6"/>
  <c r="L49" i="6" s="1"/>
  <c r="K44" i="6"/>
  <c r="I59" i="6"/>
  <c r="D13" i="6"/>
  <c r="E13" i="6" s="1"/>
  <c r="L10" i="6"/>
  <c r="K24" i="6"/>
  <c r="K50" i="6"/>
  <c r="K47" i="6"/>
  <c r="J57" i="6"/>
  <c r="D33" i="6"/>
  <c r="E111" i="6"/>
  <c r="J8" i="6"/>
  <c r="L8" i="6" s="1"/>
  <c r="L99" i="6"/>
  <c r="L131" i="6"/>
  <c r="P9" i="6"/>
  <c r="P10" i="6" s="1"/>
  <c r="Q42" i="6" s="1"/>
  <c r="E59" i="6"/>
  <c r="L9" i="6"/>
  <c r="E15" i="6"/>
  <c r="C16" i="6"/>
  <c r="E16" i="6" s="1"/>
  <c r="J11" i="6"/>
  <c r="L11" i="6" s="1"/>
  <c r="C11" i="6"/>
  <c r="E11" i="6" s="1"/>
  <c r="C18" i="6"/>
  <c r="E18" i="6" s="1"/>
  <c r="J13" i="6"/>
  <c r="L13" i="6" s="1"/>
  <c r="C22" i="6"/>
  <c r="E22" i="6" s="1"/>
  <c r="P53" i="6"/>
  <c r="L61" i="6"/>
  <c r="L62" i="6"/>
  <c r="K63" i="6"/>
  <c r="L63" i="6" s="1"/>
  <c r="E56" i="6"/>
  <c r="L25" i="6"/>
  <c r="L26" i="6"/>
  <c r="E30" i="6"/>
  <c r="E31" i="6"/>
  <c r="K89" i="6"/>
  <c r="K92" i="6" s="1"/>
  <c r="E73" i="6"/>
  <c r="E74" i="6"/>
  <c r="E75" i="6"/>
  <c r="E101" i="6"/>
  <c r="J120" i="6"/>
  <c r="L120" i="6" s="1"/>
  <c r="J88" i="6"/>
  <c r="L88" i="6" s="1"/>
  <c r="J6" i="6"/>
  <c r="C14" i="6"/>
  <c r="E14" i="6" s="1"/>
  <c r="D19" i="6"/>
  <c r="J14" i="6"/>
  <c r="J17" i="6"/>
  <c r="L17" i="6" s="1"/>
  <c r="E29" i="6"/>
  <c r="L24" i="6"/>
  <c r="D137" i="6"/>
  <c r="C37" i="6"/>
  <c r="H33" i="6"/>
  <c r="J127" i="6"/>
  <c r="J95" i="6"/>
  <c r="C107" i="6"/>
  <c r="C151" i="6"/>
  <c r="C84" i="6"/>
  <c r="J46" i="6"/>
  <c r="L46" i="6" s="1"/>
  <c r="J47" i="6"/>
  <c r="C61" i="6"/>
  <c r="E61" i="6" s="1"/>
  <c r="J50" i="6"/>
  <c r="C69" i="6"/>
  <c r="J118" i="6"/>
  <c r="L118" i="6" s="1"/>
  <c r="J82" i="6"/>
  <c r="L82" i="6" s="1"/>
  <c r="J123" i="6"/>
  <c r="L123" i="6" s="1"/>
  <c r="J91" i="6"/>
  <c r="L91" i="6" s="1"/>
  <c r="C136" i="6"/>
  <c r="E136" i="6" s="1"/>
  <c r="C105" i="6"/>
  <c r="E105" i="6" s="1"/>
  <c r="K130" i="6"/>
  <c r="D141" i="6"/>
  <c r="K98" i="6"/>
  <c r="D110" i="6"/>
  <c r="J134" i="6"/>
  <c r="C147" i="6"/>
  <c r="J103" i="6"/>
  <c r="C116" i="6"/>
  <c r="J67" i="6"/>
  <c r="C80" i="6"/>
  <c r="J44" i="6"/>
  <c r="C58" i="6"/>
  <c r="E58" i="6" s="1"/>
  <c r="C62" i="6"/>
  <c r="E62" i="6" s="1"/>
  <c r="C65" i="6"/>
  <c r="E65" i="6" s="1"/>
  <c r="D72" i="6"/>
  <c r="K60" i="6"/>
  <c r="C99" i="6"/>
  <c r="E99" i="6" s="1"/>
  <c r="J84" i="6"/>
  <c r="L84" i="6" s="1"/>
  <c r="J86" i="6"/>
  <c r="L86" i="6" s="1"/>
  <c r="X52" i="5"/>
  <c r="J25" i="5" s="1"/>
  <c r="X53" i="5"/>
  <c r="P27" i="5" s="1"/>
  <c r="I27" i="5"/>
  <c r="X28" i="5"/>
  <c r="Q21" i="5" s="1"/>
  <c r="X27" i="5"/>
  <c r="X25" i="5"/>
  <c r="Q18" i="5" s="1"/>
  <c r="X24" i="5"/>
  <c r="X23" i="5"/>
  <c r="J15" i="5" s="1"/>
  <c r="X20" i="5"/>
  <c r="X19" i="5"/>
  <c r="X17" i="5"/>
  <c r="Q9" i="5" s="1"/>
  <c r="X60" i="5"/>
  <c r="Q39" i="5" s="1"/>
  <c r="X58" i="5"/>
  <c r="Q35" i="5" s="1"/>
  <c r="X54" i="5"/>
  <c r="X56" i="5" s="1"/>
  <c r="C47" i="5"/>
  <c r="AK43" i="5"/>
  <c r="AK44" i="5" s="1"/>
  <c r="J35" i="5"/>
  <c r="K29" i="5"/>
  <c r="K31" i="5" s="1"/>
  <c r="D34" i="5"/>
  <c r="AK33" i="5"/>
  <c r="AK34" i="5" s="1"/>
  <c r="H27" i="5"/>
  <c r="O27" i="5" s="1"/>
  <c r="D33" i="5"/>
  <c r="Q25" i="5"/>
  <c r="C30" i="5"/>
  <c r="C25" i="5"/>
  <c r="R21" i="5"/>
  <c r="K21" i="5"/>
  <c r="R20" i="5"/>
  <c r="Q20" i="5"/>
  <c r="K20" i="5"/>
  <c r="J20" i="5"/>
  <c r="D26" i="5"/>
  <c r="D25" i="5"/>
  <c r="J17" i="5"/>
  <c r="L17" i="5" s="1"/>
  <c r="R18" i="5"/>
  <c r="K18" i="5"/>
  <c r="Q17" i="5"/>
  <c r="S17" i="5" s="1"/>
  <c r="D23" i="5"/>
  <c r="C23" i="5"/>
  <c r="X22" i="5"/>
  <c r="J14" i="5" s="1"/>
  <c r="R16" i="5"/>
  <c r="Q16" i="5"/>
  <c r="K16" i="5"/>
  <c r="J16" i="5"/>
  <c r="D22" i="5"/>
  <c r="C22" i="5"/>
  <c r="R15" i="5"/>
  <c r="K15" i="5"/>
  <c r="D21" i="5"/>
  <c r="C21" i="5"/>
  <c r="J12" i="5"/>
  <c r="L12" i="5" s="1"/>
  <c r="R14" i="5"/>
  <c r="Q14" i="5"/>
  <c r="K14" i="5"/>
  <c r="D20" i="5"/>
  <c r="X18" i="5"/>
  <c r="J10" i="5" s="1"/>
  <c r="Q12" i="5"/>
  <c r="S12" i="5" s="1"/>
  <c r="D18" i="5"/>
  <c r="C18" i="5"/>
  <c r="J9" i="5"/>
  <c r="R11" i="5"/>
  <c r="Q11" i="5"/>
  <c r="K11" i="5"/>
  <c r="J11" i="5"/>
  <c r="D17" i="5"/>
  <c r="C17" i="5"/>
  <c r="R10" i="5"/>
  <c r="Q10" i="5"/>
  <c r="K10" i="5"/>
  <c r="D16" i="5"/>
  <c r="X15" i="5"/>
  <c r="D15" i="5"/>
  <c r="R8" i="5"/>
  <c r="Q8" i="5"/>
  <c r="K8" i="5"/>
  <c r="J8" i="5"/>
  <c r="D14" i="5"/>
  <c r="C14" i="5"/>
  <c r="X13" i="5"/>
  <c r="J5" i="5" s="1"/>
  <c r="R7" i="5"/>
  <c r="Q7" i="5"/>
  <c r="K7" i="5"/>
  <c r="J7" i="5"/>
  <c r="D13" i="5"/>
  <c r="C13" i="5"/>
  <c r="R5" i="5"/>
  <c r="K5" i="5"/>
  <c r="D11" i="5"/>
  <c r="D27" i="5" s="1"/>
  <c r="C11" i="5"/>
  <c r="X8" i="5"/>
  <c r="P3" i="5"/>
  <c r="S3" i="5" s="1"/>
  <c r="I3" i="5"/>
  <c r="L3" i="5" s="1"/>
  <c r="L30" i="5" s="1"/>
  <c r="B8" i="5"/>
  <c r="E8" i="5" s="1"/>
  <c r="E34" i="5" s="1"/>
  <c r="X7" i="5"/>
  <c r="X6" i="5"/>
  <c r="X5" i="5"/>
  <c r="G2" i="5"/>
  <c r="R28" i="4"/>
  <c r="J21" i="4" s="1"/>
  <c r="R27" i="4"/>
  <c r="R26" i="4"/>
  <c r="C24" i="4" s="1"/>
  <c r="R24" i="4"/>
  <c r="R23" i="4"/>
  <c r="R22" i="4"/>
  <c r="C20" i="4" s="1"/>
  <c r="R19" i="4"/>
  <c r="R18" i="4"/>
  <c r="R16" i="4"/>
  <c r="J9" i="4" s="1"/>
  <c r="R59" i="4"/>
  <c r="I38" i="4" s="1"/>
  <c r="P59" i="4"/>
  <c r="H38" i="4" s="1"/>
  <c r="R57" i="4"/>
  <c r="C39" i="4" s="1"/>
  <c r="R53" i="4"/>
  <c r="R55" i="4" s="1"/>
  <c r="R51" i="4"/>
  <c r="R48" i="4"/>
  <c r="K21" i="4" s="1"/>
  <c r="R47" i="4"/>
  <c r="R46" i="4"/>
  <c r="K19" i="4" s="1"/>
  <c r="R43" i="4"/>
  <c r="K16" i="4" s="1"/>
  <c r="R42" i="4"/>
  <c r="K15" i="4" s="1"/>
  <c r="R41" i="4"/>
  <c r="D19" i="4" s="1"/>
  <c r="R39" i="4"/>
  <c r="K12" i="4" s="1"/>
  <c r="J34" i="4"/>
  <c r="R38" i="4"/>
  <c r="K11" i="4" s="1"/>
  <c r="R37" i="4"/>
  <c r="K10" i="4" s="1"/>
  <c r="R36" i="4"/>
  <c r="D14" i="4" s="1"/>
  <c r="R35" i="4"/>
  <c r="K29" i="4"/>
  <c r="D34" i="4"/>
  <c r="R33" i="4"/>
  <c r="D11" i="4" s="1"/>
  <c r="R32" i="4"/>
  <c r="B8" i="4" s="1"/>
  <c r="E8" i="4" s="1"/>
  <c r="I27" i="4"/>
  <c r="H27" i="4"/>
  <c r="J25" i="4"/>
  <c r="C30" i="4"/>
  <c r="C26" i="4"/>
  <c r="K20" i="4"/>
  <c r="J20" i="4"/>
  <c r="D25" i="4"/>
  <c r="C25" i="4"/>
  <c r="R21" i="4"/>
  <c r="J14" i="4" s="1"/>
  <c r="D21" i="4"/>
  <c r="C17" i="4"/>
  <c r="K14" i="4"/>
  <c r="J11" i="4"/>
  <c r="J13" i="4"/>
  <c r="R17" i="4"/>
  <c r="J10" i="4" s="1"/>
  <c r="D17" i="4"/>
  <c r="D16" i="4"/>
  <c r="K9" i="4"/>
  <c r="R13" i="4"/>
  <c r="J6" i="4" s="1"/>
  <c r="K8" i="4"/>
  <c r="J8" i="4"/>
  <c r="D13" i="4"/>
  <c r="C13" i="4"/>
  <c r="K6" i="4"/>
  <c r="R8" i="4"/>
  <c r="L3" i="4"/>
  <c r="R7" i="4"/>
  <c r="R6" i="4"/>
  <c r="R5" i="4"/>
  <c r="B56" i="1"/>
  <c r="B20" i="1"/>
  <c r="D44" i="1"/>
  <c r="K35" i="1"/>
  <c r="A44" i="1"/>
  <c r="C22" i="2"/>
  <c r="H21" i="2"/>
  <c r="D21" i="2"/>
  <c r="D22" i="2" s="1"/>
  <c r="C20" i="2"/>
  <c r="H19" i="2"/>
  <c r="D19" i="2"/>
  <c r="D20" i="2" s="1"/>
  <c r="C18" i="2"/>
  <c r="H17" i="2"/>
  <c r="D17" i="2"/>
  <c r="D18" i="2" s="1"/>
  <c r="C16" i="2"/>
  <c r="H15" i="2"/>
  <c r="D15" i="2"/>
  <c r="D16" i="2" s="1"/>
  <c r="C14" i="2"/>
  <c r="H13" i="2"/>
  <c r="D13" i="2"/>
  <c r="D14" i="2" s="1"/>
  <c r="C12" i="2"/>
  <c r="H11" i="2"/>
  <c r="D11" i="2"/>
  <c r="D12" i="2" s="1"/>
  <c r="D9" i="2"/>
  <c r="D10" i="2" s="1"/>
  <c r="C9" i="2"/>
  <c r="C10" i="2" s="1"/>
  <c r="C8" i="2"/>
  <c r="H7" i="2"/>
  <c r="D7" i="2"/>
  <c r="D8" i="2" s="1"/>
  <c r="C6" i="2"/>
  <c r="H5" i="2"/>
  <c r="D5" i="2"/>
  <c r="J5" i="2" s="1"/>
  <c r="C4" i="2"/>
  <c r="C26" i="2" s="1"/>
  <c r="H3" i="2"/>
  <c r="D3" i="2"/>
  <c r="D4" i="2" s="1"/>
  <c r="E21" i="13" l="1"/>
  <c r="J17" i="9"/>
  <c r="C50" i="9" s="1"/>
  <c r="E50" i="9" s="1"/>
  <c r="E53" i="9" s="1"/>
  <c r="P22" i="6"/>
  <c r="J24" i="13"/>
  <c r="I21" i="10"/>
  <c r="C59" i="10" s="1"/>
  <c r="E59" i="10" s="1"/>
  <c r="M18" i="1"/>
  <c r="C81" i="1" s="1"/>
  <c r="E81" i="1" s="1"/>
  <c r="M21" i="1"/>
  <c r="E19" i="14"/>
  <c r="E22" i="14" s="1"/>
  <c r="E23" i="14" s="1"/>
  <c r="E31" i="14" s="1"/>
  <c r="D15" i="4"/>
  <c r="L50" i="6"/>
  <c r="E11" i="7"/>
  <c r="E26" i="13"/>
  <c r="E31" i="13" s="1"/>
  <c r="E19" i="12"/>
  <c r="E27" i="12" s="1"/>
  <c r="M115" i="14"/>
  <c r="N16" i="14"/>
  <c r="L16" i="14"/>
  <c r="L19" i="14" s="1"/>
  <c r="K72" i="14"/>
  <c r="N104" i="14"/>
  <c r="L104" i="14"/>
  <c r="N59" i="14"/>
  <c r="L59" i="14"/>
  <c r="N57" i="14"/>
  <c r="L57" i="14"/>
  <c r="L54" i="14"/>
  <c r="N95" i="14"/>
  <c r="L95" i="14"/>
  <c r="N58" i="14"/>
  <c r="L58" i="14"/>
  <c r="N55" i="14"/>
  <c r="L55" i="14"/>
  <c r="M19" i="14"/>
  <c r="K19" i="14"/>
  <c r="N61" i="14"/>
  <c r="L61" i="14"/>
  <c r="N102" i="14"/>
  <c r="L102" i="14"/>
  <c r="N100" i="14"/>
  <c r="L100" i="14"/>
  <c r="N97" i="14"/>
  <c r="L97" i="14"/>
  <c r="L52" i="14"/>
  <c r="N52" i="14"/>
  <c r="K62" i="14"/>
  <c r="M54" i="14"/>
  <c r="M62" i="14" s="1"/>
  <c r="N101" i="14"/>
  <c r="L101" i="14"/>
  <c r="L98" i="14"/>
  <c r="N98" i="14"/>
  <c r="N19" i="14"/>
  <c r="D19" i="12"/>
  <c r="E29" i="13"/>
  <c r="E30" i="13" s="1"/>
  <c r="E22" i="12"/>
  <c r="E23" i="12" s="1"/>
  <c r="E22" i="11"/>
  <c r="E23" i="11" s="1"/>
  <c r="E30" i="11" s="1"/>
  <c r="E13" i="10"/>
  <c r="E64" i="10"/>
  <c r="E67" i="10" s="1"/>
  <c r="E68" i="10" s="1"/>
  <c r="E16" i="10"/>
  <c r="E23" i="10" s="1"/>
  <c r="E71" i="10"/>
  <c r="E19" i="9"/>
  <c r="E27" i="9" s="1"/>
  <c r="E60" i="9"/>
  <c r="E59" i="9"/>
  <c r="L26" i="8"/>
  <c r="D54" i="8" s="1"/>
  <c r="F54" i="8" s="1"/>
  <c r="D95" i="8"/>
  <c r="F95" i="8" s="1"/>
  <c r="D43" i="8"/>
  <c r="F43" i="8" s="1"/>
  <c r="F14" i="8"/>
  <c r="F17" i="8" s="1"/>
  <c r="F19" i="8" s="1"/>
  <c r="F20" i="8" s="1"/>
  <c r="D52" i="8"/>
  <c r="F52" i="8" s="1"/>
  <c r="D96" i="8"/>
  <c r="F96" i="8" s="1"/>
  <c r="F24" i="8"/>
  <c r="R85" i="8"/>
  <c r="R84" i="8"/>
  <c r="R86" i="8" s="1"/>
  <c r="D98" i="8"/>
  <c r="F98" i="8" s="1"/>
  <c r="F99" i="8" s="1"/>
  <c r="F63" i="8"/>
  <c r="E64" i="8"/>
  <c r="F25" i="8"/>
  <c r="N11" i="7"/>
  <c r="D102" i="7"/>
  <c r="M73" i="7"/>
  <c r="M76" i="7" s="1"/>
  <c r="M107" i="7"/>
  <c r="S34" i="7"/>
  <c r="M42" i="7" s="1"/>
  <c r="L11" i="7"/>
  <c r="D61" i="7"/>
  <c r="D64" i="7" s="1"/>
  <c r="K73" i="7"/>
  <c r="K76" i="7" s="1"/>
  <c r="U34" i="7"/>
  <c r="M12" i="7" s="1"/>
  <c r="M15" i="7" s="1"/>
  <c r="K42" i="7"/>
  <c r="K45" i="7" s="1"/>
  <c r="M45" i="7"/>
  <c r="K28" i="6"/>
  <c r="J97" i="7"/>
  <c r="L66" i="7"/>
  <c r="N66" i="7"/>
  <c r="K55" i="7"/>
  <c r="L51" i="7"/>
  <c r="N40" i="7"/>
  <c r="L40" i="7"/>
  <c r="K86" i="7"/>
  <c r="L82" i="7"/>
  <c r="N82" i="7"/>
  <c r="M86" i="7"/>
  <c r="K117" i="7"/>
  <c r="L113" i="7"/>
  <c r="J106" i="7"/>
  <c r="L75" i="7"/>
  <c r="N75" i="7"/>
  <c r="J103" i="7"/>
  <c r="L72" i="7"/>
  <c r="N72" i="7"/>
  <c r="J99" i="7"/>
  <c r="N68" i="7"/>
  <c r="L68" i="7"/>
  <c r="N38" i="7"/>
  <c r="L38" i="7"/>
  <c r="N21" i="7"/>
  <c r="E27" i="7"/>
  <c r="D31" i="7"/>
  <c r="J102" i="7"/>
  <c r="L71" i="7"/>
  <c r="N71" i="7"/>
  <c r="E107" i="7"/>
  <c r="D111" i="7"/>
  <c r="D146" i="7"/>
  <c r="E142" i="7"/>
  <c r="M117" i="7"/>
  <c r="N113" i="7"/>
  <c r="N44" i="7"/>
  <c r="L44" i="7"/>
  <c r="N41" i="7"/>
  <c r="L41" i="7"/>
  <c r="E70" i="7"/>
  <c r="D74" i="7"/>
  <c r="L36" i="7"/>
  <c r="N36" i="7"/>
  <c r="K25" i="7"/>
  <c r="L21" i="7"/>
  <c r="C133" i="7"/>
  <c r="E133" i="7" s="1"/>
  <c r="E136" i="7" s="1"/>
  <c r="E139" i="7" s="1"/>
  <c r="E140" i="7" s="1"/>
  <c r="E102" i="7"/>
  <c r="E104" i="7" s="1"/>
  <c r="E105" i="7" s="1"/>
  <c r="J73" i="7"/>
  <c r="J42" i="7"/>
  <c r="C61" i="7"/>
  <c r="J12" i="7"/>
  <c r="C18" i="7"/>
  <c r="J101" i="7"/>
  <c r="N70" i="7"/>
  <c r="L70" i="7"/>
  <c r="N7" i="7"/>
  <c r="L7" i="7"/>
  <c r="L44" i="6"/>
  <c r="L47" i="6"/>
  <c r="L6" i="6"/>
  <c r="L14" i="6"/>
  <c r="P42" i="6"/>
  <c r="K51" i="6" s="1"/>
  <c r="K54" i="6" s="1"/>
  <c r="O42" i="6"/>
  <c r="K15" i="6" s="1"/>
  <c r="K18" i="6" s="1"/>
  <c r="D104" i="6"/>
  <c r="C44" i="1"/>
  <c r="E44" i="1" s="1"/>
  <c r="D76" i="6"/>
  <c r="E72" i="6"/>
  <c r="K100" i="6"/>
  <c r="L98" i="6"/>
  <c r="K132" i="6"/>
  <c r="L130" i="6"/>
  <c r="K64" i="6"/>
  <c r="L60" i="6"/>
  <c r="E110" i="6"/>
  <c r="D112" i="6"/>
  <c r="E141" i="6"/>
  <c r="D143" i="6"/>
  <c r="J89" i="6"/>
  <c r="L89" i="6" s="1"/>
  <c r="C104" i="6"/>
  <c r="E104" i="6" s="1"/>
  <c r="E107" i="6" s="1"/>
  <c r="E108" i="6" s="1"/>
  <c r="E114" i="6" s="1"/>
  <c r="J51" i="6"/>
  <c r="J15" i="6"/>
  <c r="C63" i="6"/>
  <c r="C20" i="6"/>
  <c r="E19" i="6"/>
  <c r="C16" i="5"/>
  <c r="S14" i="5"/>
  <c r="L20" i="5"/>
  <c r="S20" i="5"/>
  <c r="E11" i="5"/>
  <c r="E13" i="5"/>
  <c r="L7" i="5"/>
  <c r="S7" i="5"/>
  <c r="S10" i="5"/>
  <c r="E17" i="5"/>
  <c r="L11" i="5"/>
  <c r="S11" i="5"/>
  <c r="E22" i="5"/>
  <c r="L16" i="5"/>
  <c r="S16" i="5"/>
  <c r="L14" i="5"/>
  <c r="D35" i="5"/>
  <c r="C43" i="5"/>
  <c r="E25" i="5"/>
  <c r="S18" i="5"/>
  <c r="S21" i="5"/>
  <c r="C26" i="5"/>
  <c r="E26" i="5" s="1"/>
  <c r="J21" i="5"/>
  <c r="L21" i="5" s="1"/>
  <c r="J18" i="5"/>
  <c r="L18" i="5" s="1"/>
  <c r="Q15" i="5"/>
  <c r="S15" i="5" s="1"/>
  <c r="C15" i="5"/>
  <c r="E15" i="5" s="1"/>
  <c r="X9" i="5"/>
  <c r="X10" i="5" s="1"/>
  <c r="AK35" i="5" s="1"/>
  <c r="AK36" i="5" s="1"/>
  <c r="K9" i="5" s="1"/>
  <c r="K22" i="5" s="1"/>
  <c r="Q5" i="5"/>
  <c r="S5" i="5" s="1"/>
  <c r="E14" i="5"/>
  <c r="L8" i="5"/>
  <c r="S8" i="5"/>
  <c r="E16" i="5"/>
  <c r="E18" i="5"/>
  <c r="L10" i="5"/>
  <c r="C20" i="5"/>
  <c r="E20" i="5" s="1"/>
  <c r="E21" i="5"/>
  <c r="E23" i="5"/>
  <c r="L15" i="5"/>
  <c r="R29" i="5"/>
  <c r="R31" i="5" s="1"/>
  <c r="C39" i="5"/>
  <c r="S29" i="5"/>
  <c r="L5" i="5"/>
  <c r="AK45" i="5"/>
  <c r="AK46" i="5" s="1"/>
  <c r="R9" i="5" s="1"/>
  <c r="R22" i="5" s="1"/>
  <c r="E33" i="5"/>
  <c r="S30" i="5"/>
  <c r="L29" i="5"/>
  <c r="L29" i="4"/>
  <c r="K28" i="4"/>
  <c r="L28" i="4" s="1"/>
  <c r="D20" i="4"/>
  <c r="K30" i="4"/>
  <c r="L6" i="4"/>
  <c r="C11" i="4"/>
  <c r="E11" i="4" s="1"/>
  <c r="C19" i="4"/>
  <c r="E19" i="4" s="1"/>
  <c r="J19" i="4"/>
  <c r="C14" i="4"/>
  <c r="E14" i="4" s="1"/>
  <c r="E25" i="4"/>
  <c r="L20" i="4"/>
  <c r="E34" i="4"/>
  <c r="E20" i="4"/>
  <c r="L19" i="4"/>
  <c r="L21" i="4"/>
  <c r="C15" i="4"/>
  <c r="C16" i="4"/>
  <c r="E16" i="4" s="1"/>
  <c r="L14" i="4"/>
  <c r="J15" i="4"/>
  <c r="L15" i="4" s="1"/>
  <c r="D24" i="4"/>
  <c r="D26" i="4"/>
  <c r="E26" i="4" s="1"/>
  <c r="D33" i="4"/>
  <c r="D35" i="4" s="1"/>
  <c r="E17" i="4"/>
  <c r="E24" i="4"/>
  <c r="R9" i="4"/>
  <c r="R10" i="4" s="1"/>
  <c r="K17" i="4" s="1"/>
  <c r="K22" i="4" s="1"/>
  <c r="E13" i="4"/>
  <c r="L8" i="4"/>
  <c r="L10" i="4"/>
  <c r="L11" i="4"/>
  <c r="L9" i="4"/>
  <c r="J12" i="4"/>
  <c r="L12" i="4" s="1"/>
  <c r="J16" i="4"/>
  <c r="L16" i="4" s="1"/>
  <c r="C22" i="4"/>
  <c r="J17" i="4"/>
  <c r="C21" i="4"/>
  <c r="E21" i="4" s="1"/>
  <c r="E33" i="4"/>
  <c r="D6" i="2"/>
  <c r="J11" i="2"/>
  <c r="J15" i="2"/>
  <c r="J19" i="2"/>
  <c r="J3" i="2"/>
  <c r="J7" i="2"/>
  <c r="J13" i="2"/>
  <c r="J17" i="2"/>
  <c r="J21" i="2"/>
  <c r="D23" i="14" l="1"/>
  <c r="E61" i="9"/>
  <c r="E56" i="9"/>
  <c r="E57" i="9" s="1"/>
  <c r="D57" i="9" s="1"/>
  <c r="J121" i="6"/>
  <c r="L121" i="6" s="1"/>
  <c r="L124" i="6" s="1"/>
  <c r="L129" i="6" s="1"/>
  <c r="C135" i="6"/>
  <c r="E135" i="6" s="1"/>
  <c r="E137" i="6" s="1"/>
  <c r="E139" i="6" s="1"/>
  <c r="D139" i="6" s="1"/>
  <c r="J87" i="6"/>
  <c r="L87" i="6" s="1"/>
  <c r="L92" i="6" s="1"/>
  <c r="C103" i="6"/>
  <c r="E103" i="6" s="1"/>
  <c r="E15" i="4"/>
  <c r="L51" i="6"/>
  <c r="L54" i="6" s="1"/>
  <c r="L57" i="6" s="1"/>
  <c r="L58" i="6" s="1"/>
  <c r="K58" i="6" s="1"/>
  <c r="F22" i="8"/>
  <c r="E64" i="9"/>
  <c r="L62" i="14"/>
  <c r="L68" i="14" s="1"/>
  <c r="L25" i="14"/>
  <c r="L22" i="14"/>
  <c r="L23" i="14" s="1"/>
  <c r="N25" i="14"/>
  <c r="N22" i="14"/>
  <c r="N23" i="14" s="1"/>
  <c r="N105" i="14"/>
  <c r="N54" i="14"/>
  <c r="N62" i="14" s="1"/>
  <c r="L105" i="14"/>
  <c r="E33" i="14"/>
  <c r="E35" i="14" s="1"/>
  <c r="E38" i="13"/>
  <c r="D30" i="13"/>
  <c r="E33" i="12"/>
  <c r="D23" i="12"/>
  <c r="D23" i="11"/>
  <c r="E32" i="11"/>
  <c r="E34" i="11" s="1"/>
  <c r="E19" i="10"/>
  <c r="E20" i="10" s="1"/>
  <c r="E30" i="10" s="1"/>
  <c r="E76" i="10"/>
  <c r="D68" i="10"/>
  <c r="E22" i="9"/>
  <c r="E23" i="9" s="1"/>
  <c r="D23" i="9" s="1"/>
  <c r="E66" i="9"/>
  <c r="E68" i="9" s="1"/>
  <c r="E69" i="9" s="1"/>
  <c r="E70" i="9" s="1"/>
  <c r="E73" i="9" s="1"/>
  <c r="E74" i="9" s="1"/>
  <c r="E75" i="9" s="1"/>
  <c r="F55" i="8"/>
  <c r="F60" i="8" s="1"/>
  <c r="F104" i="8"/>
  <c r="F102" i="8"/>
  <c r="F103" i="8" s="1"/>
  <c r="F28" i="8"/>
  <c r="E20" i="8"/>
  <c r="E61" i="7"/>
  <c r="E64" i="7" s="1"/>
  <c r="E67" i="7" s="1"/>
  <c r="E68" i="7" s="1"/>
  <c r="D68" i="7" s="1"/>
  <c r="D18" i="7"/>
  <c r="D21" i="7" s="1"/>
  <c r="L15" i="6"/>
  <c r="L18" i="6" s="1"/>
  <c r="L21" i="6" s="1"/>
  <c r="L22" i="6" s="1"/>
  <c r="E113" i="7"/>
  <c r="D105" i="7"/>
  <c r="E148" i="7"/>
  <c r="D140" i="7"/>
  <c r="N101" i="7"/>
  <c r="L101" i="7"/>
  <c r="L12" i="7"/>
  <c r="L15" i="7" s="1"/>
  <c r="L18" i="7" s="1"/>
  <c r="L19" i="7" s="1"/>
  <c r="N12" i="7"/>
  <c r="N15" i="7" s="1"/>
  <c r="N103" i="7"/>
  <c r="L103" i="7"/>
  <c r="J104" i="7"/>
  <c r="N73" i="7"/>
  <c r="N76" i="7" s="1"/>
  <c r="L73" i="7"/>
  <c r="L76" i="7" s="1"/>
  <c r="L79" i="7" s="1"/>
  <c r="L80" i="7" s="1"/>
  <c r="N102" i="7"/>
  <c r="L102" i="7"/>
  <c r="N99" i="7"/>
  <c r="L99" i="7"/>
  <c r="L106" i="7"/>
  <c r="N106" i="7"/>
  <c r="L97" i="7"/>
  <c r="N97" i="7"/>
  <c r="N42" i="7"/>
  <c r="N45" i="7" s="1"/>
  <c r="L42" i="7"/>
  <c r="L45" i="7" s="1"/>
  <c r="L48" i="7" s="1"/>
  <c r="L49" i="7" s="1"/>
  <c r="D63" i="6"/>
  <c r="D66" i="6" s="1"/>
  <c r="D20" i="6"/>
  <c r="D23" i="6" s="1"/>
  <c r="L59" i="6"/>
  <c r="D108" i="6"/>
  <c r="E145" i="6"/>
  <c r="L127" i="6"/>
  <c r="L128" i="6" s="1"/>
  <c r="E27" i="5"/>
  <c r="E30" i="5" s="1"/>
  <c r="E31" i="5" s="1"/>
  <c r="D31" i="5" s="1"/>
  <c r="S9" i="5"/>
  <c r="S22" i="5" s="1"/>
  <c r="S27" i="5" s="1"/>
  <c r="L9" i="5"/>
  <c r="L22" i="5" s="1"/>
  <c r="L27" i="5" s="1"/>
  <c r="R44" i="4"/>
  <c r="D22" i="4" s="1"/>
  <c r="D27" i="4" s="1"/>
  <c r="L17" i="4"/>
  <c r="L22" i="4" s="1"/>
  <c r="L27" i="4" s="1"/>
  <c r="E22" i="4"/>
  <c r="E27" i="4" s="1"/>
  <c r="E30" i="4" s="1"/>
  <c r="E31" i="4" s="1"/>
  <c r="F141" i="1"/>
  <c r="D126" i="1"/>
  <c r="B124" i="1"/>
  <c r="A124" i="1"/>
  <c r="F110" i="1"/>
  <c r="D95" i="1"/>
  <c r="B93" i="1"/>
  <c r="A93" i="1"/>
  <c r="F71" i="1"/>
  <c r="D58" i="1"/>
  <c r="A56" i="1"/>
  <c r="M53" i="1"/>
  <c r="C67" i="1" s="1"/>
  <c r="C104" i="1" s="1"/>
  <c r="C135" i="1" s="1"/>
  <c r="A67" i="1"/>
  <c r="A104" i="1" s="1"/>
  <c r="A135" i="1" s="1"/>
  <c r="M51" i="1"/>
  <c r="C100" i="1" s="1"/>
  <c r="M47" i="1"/>
  <c r="D94" i="1" s="1"/>
  <c r="M45" i="1"/>
  <c r="N42" i="1"/>
  <c r="D87" i="1" s="1"/>
  <c r="M42" i="1"/>
  <c r="D50" i="1" s="1"/>
  <c r="L42" i="1"/>
  <c r="D14" i="1" s="1"/>
  <c r="N39" i="1"/>
  <c r="M39" i="1"/>
  <c r="D47" i="1" s="1"/>
  <c r="L39" i="1"/>
  <c r="O38" i="1"/>
  <c r="D118" i="1" s="1"/>
  <c r="N38" i="1"/>
  <c r="D83" i="1" s="1"/>
  <c r="M38" i="1"/>
  <c r="D46" i="1" s="1"/>
  <c r="F33" i="1"/>
  <c r="F34" i="1" s="1"/>
  <c r="L37" i="1"/>
  <c r="D10" i="1" s="1"/>
  <c r="N36" i="1"/>
  <c r="D82" i="1" s="1"/>
  <c r="M36" i="1"/>
  <c r="D45" i="1" s="1"/>
  <c r="L36" i="1"/>
  <c r="D9" i="1" s="1"/>
  <c r="C31" i="1"/>
  <c r="L32" i="1"/>
  <c r="O30" i="1"/>
  <c r="D116" i="1" s="1"/>
  <c r="N30" i="1"/>
  <c r="D79" i="1" s="1"/>
  <c r="M30" i="1"/>
  <c r="D42" i="1" s="1"/>
  <c r="L30" i="1"/>
  <c r="D5" i="1" s="1"/>
  <c r="O29" i="1"/>
  <c r="B113" i="1" s="1"/>
  <c r="E113" i="1" s="1"/>
  <c r="N29" i="1"/>
  <c r="B76" i="1" s="1"/>
  <c r="E76" i="1" s="1"/>
  <c r="M29" i="1"/>
  <c r="B39" i="1" s="1"/>
  <c r="E39" i="1" s="1"/>
  <c r="L29" i="1"/>
  <c r="B2" i="1" s="1"/>
  <c r="E2" i="1" s="1"/>
  <c r="C27" i="1"/>
  <c r="M25" i="1"/>
  <c r="C87" i="1" s="1"/>
  <c r="D22" i="1"/>
  <c r="M22" i="1"/>
  <c r="C84" i="1" s="1"/>
  <c r="A20" i="1"/>
  <c r="C118" i="1"/>
  <c r="C10" i="1"/>
  <c r="M19" i="1"/>
  <c r="C82" i="1" s="1"/>
  <c r="M15" i="1"/>
  <c r="C7" i="1" s="1"/>
  <c r="M13" i="1"/>
  <c r="C116" i="1" s="1"/>
  <c r="C9" i="1"/>
  <c r="M8" i="1"/>
  <c r="D7" i="1"/>
  <c r="M7" i="1"/>
  <c r="M6" i="1"/>
  <c r="M5" i="1"/>
  <c r="L97" i="6" l="1"/>
  <c r="L95" i="6"/>
  <c r="L96" i="6" s="1"/>
  <c r="K96" i="6" s="1"/>
  <c r="C11" i="1"/>
  <c r="L23" i="6"/>
  <c r="E116" i="1"/>
  <c r="L31" i="14"/>
  <c r="D11" i="1"/>
  <c r="L40" i="1"/>
  <c r="K23" i="14"/>
  <c r="L65" i="14"/>
  <c r="L66" i="14" s="1"/>
  <c r="K66" i="14" s="1"/>
  <c r="D43" i="14"/>
  <c r="E43" i="14" s="1"/>
  <c r="D42" i="14"/>
  <c r="E42" i="14" s="1"/>
  <c r="D40" i="14"/>
  <c r="E40" i="14" s="1"/>
  <c r="F41" i="14" s="1"/>
  <c r="F42" i="14" s="1"/>
  <c r="E37" i="14"/>
  <c r="D44" i="14"/>
  <c r="E44" i="14" s="1"/>
  <c r="N68" i="14"/>
  <c r="N65" i="14"/>
  <c r="N66" i="14" s="1"/>
  <c r="N31" i="14"/>
  <c r="M23" i="14"/>
  <c r="L111" i="14"/>
  <c r="L108" i="14"/>
  <c r="L109" i="14" s="1"/>
  <c r="L74" i="14"/>
  <c r="N111" i="14"/>
  <c r="N108" i="14"/>
  <c r="N109" i="14" s="1"/>
  <c r="L33" i="14"/>
  <c r="L35" i="14" s="1"/>
  <c r="E35" i="11"/>
  <c r="E36" i="11" s="1"/>
  <c r="E39" i="11" s="1"/>
  <c r="E40" i="11" s="1"/>
  <c r="E41" i="11" s="1"/>
  <c r="E40" i="13"/>
  <c r="E42" i="13" s="1"/>
  <c r="E43" i="13" s="1"/>
  <c r="E44" i="13" s="1"/>
  <c r="E47" i="13" s="1"/>
  <c r="E49" i="13" s="1"/>
  <c r="E50" i="13" s="1"/>
  <c r="E35" i="12"/>
  <c r="E37" i="12" s="1"/>
  <c r="D20" i="10"/>
  <c r="E32" i="10"/>
  <c r="E34" i="10" s="1"/>
  <c r="E35" i="10" s="1"/>
  <c r="E36" i="10" s="1"/>
  <c r="E39" i="10" s="1"/>
  <c r="E41" i="10" s="1"/>
  <c r="E42" i="10" s="1"/>
  <c r="E78" i="10"/>
  <c r="E80" i="10" s="1"/>
  <c r="E81" i="10" s="1"/>
  <c r="E82" i="10" s="1"/>
  <c r="E85" i="10" s="1"/>
  <c r="E87" i="10" s="1"/>
  <c r="E88" i="10" s="1"/>
  <c r="E30" i="9"/>
  <c r="E32" i="9" s="1"/>
  <c r="E34" i="9" s="1"/>
  <c r="F58" i="8"/>
  <c r="F59" i="8" s="1"/>
  <c r="F66" i="8" s="1"/>
  <c r="E103" i="8"/>
  <c r="F110" i="8"/>
  <c r="F29" i="8"/>
  <c r="F30" i="8" s="1"/>
  <c r="E76" i="7"/>
  <c r="E18" i="7"/>
  <c r="E21" i="7" s="1"/>
  <c r="E24" i="7" s="1"/>
  <c r="E25" i="7" s="1"/>
  <c r="N50" i="7"/>
  <c r="N48" i="7"/>
  <c r="N49" i="7" s="1"/>
  <c r="N81" i="7"/>
  <c r="N79" i="7"/>
  <c r="N80" i="7" s="1"/>
  <c r="K80" i="7"/>
  <c r="L88" i="7"/>
  <c r="N20" i="7"/>
  <c r="N18" i="7"/>
  <c r="N19" i="7" s="1"/>
  <c r="K49" i="7"/>
  <c r="L57" i="7"/>
  <c r="K19" i="7"/>
  <c r="L27" i="7"/>
  <c r="E150" i="7"/>
  <c r="E152" i="7" s="1"/>
  <c r="E115" i="7"/>
  <c r="E117" i="7" s="1"/>
  <c r="E78" i="7"/>
  <c r="E80" i="7" s="1"/>
  <c r="N104" i="7"/>
  <c r="N107" i="7" s="1"/>
  <c r="L104" i="7"/>
  <c r="L107" i="7" s="1"/>
  <c r="L110" i="7" s="1"/>
  <c r="L111" i="7" s="1"/>
  <c r="E63" i="6"/>
  <c r="E66" i="6" s="1"/>
  <c r="E69" i="6" s="1"/>
  <c r="E70" i="6" s="1"/>
  <c r="E20" i="6"/>
  <c r="E23" i="6" s="1"/>
  <c r="E26" i="6" s="1"/>
  <c r="E27" i="6" s="1"/>
  <c r="E35" i="6" s="1"/>
  <c r="E37" i="6" s="1"/>
  <c r="E39" i="6" s="1"/>
  <c r="C122" i="1"/>
  <c r="C18" i="1"/>
  <c r="L66" i="6"/>
  <c r="L67" i="6" s="1"/>
  <c r="L102" i="6"/>
  <c r="L103" i="6" s="1"/>
  <c r="L104" i="6" s="1"/>
  <c r="L105" i="6" s="1"/>
  <c r="L107" i="6" s="1"/>
  <c r="L109" i="6" s="1"/>
  <c r="L133" i="6"/>
  <c r="K128" i="6"/>
  <c r="E147" i="6"/>
  <c r="E149" i="6" s="1"/>
  <c r="E116" i="6"/>
  <c r="E118" i="6" s="1"/>
  <c r="L30" i="6"/>
  <c r="K22" i="6"/>
  <c r="E37" i="5"/>
  <c r="E39" i="5" s="1"/>
  <c r="E41" i="5" s="1"/>
  <c r="L25" i="5"/>
  <c r="L26" i="5" s="1"/>
  <c r="S25" i="5"/>
  <c r="S26" i="5" s="1"/>
  <c r="L25" i="4"/>
  <c r="L26" i="4" s="1"/>
  <c r="L32" i="4" s="1"/>
  <c r="D31" i="4"/>
  <c r="E37" i="4"/>
  <c r="E82" i="1"/>
  <c r="E22" i="1"/>
  <c r="C14" i="1"/>
  <c r="E14" i="1" s="1"/>
  <c r="C5" i="1"/>
  <c r="E5" i="1" s="1"/>
  <c r="E9" i="1"/>
  <c r="E11" i="1"/>
  <c r="M9" i="1"/>
  <c r="M10" i="1" s="1"/>
  <c r="N40" i="1" s="1"/>
  <c r="D85" i="1" s="1"/>
  <c r="E118" i="1"/>
  <c r="E119" i="1" s="1"/>
  <c r="E124" i="1" s="1"/>
  <c r="D21" i="1"/>
  <c r="D23" i="1" s="1"/>
  <c r="E87" i="1"/>
  <c r="E10" i="1"/>
  <c r="E7" i="1"/>
  <c r="A31" i="1"/>
  <c r="M23" i="1"/>
  <c r="D96" i="1"/>
  <c r="E94" i="1"/>
  <c r="E58" i="1"/>
  <c r="E95" i="1"/>
  <c r="E126" i="1"/>
  <c r="D119" i="1"/>
  <c r="M49" i="1"/>
  <c r="C46" i="1"/>
  <c r="E46" i="1" s="1"/>
  <c r="C54" i="1"/>
  <c r="C83" i="1"/>
  <c r="E83" i="1" s="1"/>
  <c r="D84" i="1"/>
  <c r="E84" i="1" s="1"/>
  <c r="C91" i="1"/>
  <c r="D125" i="1"/>
  <c r="C131" i="1"/>
  <c r="C42" i="1"/>
  <c r="E42" i="1" s="1"/>
  <c r="C45" i="1"/>
  <c r="E45" i="1" s="1"/>
  <c r="C47" i="1"/>
  <c r="E47" i="1" s="1"/>
  <c r="C50" i="1"/>
  <c r="E50" i="1" s="1"/>
  <c r="D57" i="1"/>
  <c r="C63" i="1"/>
  <c r="C79" i="1"/>
  <c r="E79" i="1" s="1"/>
  <c r="L36" i="14" l="1"/>
  <c r="L37" i="14" s="1"/>
  <c r="L40" i="14" s="1"/>
  <c r="L41" i="14" s="1"/>
  <c r="L42" i="14" s="1"/>
  <c r="L43" i="14" s="1"/>
  <c r="E35" i="9"/>
  <c r="E36" i="9" s="1"/>
  <c r="E39" i="9" s="1"/>
  <c r="E40" i="9" s="1"/>
  <c r="E41" i="9" s="1"/>
  <c r="L76" i="14"/>
  <c r="L78" i="14" s="1"/>
  <c r="L79" i="14" s="1"/>
  <c r="L80" i="14" s="1"/>
  <c r="L83" i="14" s="1"/>
  <c r="L84" i="14" s="1"/>
  <c r="L85" i="14" s="1"/>
  <c r="L86" i="14" s="1"/>
  <c r="N33" i="14"/>
  <c r="N35" i="14" s="1"/>
  <c r="N117" i="14"/>
  <c r="M109" i="14"/>
  <c r="K109" i="14"/>
  <c r="L117" i="14"/>
  <c r="M66" i="14"/>
  <c r="N74" i="14"/>
  <c r="E38" i="12"/>
  <c r="E39" i="12" s="1"/>
  <c r="E42" i="12" s="1"/>
  <c r="E44" i="12" s="1"/>
  <c r="E45" i="12" s="1"/>
  <c r="E59" i="8"/>
  <c r="F112" i="8"/>
  <c r="F114" i="8" s="1"/>
  <c r="F116" i="8" s="1"/>
  <c r="G120" i="8" s="1"/>
  <c r="G122" i="8" s="1"/>
  <c r="F68" i="8"/>
  <c r="F70" i="8" s="1"/>
  <c r="F72" i="8" s="1"/>
  <c r="F75" i="8" s="1"/>
  <c r="G76" i="8" s="1"/>
  <c r="G78" i="8" s="1"/>
  <c r="N57" i="7"/>
  <c r="D25" i="7"/>
  <c r="E33" i="7"/>
  <c r="E35" i="7" s="1"/>
  <c r="E37" i="7" s="1"/>
  <c r="D45" i="7" s="1"/>
  <c r="E45" i="7" s="1"/>
  <c r="D90" i="7"/>
  <c r="E90" i="7" s="1"/>
  <c r="D89" i="7"/>
  <c r="E89" i="7" s="1"/>
  <c r="D87" i="7"/>
  <c r="E87" i="7" s="1"/>
  <c r="D85" i="7"/>
  <c r="E85" i="7" s="1"/>
  <c r="F86" i="7" s="1"/>
  <c r="F89" i="7" s="1"/>
  <c r="E82" i="7"/>
  <c r="D88" i="7"/>
  <c r="E88" i="7" s="1"/>
  <c r="D161" i="7"/>
  <c r="E161" i="7" s="1"/>
  <c r="D160" i="7"/>
  <c r="E160" i="7" s="1"/>
  <c r="D157" i="7"/>
  <c r="E157" i="7" s="1"/>
  <c r="F158" i="7" s="1"/>
  <c r="F160" i="7" s="1"/>
  <c r="D159" i="7"/>
  <c r="E159" i="7" s="1"/>
  <c r="E154" i="7"/>
  <c r="N112" i="7"/>
  <c r="N110" i="7"/>
  <c r="N111" i="7" s="1"/>
  <c r="E119" i="7"/>
  <c r="D122" i="7"/>
  <c r="E122" i="7" s="1"/>
  <c r="L28" i="7"/>
  <c r="L29" i="7" s="1"/>
  <c r="L30" i="7" s="1"/>
  <c r="L119" i="7"/>
  <c r="K111" i="7"/>
  <c r="L58" i="7"/>
  <c r="L59" i="7" s="1"/>
  <c r="N27" i="7"/>
  <c r="M19" i="7"/>
  <c r="L89" i="7"/>
  <c r="L90" i="7" s="1"/>
  <c r="N88" i="7"/>
  <c r="M80" i="7"/>
  <c r="M49" i="7"/>
  <c r="E78" i="6"/>
  <c r="E80" i="6" s="1"/>
  <c r="E82" i="6" s="1"/>
  <c r="D90" i="6" s="1"/>
  <c r="E90" i="6" s="1"/>
  <c r="D70" i="6"/>
  <c r="D27" i="6"/>
  <c r="L68" i="6"/>
  <c r="L69" i="6" s="1"/>
  <c r="L71" i="6" s="1"/>
  <c r="L73" i="6" s="1"/>
  <c r="D126" i="6"/>
  <c r="E126" i="6" s="1"/>
  <c r="D125" i="6"/>
  <c r="E125" i="6" s="1"/>
  <c r="D127" i="6"/>
  <c r="E127" i="6" s="1"/>
  <c r="D123" i="6"/>
  <c r="E123" i="6" s="1"/>
  <c r="F124" i="6" s="1"/>
  <c r="F125" i="6" s="1"/>
  <c r="E120" i="6"/>
  <c r="D157" i="6"/>
  <c r="E157" i="6" s="1"/>
  <c r="D156" i="6"/>
  <c r="E156" i="6" s="1"/>
  <c r="D154" i="6"/>
  <c r="E154" i="6" s="1"/>
  <c r="F155" i="6" s="1"/>
  <c r="F156" i="6" s="1"/>
  <c r="E151" i="6"/>
  <c r="D158" i="6"/>
  <c r="E158" i="6" s="1"/>
  <c r="D91" i="6"/>
  <c r="E91" i="6" s="1"/>
  <c r="D89" i="6"/>
  <c r="E89" i="6" s="1"/>
  <c r="E84" i="6"/>
  <c r="D48" i="6"/>
  <c r="E48" i="6" s="1"/>
  <c r="D47" i="6"/>
  <c r="E47" i="6" s="1"/>
  <c r="D46" i="6"/>
  <c r="E46" i="6" s="1"/>
  <c r="D44" i="6"/>
  <c r="E44" i="6" s="1"/>
  <c r="F45" i="6" s="1"/>
  <c r="F46" i="6" s="1"/>
  <c r="E41" i="6"/>
  <c r="L134" i="6"/>
  <c r="L135" i="6" s="1"/>
  <c r="L136" i="6" s="1"/>
  <c r="L138" i="6" s="1"/>
  <c r="L140" i="6" s="1"/>
  <c r="L31" i="6"/>
  <c r="L32" i="6" s="1"/>
  <c r="D54" i="5"/>
  <c r="E54" i="5" s="1"/>
  <c r="D51" i="5"/>
  <c r="E51" i="5" s="1"/>
  <c r="D48" i="5"/>
  <c r="E48" i="5" s="1"/>
  <c r="E43" i="5"/>
  <c r="D53" i="5"/>
  <c r="E53" i="5" s="1"/>
  <c r="D52" i="5"/>
  <c r="E52" i="5" s="1"/>
  <c r="D50" i="5"/>
  <c r="E50" i="5" s="1"/>
  <c r="D46" i="5"/>
  <c r="E46" i="5" s="1"/>
  <c r="F47" i="5" s="1"/>
  <c r="R26" i="5"/>
  <c r="S33" i="5"/>
  <c r="L33" i="5"/>
  <c r="K26" i="5"/>
  <c r="K26" i="4"/>
  <c r="L34" i="4"/>
  <c r="L36" i="4" s="1"/>
  <c r="M36" i="4" s="1"/>
  <c r="M38" i="4" s="1"/>
  <c r="M40" i="4" s="1"/>
  <c r="E39" i="4"/>
  <c r="E41" i="4" s="1"/>
  <c r="E21" i="1"/>
  <c r="D12" i="1"/>
  <c r="D15" i="1" s="1"/>
  <c r="M40" i="1"/>
  <c r="D48" i="1" s="1"/>
  <c r="D51" i="1" s="1"/>
  <c r="E122" i="1"/>
  <c r="E123" i="1" s="1"/>
  <c r="D123" i="1" s="1"/>
  <c r="C85" i="1"/>
  <c r="E85" i="1" s="1"/>
  <c r="E88" i="1" s="1"/>
  <c r="E93" i="1" s="1"/>
  <c r="C12" i="1"/>
  <c r="C48" i="1"/>
  <c r="E48" i="1" s="1"/>
  <c r="E51" i="1" s="1"/>
  <c r="E125" i="1"/>
  <c r="D127" i="1"/>
  <c r="D88" i="1"/>
  <c r="D59" i="1"/>
  <c r="E57" i="1"/>
  <c r="N36" i="14" l="1"/>
  <c r="N37" i="14" s="1"/>
  <c r="N40" i="14" s="1"/>
  <c r="N41" i="14" s="1"/>
  <c r="N42" i="14" s="1"/>
  <c r="N43" i="14" s="1"/>
  <c r="N119" i="14"/>
  <c r="N121" i="14" s="1"/>
  <c r="N122" i="14" s="1"/>
  <c r="N123" i="14" s="1"/>
  <c r="N126" i="14" s="1"/>
  <c r="N127" i="14" s="1"/>
  <c r="N128" i="14" s="1"/>
  <c r="N129" i="14" s="1"/>
  <c r="N76" i="14"/>
  <c r="N78" i="14" s="1"/>
  <c r="N79" i="14" s="1"/>
  <c r="N80" i="14" s="1"/>
  <c r="L119" i="14"/>
  <c r="L121" i="14" s="1"/>
  <c r="L122" i="14" s="1"/>
  <c r="L123" i="14" s="1"/>
  <c r="L126" i="14" s="1"/>
  <c r="L127" i="14" s="1"/>
  <c r="L128" i="14" s="1"/>
  <c r="L129" i="14" s="1"/>
  <c r="D44" i="7"/>
  <c r="E44" i="7" s="1"/>
  <c r="E39" i="7"/>
  <c r="N58" i="7"/>
  <c r="N59" i="7" s="1"/>
  <c r="N60" i="7" s="1"/>
  <c r="D42" i="7"/>
  <c r="E42" i="7" s="1"/>
  <c r="F43" i="7" s="1"/>
  <c r="F45" i="7" s="1"/>
  <c r="D46" i="7"/>
  <c r="E46" i="7" s="1"/>
  <c r="D87" i="6"/>
  <c r="E87" i="6" s="1"/>
  <c r="F88" i="6" s="1"/>
  <c r="F89" i="6" s="1"/>
  <c r="N119" i="7"/>
  <c r="M111" i="7"/>
  <c r="N89" i="7"/>
  <c r="N90" i="7" s="1"/>
  <c r="N91" i="7" s="1"/>
  <c r="N28" i="7"/>
  <c r="N29" i="7" s="1"/>
  <c r="N30" i="7" s="1"/>
  <c r="L120" i="7"/>
  <c r="L121" i="7" s="1"/>
  <c r="L33" i="6"/>
  <c r="L35" i="6" s="1"/>
  <c r="L36" i="6" s="1"/>
  <c r="E129" i="1"/>
  <c r="E131" i="1" s="1"/>
  <c r="E12" i="1"/>
  <c r="E15" i="1" s="1"/>
  <c r="E18" i="1" s="1"/>
  <c r="E19" i="1" s="1"/>
  <c r="D19" i="1" s="1"/>
  <c r="L35" i="5"/>
  <c r="L37" i="5" s="1"/>
  <c r="L39" i="5" s="1"/>
  <c r="S35" i="5"/>
  <c r="S37" i="5" s="1"/>
  <c r="S39" i="5" s="1"/>
  <c r="F54" i="5"/>
  <c r="F51" i="5"/>
  <c r="F48" i="5"/>
  <c r="F53" i="5"/>
  <c r="F52" i="5"/>
  <c r="F50" i="5"/>
  <c r="D48" i="4"/>
  <c r="E48" i="4" s="1"/>
  <c r="D50" i="4"/>
  <c r="E50" i="4" s="1"/>
  <c r="D49" i="4"/>
  <c r="E49" i="4" s="1"/>
  <c r="D46" i="4"/>
  <c r="E46" i="4" s="1"/>
  <c r="F47" i="4" s="1"/>
  <c r="F48" i="4" s="1"/>
  <c r="E43" i="4"/>
  <c r="E56" i="1"/>
  <c r="E54" i="1"/>
  <c r="E55" i="1" s="1"/>
  <c r="D55" i="1" s="1"/>
  <c r="E91" i="1"/>
  <c r="E92" i="1" s="1"/>
  <c r="Q88" i="7" l="1"/>
  <c r="Q57" i="7"/>
  <c r="Q27" i="7"/>
  <c r="N84" i="14"/>
  <c r="N85" i="14" s="1"/>
  <c r="N86" i="14" s="1"/>
  <c r="N83" i="14"/>
  <c r="O110" i="7"/>
  <c r="O112" i="7" s="1"/>
  <c r="O115" i="7" s="1"/>
  <c r="O116" i="7" s="1"/>
  <c r="O73" i="7"/>
  <c r="O75" i="7" s="1"/>
  <c r="O78" i="7" s="1"/>
  <c r="O79" i="7" s="1"/>
  <c r="O32" i="7"/>
  <c r="O35" i="7" s="1"/>
  <c r="O36" i="7" s="1"/>
  <c r="N120" i="7"/>
  <c r="N121" i="7" s="1"/>
  <c r="N122" i="7" s="1"/>
  <c r="E133" i="1"/>
  <c r="G139" i="1" s="1"/>
  <c r="G140" i="1" s="1"/>
  <c r="G141" i="1" s="1"/>
  <c r="E20" i="1"/>
  <c r="E25" i="1" s="1"/>
  <c r="E27" i="1" s="1"/>
  <c r="E29" i="1" s="1"/>
  <c r="M37" i="5"/>
  <c r="M39" i="5" s="1"/>
  <c r="M42" i="5" s="1"/>
  <c r="T37" i="5"/>
  <c r="E61" i="1"/>
  <c r="E63" i="1" s="1"/>
  <c r="E65" i="1" s="1"/>
  <c r="E67" i="1" s="1"/>
  <c r="E98" i="1"/>
  <c r="D92" i="1"/>
  <c r="E135" i="1"/>
  <c r="H134" i="1" s="1"/>
  <c r="H135" i="1" s="1"/>
  <c r="Q119" i="7" l="1"/>
  <c r="O145" i="7"/>
  <c r="O147" i="7" s="1"/>
  <c r="O150" i="7" s="1"/>
  <c r="O151" i="7" s="1"/>
  <c r="H136" i="1"/>
  <c r="E31" i="1"/>
  <c r="H32" i="1" s="1"/>
  <c r="H34" i="1" s="1"/>
  <c r="T39" i="5"/>
  <c r="T42" i="5" s="1"/>
  <c r="G67" i="1"/>
  <c r="E100" i="1"/>
  <c r="E102" i="1" s="1"/>
  <c r="E104" i="1" l="1"/>
  <c r="H105" i="1" s="1"/>
  <c r="H106" i="1" s="1"/>
  <c r="G106" i="1"/>
  <c r="G109" i="1" s="1"/>
  <c r="G110" i="1" s="1"/>
  <c r="H68" i="1"/>
  <c r="H69" i="1" s="1"/>
  <c r="G70" i="1"/>
  <c r="G71" i="1" s="1"/>
  <c r="H107" i="1" l="1"/>
  <c r="H70" i="1"/>
  <c r="H72" i="1" l="1"/>
</calcChain>
</file>

<file path=xl/comments1.xml><?xml version="1.0" encoding="utf-8"?>
<comments xmlns="http://schemas.openxmlformats.org/spreadsheetml/2006/main">
  <authors>
    <author>hlee</author>
  </authors>
  <commentList>
    <comment ref="E89" authorId="0">
      <text>
        <r>
          <rPr>
            <b/>
            <sz val="8"/>
            <color indexed="81"/>
            <rFont val="Tahoma"/>
            <family val="2"/>
          </rPr>
          <t>hlee: 6/5/12</t>
        </r>
        <r>
          <rPr>
            <sz val="8"/>
            <color indexed="81"/>
            <rFont val="Tahoma"/>
            <family val="2"/>
          </rPr>
          <t xml:space="preserve">
DHCFP decided to propose as following; 80% utilization: 6 and 9 beds, 85% utilization: 12,15 beds </t>
        </r>
      </text>
    </comment>
    <comment ref="B90" authorId="0">
      <text>
        <r>
          <rPr>
            <b/>
            <sz val="8"/>
            <color indexed="81"/>
            <rFont val="Tahoma"/>
            <family val="2"/>
          </rPr>
          <t>hlee: 3/1/2012</t>
        </r>
        <r>
          <rPr>
            <sz val="8"/>
            <color indexed="81"/>
            <rFont val="Tahoma"/>
            <family val="2"/>
          </rPr>
          <t xml:space="preserve">
After Post P.H Debriefing meeting with DCF/DMH on Feb.27th, STARR utilization factor has been updated to 75% for the 6 bed programs and 80% for the 9+ program.  </t>
        </r>
      </text>
    </comment>
  </commentList>
</comments>
</file>

<file path=xl/sharedStrings.xml><?xml version="1.0" encoding="utf-8"?>
<sst xmlns="http://schemas.openxmlformats.org/spreadsheetml/2006/main" count="2062" uniqueCount="319">
  <si>
    <t>Straight
CAF</t>
  </si>
  <si>
    <t>Per Diem Rate</t>
  </si>
  <si>
    <t>Master Look-Up Data</t>
  </si>
  <si>
    <t>PROGRAM Model Budget - Enhanced 1:4</t>
  </si>
  <si>
    <t>Beds:</t>
  </si>
  <si>
    <t>Bed Days:</t>
  </si>
  <si>
    <t>Relief Assumptions:</t>
  </si>
  <si>
    <t>Model</t>
  </si>
  <si>
    <t>Days</t>
  </si>
  <si>
    <t>Hours</t>
  </si>
  <si>
    <t>Salary</t>
  </si>
  <si>
    <t>FTE</t>
  </si>
  <si>
    <t>Expense</t>
  </si>
  <si>
    <t>vacation</t>
  </si>
  <si>
    <t>Management</t>
  </si>
  <si>
    <t>sick/ personal</t>
  </si>
  <si>
    <t>Medical and Clinical</t>
  </si>
  <si>
    <t>holidays</t>
  </si>
  <si>
    <t xml:space="preserve">    Nursing (RN non-masters)</t>
  </si>
  <si>
    <t>training</t>
  </si>
  <si>
    <t>Direct Care</t>
  </si>
  <si>
    <t>Total Hours per FTE:</t>
  </si>
  <si>
    <r>
      <t xml:space="preserve">    </t>
    </r>
    <r>
      <rPr>
        <sz val="10"/>
        <rFont val="Arial"/>
        <family val="2"/>
      </rPr>
      <t>Peer Mentor</t>
    </r>
  </si>
  <si>
    <t>% of FTE:</t>
  </si>
  <si>
    <t xml:space="preserve">    Clinical Care Manager (MA)</t>
  </si>
  <si>
    <t xml:space="preserve">    Direct Care Staff</t>
  </si>
  <si>
    <r>
      <t>Benchmark Salaries</t>
    </r>
    <r>
      <rPr>
        <b/>
        <sz val="10"/>
        <color indexed="10"/>
        <rFont val="Arial"/>
        <family val="2"/>
      </rPr>
      <t xml:space="preserve"> *</t>
    </r>
  </si>
  <si>
    <t xml:space="preserve">    Relief</t>
  </si>
  <si>
    <t>Support</t>
  </si>
  <si>
    <t xml:space="preserve">    Prog Secretarial / Clerical</t>
  </si>
  <si>
    <t>Total Program Staff</t>
  </si>
  <si>
    <t xml:space="preserve">    Social Worker - L.I.C.S.W.</t>
  </si>
  <si>
    <t>Expenses</t>
  </si>
  <si>
    <t>Unit Cost</t>
  </si>
  <si>
    <t xml:space="preserve">    Peer Mentor</t>
  </si>
  <si>
    <t>Tax and Fringe</t>
  </si>
  <si>
    <t>Total Compensation</t>
  </si>
  <si>
    <t xml:space="preserve">    Case Worker Manager</t>
  </si>
  <si>
    <t>Occupancy</t>
  </si>
  <si>
    <t>Other Expenses</t>
  </si>
  <si>
    <t>Total Reimb excl M&amp;G</t>
  </si>
  <si>
    <t>Benchmark FTEs</t>
  </si>
  <si>
    <t>Model Name:</t>
  </si>
  <si>
    <t>Enhanc 1:4</t>
  </si>
  <si>
    <t>TLP 1:5</t>
  </si>
  <si>
    <t>House Parent</t>
  </si>
  <si>
    <t>STEP</t>
  </si>
  <si>
    <t>Admin. Allocation</t>
  </si>
  <si>
    <t>Capacity:</t>
  </si>
  <si>
    <t>TOTAL</t>
  </si>
  <si>
    <t>Utilization Rate:</t>
  </si>
  <si>
    <t>Monthly Accom. Rate</t>
  </si>
  <si>
    <t>Monthly Accom. Rate per slot</t>
  </si>
  <si>
    <r>
      <t>Benchmark Expenses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*</t>
    </r>
  </si>
  <si>
    <t>PROGRAM Model Budget - TLP 1:5</t>
  </si>
  <si>
    <t>†</t>
  </si>
  <si>
    <t>Footnotes</t>
  </si>
  <si>
    <t xml:space="preserve">Rate </t>
  </si>
  <si>
    <t>PROGRAM Model Budget - House Parent 1:5</t>
  </si>
  <si>
    <t>Rate with CAF</t>
  </si>
  <si>
    <t>PROGRAM Model Budget - STEP</t>
  </si>
  <si>
    <t>Median</t>
  </si>
  <si>
    <t>BLS MA</t>
  </si>
  <si>
    <t>Position</t>
  </si>
  <si>
    <t>Avg</t>
  </si>
  <si>
    <t>Minimum Education and/or certification</t>
  </si>
  <si>
    <t>C.257 Average</t>
  </si>
  <si>
    <t>Hourly Difference b/w Avg &amp; C.257</t>
  </si>
  <si>
    <t>Direct Care I &amp; II Blend (hourly)</t>
  </si>
  <si>
    <t>Direct Care, Direct Care Blend, Non Specialized DC, Peer mentor, Family Specialist</t>
  </si>
  <si>
    <t>High School diploma / GED / State Training</t>
  </si>
  <si>
    <t>Direct Care I &amp; II Blend (annual)</t>
  </si>
  <si>
    <t>Direct Care III (hourly)</t>
  </si>
  <si>
    <t>Direct Care Supervisor, Direct Care Bachelors</t>
  </si>
  <si>
    <t>Bachelors Level or 5+ years related experience</t>
  </si>
  <si>
    <t>Direct Care III (annual)</t>
  </si>
  <si>
    <t>Certified Nursing Assistant  (hourly)</t>
  </si>
  <si>
    <t>Completed a state-approved education program and must pass their state’s competency exam. 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</si>
  <si>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</si>
  <si>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</si>
  <si>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</si>
  <si>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</si>
  <si>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N/A</t>
  </si>
  <si>
    <t>Case / Social Worker (annual)</t>
  </si>
  <si>
    <t>Case Manager / Social Worker / Clinical w/o independent License (hourly)</t>
  </si>
  <si>
    <t>LDAC1,  LMSW, LCSW</t>
  </si>
  <si>
    <t>Masters Level</t>
  </si>
  <si>
    <t>Case Manager / Social Worker / Clinical w/o independent License</t>
  </si>
  <si>
    <t>Clinical without Independent Licensure</t>
  </si>
  <si>
    <t>Clinical w/ Independent licensure (hourly)</t>
  </si>
  <si>
    <t>LPHA, LICSW, LMHC, LBHA, BCBA</t>
  </si>
  <si>
    <t xml:space="preserve">Masters with Licensure in Related Discipline </t>
  </si>
  <si>
    <t>Clinical w/ Independent licensure (annual)</t>
  </si>
  <si>
    <t>Clinical Manager (hourly)</t>
  </si>
  <si>
    <t>Clinical Manager, Clinical Director, Supervising Professional</t>
  </si>
  <si>
    <t>Masters with Licensure in Related Discipline and supervising/managerial related experience</t>
  </si>
  <si>
    <t>Clinical Manager (annual)</t>
  </si>
  <si>
    <t>LPN (hourly)</t>
  </si>
  <si>
    <t>Complete a state approved nurse education program for licensed practical or licensed vocation nurse</t>
  </si>
  <si>
    <t>LPN (annual)</t>
  </si>
  <si>
    <t>Registerd Nurse (BA) (hourly)</t>
  </si>
  <si>
    <t>Minimum of an associates degree in nursing, a diploma from an approved nursing program, or a Bachelors of Science in Nursing</t>
  </si>
  <si>
    <t>Registered Nurse (BA) (annual)</t>
  </si>
  <si>
    <t>Registerd Nurse (MA / APRN) (hourly)</t>
  </si>
  <si>
    <t>Minimum of a Masters of Science in one of the APRN roles. Must be licensed</t>
  </si>
  <si>
    <t>Registered Nurse (MA / APRN) (annual)</t>
  </si>
  <si>
    <t>Support and Relief Staff are Benchmarked to Direct Care I &amp; II</t>
  </si>
  <si>
    <t xml:space="preserve">Overnight staff (asleep or awake) bench to $14.25 / hr </t>
  </si>
  <si>
    <t xml:space="preserve">Tax and Fringe  =  </t>
  </si>
  <si>
    <t>CAF =</t>
  </si>
  <si>
    <t>PFMLA =</t>
  </si>
  <si>
    <t xml:space="preserve">    Social Worker </t>
  </si>
  <si>
    <r>
      <t>Benchmark Salaries</t>
    </r>
    <r>
      <rPr>
        <b/>
        <sz val="10"/>
        <rFont val="Arial"/>
        <family val="2"/>
      </rPr>
      <t xml:space="preserve"> *</t>
    </r>
  </si>
  <si>
    <r>
      <t>Benchmark Expenses</t>
    </r>
    <r>
      <rPr>
        <b/>
        <sz val="10"/>
        <rFont val="Arial"/>
        <family val="2"/>
      </rPr>
      <t xml:space="preserve"> *</t>
    </r>
  </si>
  <si>
    <t xml:space="preserve">    Case Worker </t>
  </si>
  <si>
    <t>Follow Along</t>
  </si>
  <si>
    <t>Stepping Out</t>
  </si>
  <si>
    <t>Teen Parenting Emergency Beds Add-on (per day)</t>
  </si>
  <si>
    <t>Teen Parenting Emergency Beds Add-on (per month)</t>
  </si>
  <si>
    <t>Rate</t>
  </si>
  <si>
    <t>PFLM Trust Contribution</t>
  </si>
  <si>
    <t>CAF Rate Review (FY21 7 FY22)</t>
  </si>
  <si>
    <t>Master Look-Up Data - Teen Parent</t>
  </si>
  <si>
    <t>Monthly Accomm. rate</t>
  </si>
  <si>
    <t xml:space="preserve">    Physician &amp;Psychiatrist</t>
  </si>
  <si>
    <t xml:space="preserve">    Occupational Therapy</t>
  </si>
  <si>
    <t xml:space="preserve">    Social Worker - L.C.S.W.</t>
  </si>
  <si>
    <t xml:space="preserve">    Special Ed Teacher</t>
  </si>
  <si>
    <t xml:space="preserve">    Family Partner</t>
  </si>
  <si>
    <t>.</t>
  </si>
  <si>
    <t xml:space="preserve">    Maintainence, Groundskeeping</t>
  </si>
  <si>
    <t xml:space="preserve">    Direct Care / Driver Staff</t>
  </si>
  <si>
    <t>CAF:</t>
  </si>
  <si>
    <t>RATE:</t>
  </si>
  <si>
    <t>Rate review CAF:</t>
  </si>
  <si>
    <t>Benchmark Expenses</t>
  </si>
  <si>
    <t>based on CIRT-specific data</t>
  </si>
  <si>
    <t xml:space="preserve"> *</t>
  </si>
  <si>
    <t xml:space="preserve">CIRT Model Budget </t>
  </si>
  <si>
    <t>Master Look-Up Data - CIRT</t>
  </si>
  <si>
    <t>PFML Trust Contibution</t>
  </si>
  <si>
    <t>CIRT Model Budget
ORIGINAL RATE SETTING + CAF-only 2016 review</t>
  </si>
  <si>
    <t>IRTP Model Budget 
Co-located</t>
  </si>
  <si>
    <t>12 months</t>
  </si>
  <si>
    <t>Benchmark Salaries</t>
  </si>
  <si>
    <t xml:space="preserve">    Psychologogist - doctorate</t>
  </si>
  <si>
    <t xml:space="preserve">    Psychologist - doctorate</t>
  </si>
  <si>
    <t xml:space="preserve">    Groundskeeping, Cook, Transport</t>
  </si>
  <si>
    <t>Nursing, co-located (overnight shift shared)</t>
  </si>
  <si>
    <t>Mo</t>
  </si>
  <si>
    <t>Tu</t>
  </si>
  <si>
    <t>We</t>
  </si>
  <si>
    <t>Th</t>
  </si>
  <si>
    <t>Fr</t>
  </si>
  <si>
    <t>Sa</t>
  </si>
  <si>
    <t>Su</t>
  </si>
  <si>
    <t>Shift 1</t>
  </si>
  <si>
    <t>Shift 2</t>
  </si>
  <si>
    <t>Shift 3</t>
  </si>
  <si>
    <t>hours/week</t>
  </si>
  <si>
    <t>relief hours</t>
  </si>
  <si>
    <t>nursing FTE</t>
  </si>
  <si>
    <t>Nursing, not co-located (full overnight shift)</t>
  </si>
  <si>
    <t>FY19 CAF</t>
  </si>
  <si>
    <t>CAF (FY21)</t>
  </si>
  <si>
    <t>IRTP Model Budget
ORIGINAL RATE SETTING + CAF-only 2016 review</t>
  </si>
  <si>
    <r>
      <t xml:space="preserve">IRTP Model Budget 
</t>
    </r>
    <r>
      <rPr>
        <b/>
        <u/>
        <sz val="10"/>
        <rFont val="Arial"/>
        <family val="2"/>
      </rPr>
      <t>Non</t>
    </r>
    <r>
      <rPr>
        <b/>
        <sz val="10"/>
        <rFont val="Arial"/>
        <family val="2"/>
      </rPr>
      <t>–co-located</t>
    </r>
  </si>
  <si>
    <t>Master Look-Up Data - IRTP</t>
  </si>
  <si>
    <t>PFMLA Trust Contribution</t>
  </si>
  <si>
    <t>Intens 1:3</t>
  </si>
  <si>
    <t>GH2 1:4</t>
  </si>
  <si>
    <t>Pre-IL 1:5</t>
  </si>
  <si>
    <t>Ind Liv</t>
  </si>
  <si>
    <t>Additional Travel</t>
  </si>
  <si>
    <t>Nutrition Offset</t>
  </si>
  <si>
    <t xml:space="preserve"> </t>
  </si>
  <si>
    <t>Rate review CAF</t>
  </si>
  <si>
    <t xml:space="preserve">GROUP HOME Model Budget - Intensive 1:3 
</t>
  </si>
  <si>
    <t>Master Look-Up Data - Group Home</t>
  </si>
  <si>
    <t>GROUP HOME Model Budget - Intensive 1:3
ORIGINAL RATE SETTING + CAF-only 2016 review</t>
  </si>
  <si>
    <r>
      <t>Benchmark Salaries</t>
    </r>
    <r>
      <rPr>
        <b/>
        <sz val="10"/>
        <rFont val="Arial"/>
        <family val="2"/>
      </rPr>
      <t xml:space="preserve"> </t>
    </r>
  </si>
  <si>
    <t>GROUP HOME Model Budget - GH2 1:4
ORIGINAL RATE SETTING + CAF-only 2016 review</t>
  </si>
  <si>
    <t>GROUP HOME Model Budget - Pre-IL 1:5
ORIGINAL RATE SETTING + CAF-only 2016 review</t>
  </si>
  <si>
    <t>GROUP HOME Model Budget - Indep Living
ORIGINAL RATE SETTING + CAF-only 2016 review</t>
  </si>
  <si>
    <t>PFML Trust Contribution</t>
  </si>
  <si>
    <t>STARR Model Budget - 12 Beds
ORIGINAL RATE SETTING + CAF-only 2016 review</t>
  </si>
  <si>
    <t>CAF</t>
  </si>
  <si>
    <t xml:space="preserve">STARR Model Budget - 12 Beds
</t>
  </si>
  <si>
    <r>
      <t xml:space="preserve">Benchmark Salaries </t>
    </r>
    <r>
      <rPr>
        <b/>
        <sz val="10"/>
        <rFont val="Arial"/>
        <family val="2"/>
      </rPr>
      <t>*</t>
    </r>
  </si>
  <si>
    <r>
      <t xml:space="preserve"> </t>
    </r>
    <r>
      <rPr>
        <sz val="10"/>
        <rFont val="Arial"/>
        <family val="2"/>
      </rPr>
      <t xml:space="preserve">   Social Worker - L.I.C.S.W.</t>
    </r>
  </si>
  <si>
    <t xml:space="preserve">Monthly Rate </t>
  </si>
  <si>
    <t>STARR Model Budget - 6 Beds
ORIGINAL RATE SETTING + CAF-only 2016 review</t>
  </si>
  <si>
    <t xml:space="preserve">STARR Model Budget - 6 Beds
</t>
  </si>
  <si>
    <t>hr/wk</t>
  </si>
  <si>
    <t>hr/yr</t>
  </si>
  <si>
    <t xml:space="preserve">STARR Model Budget - 9 Beds
</t>
  </si>
  <si>
    <r>
      <t xml:space="preserve">    </t>
    </r>
    <r>
      <rPr>
        <sz val="10"/>
        <rFont val="Arial"/>
        <family val="2"/>
      </rPr>
      <t>Social Worker - L.I.C.S.W.</t>
    </r>
  </si>
  <si>
    <t xml:space="preserve">STARR Model Budget - 15 Beds
</t>
  </si>
  <si>
    <t xml:space="preserve">GROUP HOME Model Budget - Indep Living
</t>
  </si>
  <si>
    <t xml:space="preserve">GROUP HOME Model Budget - Pre-IL 1:5
</t>
  </si>
  <si>
    <t xml:space="preserve">GROUP HOME Model Budget - GH 1:4
</t>
  </si>
  <si>
    <t>Admin Allocation</t>
  </si>
  <si>
    <t>Master Look-Up Data - Starr</t>
  </si>
  <si>
    <t>CONTINUUM Model Budget - Community Wrap</t>
  </si>
  <si>
    <t>Slots:</t>
  </si>
  <si>
    <t>Slot Days:</t>
  </si>
  <si>
    <t>Commun</t>
  </si>
  <si>
    <t>Resi</t>
  </si>
  <si>
    <t>Flex Funds</t>
  </si>
  <si>
    <t>Comm Wrp</t>
  </si>
  <si>
    <t xml:space="preserve"> Rate</t>
  </si>
  <si>
    <t xml:space="preserve">CONTINUUM Model Budget - Group Home 1 (Intensive 1:3) </t>
  </si>
  <si>
    <t>SAMPLE BLENDED RATES - 90% Utilization</t>
  </si>
  <si>
    <t>Program</t>
  </si>
  <si>
    <t>IFC</t>
  </si>
  <si>
    <t>GH1skinny</t>
  </si>
  <si>
    <t>GH2skinny</t>
  </si>
  <si>
    <t>Pre-IL</t>
  </si>
  <si>
    <t>IL</t>
  </si>
  <si>
    <t>Wrap</t>
  </si>
  <si>
    <t>Total Continuum</t>
  </si>
  <si>
    <t># slots</t>
  </si>
  <si>
    <t>Unit Rate</t>
  </si>
  <si>
    <t>Total Cost</t>
  </si>
  <si>
    <t>Combined Unit Cost</t>
  </si>
  <si>
    <t>Combined Annual Cost</t>
  </si>
  <si>
    <t>Annual Cost Per slot</t>
  </si>
  <si>
    <t>100% Unit Rate</t>
  </si>
  <si>
    <t>90% Unit Rate</t>
  </si>
  <si>
    <t>1) 1 child in IFC, 12 childs in GH1, 17 in community</t>
  </si>
  <si>
    <t>2) 1 child in IFC, 12 childs in GH2, 17 in community</t>
  </si>
  <si>
    <t>3) 1 child in IFC, 12 childs in Pre-IL, 17 in community</t>
  </si>
  <si>
    <t>4) 1 child in IFC, 12 childs in IL, 17 in community</t>
  </si>
  <si>
    <t>5) 1 child in IFC, 12 childs in GH1, 12 in GH2, 17 in community</t>
  </si>
  <si>
    <t xml:space="preserve">CONTINUUM Model Budget - Group Home 2 (GH 1:4) </t>
  </si>
  <si>
    <t>GH 1 - 3</t>
  </si>
  <si>
    <r>
      <t xml:space="preserve">Benchmark Expenses </t>
    </r>
    <r>
      <rPr>
        <u/>
        <sz val="10"/>
        <rFont val="Arial"/>
        <family val="2"/>
      </rPr>
      <t>*</t>
    </r>
  </si>
  <si>
    <t>GH 1-4</t>
  </si>
  <si>
    <t>FOLLOW ALONG Model Budget</t>
  </si>
  <si>
    <t>Home-based FTEs</t>
  </si>
  <si>
    <t>Proportional to GH amount</t>
  </si>
  <si>
    <t>Flex Funds per slot</t>
  </si>
  <si>
    <t>Additional Travel per slot</t>
  </si>
  <si>
    <t>STEPPING OUT Model Budget</t>
  </si>
  <si>
    <t xml:space="preserve">    Social Worker - Masters Clinical not Ind Lic</t>
  </si>
  <si>
    <t>TRANSITIONAL AGE YOUTH Model Budget - Adult Continuum</t>
  </si>
  <si>
    <t>TAY - A</t>
  </si>
  <si>
    <t>TAY - B</t>
  </si>
  <si>
    <t>Capacity Assumptions </t>
  </si>
  <si>
    <t>20 Bed</t>
  </si>
  <si>
    <t>Occupancy - community</t>
  </si>
  <si>
    <t xml:space="preserve">     4 individuals will be in a group home program licensed by DMH</t>
  </si>
  <si>
    <t>Occupancy - resi</t>
  </si>
  <si>
    <t xml:space="preserve">     4 individuals will be in supported housing site, licensed by DMH</t>
  </si>
  <si>
    <t>Other Expenses - community</t>
  </si>
  <si>
    <t xml:space="preserve">     12 individuals will be in the community and recieve services</t>
  </si>
  <si>
    <t>Other Expenses - resi</t>
  </si>
  <si>
    <t>11 Bed</t>
  </si>
  <si>
    <t xml:space="preserve">     9 individuals in group home</t>
  </si>
  <si>
    <t xml:space="preserve">     2 individuals in supported housing</t>
  </si>
  <si>
    <t xml:space="preserve">FY17 Rate </t>
  </si>
  <si>
    <t>Community</t>
  </si>
  <si>
    <t>TRANSITIONAL AGE YOUTH Model Budget - Young Adult Group Living Environment</t>
  </si>
  <si>
    <t>CAF rate</t>
  </si>
  <si>
    <t xml:space="preserve">    Social Worker - MA Lvl no indep lic</t>
  </si>
  <si>
    <t xml:space="preserve">    Social Worker</t>
  </si>
  <si>
    <t>SPECIALTY PROGRAM Model Budget - Intensive 1:1 Supported Living</t>
  </si>
  <si>
    <t xml:space="preserve">   Nursing (RN non-masters)</t>
  </si>
  <si>
    <r>
      <t xml:space="preserve">    </t>
    </r>
    <r>
      <rPr>
        <sz val="10"/>
        <rFont val="Arial"/>
        <family val="2"/>
      </rPr>
      <t>Clinical Care Manager (MA)</t>
    </r>
  </si>
  <si>
    <t xml:space="preserve">   Psychologist - doctorate</t>
  </si>
  <si>
    <t xml:space="preserve">   Clinical Care Manager (MA)</t>
  </si>
  <si>
    <t xml:space="preserve">   Direct Care Staff</t>
  </si>
  <si>
    <t xml:space="preserve">   Relief</t>
  </si>
  <si>
    <t>CAF (FY19)</t>
  </si>
  <si>
    <r>
      <t>Benchmark FTEs</t>
    </r>
    <r>
      <rPr>
        <b/>
        <sz val="10"/>
        <rFont val="Arial"/>
        <family val="2"/>
      </rPr>
      <t xml:space="preserve"> </t>
    </r>
    <r>
      <rPr>
        <b/>
        <sz val="8.5"/>
        <rFont val="Calibri"/>
        <family val="2"/>
      </rPr>
      <t>÷</t>
    </r>
  </si>
  <si>
    <t>PFML Trust Contributiom</t>
  </si>
  <si>
    <t>SPECIALTY PROGRAM Model Budget - Intensive 1:2 Group Home</t>
  </si>
  <si>
    <t xml:space="preserve">    Psychologist - masters</t>
  </si>
  <si>
    <t>Direct Care Consultant</t>
  </si>
  <si>
    <t xml:space="preserve">   Clinical / Psychologist - masters</t>
  </si>
  <si>
    <t xml:space="preserve">    Clinical / Psychologist - masters</t>
  </si>
  <si>
    <t>GROUP HOME Model Budget - Intensive 1:3 GH with Expanded Nursing</t>
  </si>
  <si>
    <t xml:space="preserve">    Nursing (LPN)</t>
  </si>
  <si>
    <t xml:space="preserve">    Housekeeping</t>
  </si>
  <si>
    <t xml:space="preserve">    Maintenance</t>
  </si>
  <si>
    <t>SPECIALTY PROGRAM Model Budget - Medically Complex Needs Group Home</t>
  </si>
  <si>
    <t>Increase to 24/7 LPN</t>
  </si>
  <si>
    <t xml:space="preserve">    Support staff</t>
  </si>
  <si>
    <t>12-bed staffing with 1:2 DC awake, 1:3 asleep</t>
  </si>
  <si>
    <t>M</t>
  </si>
  <si>
    <t>T</t>
  </si>
  <si>
    <t>W</t>
  </si>
  <si>
    <t>F</t>
  </si>
  <si>
    <t>S</t>
  </si>
  <si>
    <t>hours</t>
  </si>
  <si>
    <t>FTEs</t>
  </si>
  <si>
    <t>9-bed staffing with 1:2 DC awake, 1:3 asleep</t>
  </si>
  <si>
    <t>FTEs relief</t>
  </si>
  <si>
    <t>6-bed staffing with 1:2 DC awake, 1:3 asleep</t>
  </si>
  <si>
    <t>PFLMA</t>
  </si>
  <si>
    <t>SPECIALTY ADD-ON Model Budget - Transition to IFC add-on</t>
  </si>
  <si>
    <t>no relief necessary for add-on model</t>
  </si>
  <si>
    <t xml:space="preserve">   Foster Care Case Manager</t>
  </si>
  <si>
    <t xml:space="preserve">   IFC Advocate</t>
  </si>
  <si>
    <t xml:space="preserve">    Foster Care Case Manager</t>
  </si>
  <si>
    <t>Assume 1 hr per slot per week, twice a week, 1/2 the slots</t>
  </si>
  <si>
    <t>Assume 20 miles round trip</t>
  </si>
  <si>
    <t>Assume state reimbursement rate of $0.40 / mile</t>
  </si>
  <si>
    <t>Calculated Travel cost per slot per year</t>
  </si>
  <si>
    <t>Calculated Travel per unit cost</t>
  </si>
  <si>
    <t>#  Additional Travel Calculations:</t>
  </si>
  <si>
    <t xml:space="preserve">    IFC Advocate / Direct Care III</t>
  </si>
  <si>
    <t>Per month</t>
  </si>
  <si>
    <t>Program rate</t>
  </si>
  <si>
    <t>Per slot</t>
  </si>
  <si>
    <t>12-bed</t>
  </si>
  <si>
    <t>6- bed</t>
  </si>
  <si>
    <t>9- bed</t>
  </si>
  <si>
    <t>15- 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</si>
</sst>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0.0"/>
    <numFmt numFmtId="166" formatCode="0.0%"/>
    <numFmt numFmtId="167" formatCode="_(&quot;$&quot;* #,##0_);_(&quot;$&quot;* \(#,##0\);_(&quot;$&quot;* &quot;-&quot;??_);_(@_)"/>
    <numFmt numFmtId="168" formatCode="\$#,##0.00"/>
    <numFmt numFmtId="169" formatCode="&quot;$&quot;#,##0"/>
    <numFmt numFmtId="170" formatCode="[$-409]mmmm\ d\,\ yyyy;@"/>
    <numFmt numFmtId="171" formatCode="&quot;$&quot;#,##0.00"/>
    <numFmt numFmtId="172" formatCode="0.000000000000000%"/>
    <numFmt numFmtId="173" formatCode="_(* #,##0_);_(* \(#,##0\);_(* &quot;-&quot;??_);_(@_)"/>
    <numFmt numFmtId="174" formatCode="0.00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30"/>
      <name val="Arial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8.5"/>
      <name val="Calibri"/>
      <family val="2"/>
    </font>
    <font>
      <sz val="12"/>
      <color indexed="10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5"/>
      <name val="Arial"/>
      <family val="2"/>
    </font>
    <font>
      <sz val="10"/>
      <color theme="0"/>
      <name val="Arial"/>
      <family val="2"/>
    </font>
    <font>
      <b/>
      <u/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94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22" fillId="0" borderId="0"/>
    <xf numFmtId="0" fontId="22" fillId="0" borderId="0"/>
    <xf numFmtId="0" fontId="1" fillId="0" borderId="0"/>
    <xf numFmtId="0" fontId="1" fillId="2" borderId="1" applyNumberFormat="0" applyFont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5" borderId="0" applyNumberFormat="0" applyBorder="0" applyAlignment="0" applyProtection="0"/>
    <xf numFmtId="0" fontId="26" fillId="9" borderId="0" applyNumberFormat="0" applyBorder="0" applyAlignment="0" applyProtection="0"/>
    <xf numFmtId="0" fontId="27" fillId="26" borderId="37" applyNumberFormat="0" applyAlignment="0" applyProtection="0"/>
    <xf numFmtId="0" fontId="28" fillId="27" borderId="38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0" borderId="39" applyNumberFormat="0" applyFill="0" applyAlignment="0" applyProtection="0"/>
    <xf numFmtId="0" fontId="32" fillId="0" borderId="40" applyNumberFormat="0" applyFill="0" applyAlignment="0" applyProtection="0"/>
    <xf numFmtId="0" fontId="33" fillId="0" borderId="41" applyNumberFormat="0" applyFill="0" applyAlignment="0" applyProtection="0"/>
    <xf numFmtId="0" fontId="33" fillId="0" borderId="0" applyNumberFormat="0" applyFill="0" applyBorder="0" applyAlignment="0" applyProtection="0"/>
    <xf numFmtId="0" fontId="34" fillId="13" borderId="37" applyNumberFormat="0" applyAlignment="0" applyProtection="0"/>
    <xf numFmtId="0" fontId="35" fillId="0" borderId="42" applyNumberFormat="0" applyFill="0" applyAlignment="0" applyProtection="0"/>
    <xf numFmtId="0" fontId="36" fillId="28" borderId="0" applyNumberFormat="0" applyBorder="0" applyAlignment="0" applyProtection="0"/>
    <xf numFmtId="0" fontId="10" fillId="0" borderId="0"/>
    <xf numFmtId="0" fontId="23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9" borderId="43" applyNumberFormat="0" applyFont="0" applyAlignment="0" applyProtection="0"/>
    <xf numFmtId="0" fontId="37" fillId="26" borderId="44" applyNumberForma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5" applyNumberFormat="0" applyFill="0" applyAlignment="0" applyProtection="0"/>
    <xf numFmtId="0" fontId="40" fillId="0" borderId="0" applyNumberFormat="0" applyFill="0" applyBorder="0" applyAlignment="0" applyProtection="0"/>
  </cellStyleXfs>
  <cellXfs count="841">
    <xf numFmtId="0" fontId="0" fillId="0" borderId="0" xfId="0"/>
    <xf numFmtId="0" fontId="5" fillId="0" borderId="6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11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Border="1"/>
    <xf numFmtId="3" fontId="6" fillId="0" borderId="10" xfId="0" applyNumberFormat="1" applyFont="1" applyBorder="1"/>
    <xf numFmtId="0" fontId="7" fillId="0" borderId="12" xfId="0" applyFont="1" applyBorder="1"/>
    <xf numFmtId="0" fontId="7" fillId="0" borderId="0" xfId="0" applyFont="1" applyBorder="1"/>
    <xf numFmtId="0" fontId="7" fillId="0" borderId="10" xfId="0" applyFont="1" applyBorder="1"/>
    <xf numFmtId="0" fontId="7" fillId="0" borderId="0" xfId="0" applyFont="1" applyFill="1" applyBorder="1"/>
    <xf numFmtId="0" fontId="5" fillId="0" borderId="13" xfId="0" applyFont="1" applyBorder="1" applyAlignment="1"/>
    <xf numFmtId="0" fontId="8" fillId="0" borderId="5" xfId="0" applyFont="1" applyFill="1" applyBorder="1" applyAlignment="1"/>
    <xf numFmtId="0" fontId="7" fillId="0" borderId="0" xfId="0" applyFont="1" applyAlignment="1"/>
    <xf numFmtId="0" fontId="7" fillId="0" borderId="11" xfId="0" applyFont="1" applyBorder="1"/>
    <xf numFmtId="0" fontId="5" fillId="0" borderId="11" xfId="0" applyFont="1" applyBorder="1" applyAlignment="1"/>
    <xf numFmtId="0" fontId="9" fillId="0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" fontId="9" fillId="0" borderId="10" xfId="0" applyNumberFormat="1" applyFont="1" applyFill="1" applyBorder="1" applyAlignment="1">
      <alignment horizontal="right"/>
    </xf>
    <xf numFmtId="0" fontId="6" fillId="0" borderId="14" xfId="0" applyFont="1" applyBorder="1"/>
    <xf numFmtId="0" fontId="6" fillId="0" borderId="15" xfId="0" applyFont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0" fillId="0" borderId="11" xfId="0" applyFont="1" applyBorder="1" applyAlignment="1"/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17" xfId="0" applyFont="1" applyBorder="1" applyAlignment="1"/>
    <xf numFmtId="42" fontId="12" fillId="0" borderId="0" xfId="0" applyNumberFormat="1" applyFont="1" applyBorder="1"/>
    <xf numFmtId="4" fontId="13" fillId="0" borderId="0" xfId="0" applyNumberFormat="1" applyFont="1" applyBorder="1"/>
    <xf numFmtId="42" fontId="7" fillId="0" borderId="10" xfId="0" applyNumberFormat="1" applyFont="1" applyBorder="1"/>
    <xf numFmtId="0" fontId="10" fillId="0" borderId="14" xfId="0" applyFont="1" applyBorder="1" applyAlignment="1"/>
    <xf numFmtId="0" fontId="11" fillId="0" borderId="15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1" fontId="9" fillId="0" borderId="16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65" fontId="9" fillId="0" borderId="10" xfId="0" applyNumberFormat="1" applyFont="1" applyFill="1" applyBorder="1" applyAlignment="1">
      <alignment horizontal="right"/>
    </xf>
    <xf numFmtId="0" fontId="10" fillId="0" borderId="8" xfId="0" applyFont="1" applyBorder="1" applyAlignment="1"/>
    <xf numFmtId="0" fontId="10" fillId="0" borderId="7" xfId="0" applyFont="1" applyFill="1" applyBorder="1" applyAlignment="1">
      <alignment horizontal="right"/>
    </xf>
    <xf numFmtId="166" fontId="10" fillId="0" borderId="7" xfId="3" applyNumberFormat="1" applyFont="1" applyFill="1" applyBorder="1" applyAlignment="1">
      <alignment horizontal="center"/>
    </xf>
    <xf numFmtId="166" fontId="10" fillId="0" borderId="9" xfId="3" quotePrefix="1" applyNumberFormat="1" applyFont="1" applyFill="1" applyBorder="1" applyAlignment="1">
      <alignment horizontal="center"/>
    </xf>
    <xf numFmtId="42" fontId="12" fillId="0" borderId="0" xfId="0" applyNumberFormat="1" applyFont="1" applyFill="1" applyBorder="1"/>
    <xf numFmtId="0" fontId="7" fillId="0" borderId="13" xfId="0" applyFont="1" applyBorder="1"/>
    <xf numFmtId="0" fontId="7" fillId="0" borderId="6" xfId="0" applyFont="1" applyBorder="1"/>
    <xf numFmtId="0" fontId="15" fillId="0" borderId="6" xfId="0" applyFont="1" applyBorder="1" applyAlignment="1">
      <alignment horizontal="center"/>
    </xf>
    <xf numFmtId="0" fontId="7" fillId="0" borderId="5" xfId="0" applyFont="1" applyBorder="1"/>
    <xf numFmtId="0" fontId="17" fillId="0" borderId="11" xfId="0" applyFont="1" applyBorder="1" applyAlignment="1"/>
    <xf numFmtId="4" fontId="13" fillId="0" borderId="0" xfId="0" applyNumberFormat="1" applyFont="1" applyFill="1" applyBorder="1"/>
    <xf numFmtId="0" fontId="6" fillId="0" borderId="18" xfId="0" applyFont="1" applyBorder="1"/>
    <xf numFmtId="0" fontId="6" fillId="0" borderId="19" xfId="0" applyFont="1" applyBorder="1"/>
    <xf numFmtId="4" fontId="6" fillId="0" borderId="19" xfId="0" applyNumberFormat="1" applyFont="1" applyBorder="1"/>
    <xf numFmtId="42" fontId="6" fillId="0" borderId="20" xfId="0" applyNumberFormat="1" applyFont="1" applyBorder="1"/>
    <xf numFmtId="10" fontId="12" fillId="0" borderId="0" xfId="0" applyNumberFormat="1" applyFont="1" applyBorder="1"/>
    <xf numFmtId="44" fontId="6" fillId="0" borderId="19" xfId="0" applyNumberFormat="1" applyFont="1" applyBorder="1"/>
    <xf numFmtId="44" fontId="7" fillId="0" borderId="10" xfId="0" applyNumberFormat="1" applyFont="1" applyBorder="1"/>
    <xf numFmtId="44" fontId="7" fillId="0" borderId="0" xfId="0" applyNumberFormat="1" applyFont="1" applyBorder="1"/>
    <xf numFmtId="167" fontId="7" fillId="0" borderId="10" xfId="0" applyNumberFormat="1" applyFont="1" applyBorder="1"/>
    <xf numFmtId="44" fontId="6" fillId="0" borderId="21" xfId="0" applyNumberFormat="1" applyFont="1" applyBorder="1"/>
    <xf numFmtId="0" fontId="15" fillId="0" borderId="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22" xfId="0" applyFont="1" applyBorder="1"/>
    <xf numFmtId="0" fontId="7" fillId="0" borderId="23" xfId="0" applyFont="1" applyBorder="1"/>
    <xf numFmtId="42" fontId="6" fillId="0" borderId="24" xfId="0" applyNumberFormat="1" applyFont="1" applyBorder="1"/>
    <xf numFmtId="10" fontId="13" fillId="0" borderId="0" xfId="0" applyNumberFormat="1" applyFont="1" applyBorder="1"/>
    <xf numFmtId="167" fontId="7" fillId="0" borderId="10" xfId="2" applyNumberFormat="1" applyFont="1" applyBorder="1"/>
    <xf numFmtId="0" fontId="15" fillId="0" borderId="10" xfId="0" applyFont="1" applyBorder="1" applyAlignment="1">
      <alignment horizontal="right"/>
    </xf>
    <xf numFmtId="44" fontId="7" fillId="0" borderId="0" xfId="2" applyFont="1" applyBorder="1"/>
    <xf numFmtId="44" fontId="7" fillId="0" borderId="10" xfId="2" applyFont="1" applyBorder="1"/>
    <xf numFmtId="0" fontId="7" fillId="0" borderId="11" xfId="0" applyFont="1" applyFill="1" applyBorder="1"/>
    <xf numFmtId="10" fontId="7" fillId="0" borderId="0" xfId="0" applyNumberFormat="1" applyFont="1" applyFill="1" applyBorder="1"/>
    <xf numFmtId="44" fontId="7" fillId="0" borderId="0" xfId="2" applyFont="1" applyFill="1" applyBorder="1"/>
    <xf numFmtId="44" fontId="7" fillId="0" borderId="10" xfId="2" applyFont="1" applyFill="1" applyBorder="1"/>
    <xf numFmtId="168" fontId="10" fillId="0" borderId="2" xfId="0" applyNumberFormat="1" applyFont="1" applyFill="1" applyBorder="1" applyAlignment="1"/>
    <xf numFmtId="9" fontId="10" fillId="0" borderId="3" xfId="0" applyNumberFormat="1" applyFont="1" applyFill="1" applyBorder="1" applyAlignment="1"/>
    <xf numFmtId="164" fontId="10" fillId="0" borderId="3" xfId="0" applyNumberFormat="1" applyFont="1" applyFill="1" applyBorder="1" applyAlignment="1"/>
    <xf numFmtId="44" fontId="10" fillId="0" borderId="3" xfId="2" applyFont="1" applyFill="1" applyBorder="1" applyAlignment="1"/>
    <xf numFmtId="44" fontId="10" fillId="0" borderId="4" xfId="2" applyFont="1" applyFill="1" applyBorder="1" applyAlignment="1"/>
    <xf numFmtId="0" fontId="19" fillId="0" borderId="0" xfId="0" applyFont="1"/>
    <xf numFmtId="0" fontId="6" fillId="0" borderId="2" xfId="0" applyFont="1" applyFill="1" applyBorder="1"/>
    <xf numFmtId="0" fontId="6" fillId="0" borderId="3" xfId="0" applyFont="1" applyFill="1" applyBorder="1" applyAlignment="1">
      <alignment horizontal="center"/>
    </xf>
    <xf numFmtId="10" fontId="6" fillId="0" borderId="3" xfId="0" applyNumberFormat="1" applyFont="1" applyFill="1" applyBorder="1"/>
    <xf numFmtId="44" fontId="5" fillId="0" borderId="4" xfId="2" applyFont="1" applyFill="1" applyBorder="1" applyAlignment="1"/>
    <xf numFmtId="44" fontId="7" fillId="0" borderId="0" xfId="0" applyNumberFormat="1" applyFont="1" applyFill="1" applyBorder="1"/>
    <xf numFmtId="2" fontId="10" fillId="0" borderId="0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/>
    </xf>
    <xf numFmtId="44" fontId="10" fillId="0" borderId="0" xfId="2" applyFont="1" applyFill="1" applyBorder="1" applyAlignment="1"/>
    <xf numFmtId="0" fontId="7" fillId="0" borderId="0" xfId="0" applyFont="1" applyFill="1"/>
    <xf numFmtId="44" fontId="7" fillId="0" borderId="0" xfId="0" applyNumberFormat="1" applyFont="1"/>
    <xf numFmtId="10" fontId="12" fillId="0" borderId="0" xfId="3" applyNumberFormat="1" applyFont="1" applyBorder="1"/>
    <xf numFmtId="44" fontId="12" fillId="0" borderId="0" xfId="2" applyNumberFormat="1" applyFont="1" applyBorder="1"/>
    <xf numFmtId="0" fontId="6" fillId="0" borderId="17" xfId="0" applyFont="1" applyBorder="1"/>
    <xf numFmtId="0" fontId="7" fillId="0" borderId="21" xfId="0" applyFont="1" applyBorder="1"/>
    <xf numFmtId="44" fontId="7" fillId="0" borderId="21" xfId="0" applyNumberFormat="1" applyFont="1" applyBorder="1"/>
    <xf numFmtId="0" fontId="7" fillId="0" borderId="8" xfId="0" applyFont="1" applyBorder="1"/>
    <xf numFmtId="0" fontId="7" fillId="0" borderId="7" xfId="0" applyFont="1" applyBorder="1"/>
    <xf numFmtId="10" fontId="13" fillId="0" borderId="7" xfId="3" applyNumberFormat="1" applyFont="1" applyBorder="1"/>
    <xf numFmtId="0" fontId="13" fillId="0" borderId="0" xfId="0" applyFont="1" applyAlignment="1"/>
    <xf numFmtId="0" fontId="12" fillId="0" borderId="0" xfId="0" applyFont="1" applyAlignment="1">
      <alignment horizontal="left"/>
    </xf>
    <xf numFmtId="0" fontId="10" fillId="0" borderId="0" xfId="0" applyFont="1" applyAlignment="1"/>
    <xf numFmtId="0" fontId="15" fillId="0" borderId="0" xfId="0" applyFont="1"/>
    <xf numFmtId="0" fontId="18" fillId="0" borderId="0" xfId="0" applyFont="1" applyAlignment="1"/>
    <xf numFmtId="42" fontId="6" fillId="0" borderId="0" xfId="0" applyNumberFormat="1" applyFont="1" applyFill="1" applyBorder="1"/>
    <xf numFmtId="168" fontId="10" fillId="0" borderId="0" xfId="0" applyNumberFormat="1" applyFont="1" applyFill="1" applyBorder="1" applyAlignment="1"/>
    <xf numFmtId="9" fontId="10" fillId="0" borderId="0" xfId="0" applyNumberFormat="1" applyFont="1" applyFill="1" applyBorder="1" applyAlignment="1"/>
    <xf numFmtId="164" fontId="10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 wrapText="1"/>
    </xf>
    <xf numFmtId="170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/>
    <xf numFmtId="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0" fontId="24" fillId="0" borderId="13" xfId="0" applyFont="1" applyBorder="1"/>
    <xf numFmtId="171" fontId="24" fillId="0" borderId="33" xfId="0" applyNumberFormat="1" applyFont="1" applyBorder="1" applyAlignment="1">
      <alignment horizontal="center"/>
    </xf>
    <xf numFmtId="0" fontId="24" fillId="0" borderId="6" xfId="0" applyFont="1" applyBorder="1"/>
    <xf numFmtId="171" fontId="0" fillId="0" borderId="34" xfId="0" applyNumberFormat="1" applyBorder="1"/>
    <xf numFmtId="171" fontId="0" fillId="0" borderId="0" xfId="0" applyNumberFormat="1"/>
    <xf numFmtId="0" fontId="24" fillId="0" borderId="11" xfId="0" applyFont="1" applyBorder="1"/>
    <xf numFmtId="169" fontId="24" fillId="0" borderId="0" xfId="0" applyNumberFormat="1" applyFont="1" applyBorder="1" applyAlignment="1">
      <alignment horizontal="center"/>
    </xf>
    <xf numFmtId="169" fontId="24" fillId="0" borderId="0" xfId="0" applyNumberFormat="1" applyFont="1" applyFill="1" applyBorder="1" applyAlignment="1">
      <alignment horizontal="center"/>
    </xf>
    <xf numFmtId="0" fontId="24" fillId="0" borderId="0" xfId="0" applyFont="1" applyBorder="1"/>
    <xf numFmtId="169" fontId="0" fillId="0" borderId="35" xfId="0" applyNumberFormat="1" applyBorder="1"/>
    <xf numFmtId="171" fontId="24" fillId="0" borderId="33" xfId="0" applyNumberFormat="1" applyFont="1" applyFill="1" applyBorder="1" applyAlignment="1">
      <alignment horizontal="center"/>
    </xf>
    <xf numFmtId="0" fontId="24" fillId="0" borderId="8" xfId="0" applyFont="1" applyBorder="1"/>
    <xf numFmtId="169" fontId="24" fillId="0" borderId="7" xfId="0" applyNumberFormat="1" applyFont="1" applyBorder="1" applyAlignment="1">
      <alignment horizontal="center"/>
    </xf>
    <xf numFmtId="169" fontId="24" fillId="0" borderId="7" xfId="0" applyNumberFormat="1" applyFont="1" applyFill="1" applyBorder="1" applyAlignment="1">
      <alignment horizontal="center"/>
    </xf>
    <xf numFmtId="0" fontId="24" fillId="0" borderId="7" xfId="0" applyFont="1" applyBorder="1"/>
    <xf numFmtId="0" fontId="24" fillId="0" borderId="6" xfId="0" applyFont="1" applyFill="1" applyBorder="1"/>
    <xf numFmtId="171" fontId="3" fillId="0" borderId="0" xfId="0" applyNumberFormat="1" applyFont="1"/>
    <xf numFmtId="0" fontId="24" fillId="0" borderId="11" xfId="0" applyFont="1" applyBorder="1" applyAlignment="1">
      <alignment wrapText="1"/>
    </xf>
    <xf numFmtId="171" fontId="24" fillId="0" borderId="15" xfId="0" applyNumberFormat="1" applyFont="1" applyBorder="1" applyAlignment="1">
      <alignment horizontal="center"/>
    </xf>
    <xf numFmtId="171" fontId="24" fillId="0" borderId="15" xfId="0" applyNumberFormat="1" applyFont="1" applyFill="1" applyBorder="1" applyAlignment="1">
      <alignment horizontal="center"/>
    </xf>
    <xf numFmtId="171" fontId="0" fillId="0" borderId="36" xfId="0" applyNumberFormat="1" applyBorder="1"/>
    <xf numFmtId="0" fontId="24" fillId="0" borderId="0" xfId="0" applyFont="1" applyAlignment="1">
      <alignment horizontal="right"/>
    </xf>
    <xf numFmtId="169" fontId="24" fillId="0" borderId="0" xfId="0" applyNumberFormat="1" applyFont="1" applyAlignment="1">
      <alignment horizontal="center"/>
    </xf>
    <xf numFmtId="0" fontId="24" fillId="0" borderId="0" xfId="0" applyFont="1"/>
    <xf numFmtId="10" fontId="24" fillId="0" borderId="0" xfId="0" applyNumberFormat="1" applyFont="1" applyAlignment="1">
      <alignment horizontal="center"/>
    </xf>
    <xf numFmtId="0" fontId="24" fillId="0" borderId="0" xfId="0" applyFont="1" applyFill="1" applyAlignment="1">
      <alignment horizontal="right"/>
    </xf>
    <xf numFmtId="0" fontId="10" fillId="0" borderId="0" xfId="0" applyFont="1"/>
    <xf numFmtId="0" fontId="5" fillId="0" borderId="11" xfId="0" applyFont="1" applyBorder="1"/>
    <xf numFmtId="0" fontId="5" fillId="0" borderId="0" xfId="0" applyFont="1" applyBorder="1"/>
    <xf numFmtId="3" fontId="5" fillId="0" borderId="10" xfId="0" applyNumberFormat="1" applyFont="1" applyBorder="1"/>
    <xf numFmtId="0" fontId="10" fillId="0" borderId="12" xfId="0" applyFont="1" applyBorder="1"/>
    <xf numFmtId="0" fontId="10" fillId="0" borderId="0" xfId="0" applyFont="1" applyBorder="1"/>
    <xf numFmtId="0" fontId="10" fillId="0" borderId="10" xfId="0" applyFont="1" applyBorder="1"/>
    <xf numFmtId="0" fontId="10" fillId="0" borderId="0" xfId="0" applyFont="1" applyFill="1" applyBorder="1"/>
    <xf numFmtId="0" fontId="10" fillId="0" borderId="11" xfId="0" applyFont="1" applyBorder="1"/>
    <xf numFmtId="1" fontId="5" fillId="0" borderId="10" xfId="0" applyNumberFormat="1" applyFont="1" applyFill="1" applyBorder="1" applyAlignment="1">
      <alignment horizontal="right"/>
    </xf>
    <xf numFmtId="0" fontId="5" fillId="0" borderId="14" xfId="0" applyFont="1" applyBorder="1"/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2" fontId="10" fillId="0" borderId="0" xfId="0" applyNumberFormat="1" applyFont="1" applyBorder="1"/>
    <xf numFmtId="4" fontId="10" fillId="0" borderId="0" xfId="0" applyNumberFormat="1" applyFont="1" applyBorder="1"/>
    <xf numFmtId="42" fontId="10" fillId="0" borderId="10" xfId="0" applyNumberFormat="1" applyFont="1" applyBorder="1"/>
    <xf numFmtId="1" fontId="5" fillId="0" borderId="16" xfId="0" applyNumberFormat="1" applyFont="1" applyFill="1" applyBorder="1" applyAlignment="1">
      <alignment horizontal="right"/>
    </xf>
    <xf numFmtId="165" fontId="5" fillId="0" borderId="10" xfId="0" applyNumberFormat="1" applyFont="1" applyFill="1" applyBorder="1" applyAlignment="1">
      <alignment horizontal="right"/>
    </xf>
    <xf numFmtId="42" fontId="10" fillId="0" borderId="0" xfId="0" applyNumberFormat="1" applyFont="1" applyFill="1" applyBorder="1"/>
    <xf numFmtId="0" fontId="10" fillId="0" borderId="13" xfId="0" applyFont="1" applyBorder="1"/>
    <xf numFmtId="0" fontId="10" fillId="0" borderId="6" xfId="0" applyFont="1" applyBorder="1"/>
    <xf numFmtId="0" fontId="8" fillId="0" borderId="6" xfId="0" applyFont="1" applyBorder="1" applyAlignment="1">
      <alignment horizontal="center"/>
    </xf>
    <xf numFmtId="0" fontId="10" fillId="0" borderId="5" xfId="0" applyFont="1" applyBorder="1"/>
    <xf numFmtId="4" fontId="10" fillId="0" borderId="0" xfId="0" applyNumberFormat="1" applyFont="1" applyFill="1" applyBorder="1"/>
    <xf numFmtId="0" fontId="5" fillId="0" borderId="18" xfId="0" applyFont="1" applyBorder="1"/>
    <xf numFmtId="0" fontId="5" fillId="0" borderId="19" xfId="0" applyFont="1" applyBorder="1"/>
    <xf numFmtId="4" fontId="5" fillId="0" borderId="19" xfId="0" applyNumberFormat="1" applyFont="1" applyBorder="1"/>
    <xf numFmtId="42" fontId="5" fillId="0" borderId="20" xfId="0" applyNumberFormat="1" applyFont="1" applyBorder="1"/>
    <xf numFmtId="10" fontId="10" fillId="0" borderId="0" xfId="0" applyNumberFormat="1" applyFont="1" applyBorder="1"/>
    <xf numFmtId="44" fontId="5" fillId="0" borderId="19" xfId="0" applyNumberFormat="1" applyFont="1" applyBorder="1"/>
    <xf numFmtId="44" fontId="10" fillId="0" borderId="10" xfId="0" applyNumberFormat="1" applyFont="1" applyBorder="1"/>
    <xf numFmtId="44" fontId="10" fillId="0" borderId="0" xfId="0" applyNumberFormat="1" applyFont="1" applyBorder="1"/>
    <xf numFmtId="167" fontId="10" fillId="0" borderId="10" xfId="0" applyNumberFormat="1" applyFont="1" applyBorder="1"/>
    <xf numFmtId="44" fontId="5" fillId="0" borderId="21" xfId="0" applyNumberFormat="1" applyFont="1" applyBorder="1"/>
    <xf numFmtId="0" fontId="8" fillId="0" borderId="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22" xfId="0" applyFont="1" applyBorder="1"/>
    <xf numFmtId="0" fontId="10" fillId="0" borderId="23" xfId="0" applyFont="1" applyBorder="1"/>
    <xf numFmtId="42" fontId="5" fillId="0" borderId="24" xfId="0" applyNumberFormat="1" applyFont="1" applyBorder="1"/>
    <xf numFmtId="2" fontId="10" fillId="0" borderId="0" xfId="0" applyNumberFormat="1" applyFont="1" applyFill="1" applyBorder="1" applyAlignment="1">
      <alignment horizontal="center" wrapText="1"/>
    </xf>
    <xf numFmtId="2" fontId="10" fillId="0" borderId="10" xfId="0" applyNumberFormat="1" applyFont="1" applyFill="1" applyBorder="1" applyAlignment="1">
      <alignment horizontal="center" wrapText="1"/>
    </xf>
    <xf numFmtId="167" fontId="10" fillId="0" borderId="10" xfId="2" applyNumberFormat="1" applyFont="1" applyBorder="1"/>
    <xf numFmtId="44" fontId="10" fillId="0" borderId="0" xfId="2" applyFont="1" applyBorder="1"/>
    <xf numFmtId="44" fontId="10" fillId="0" borderId="10" xfId="2" applyFont="1" applyBorder="1"/>
    <xf numFmtId="0" fontId="10" fillId="0" borderId="11" xfId="0" applyFont="1" applyFill="1" applyBorder="1"/>
    <xf numFmtId="10" fontId="10" fillId="0" borderId="0" xfId="0" applyNumberFormat="1" applyFont="1" applyFill="1" applyBorder="1"/>
    <xf numFmtId="44" fontId="10" fillId="0" borderId="0" xfId="2" applyFont="1" applyFill="1" applyBorder="1"/>
    <xf numFmtId="44" fontId="10" fillId="0" borderId="10" xfId="2" applyFont="1" applyFill="1" applyBorder="1"/>
    <xf numFmtId="44" fontId="5" fillId="6" borderId="4" xfId="0" applyNumberFormat="1" applyFont="1" applyFill="1" applyBorder="1"/>
    <xf numFmtId="44" fontId="10" fillId="0" borderId="3" xfId="0" applyNumberFormat="1" applyFont="1" applyFill="1" applyBorder="1"/>
    <xf numFmtId="44" fontId="5" fillId="0" borderId="25" xfId="0" applyNumberFormat="1" applyFont="1" applyFill="1" applyBorder="1"/>
    <xf numFmtId="44" fontId="5" fillId="0" borderId="0" xfId="0" applyNumberFormat="1" applyFont="1" applyFill="1" applyBorder="1"/>
    <xf numFmtId="0" fontId="41" fillId="0" borderId="0" xfId="0" applyFont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10" fontId="5" fillId="0" borderId="3" xfId="0" applyNumberFormat="1" applyFont="1" applyFill="1" applyBorder="1"/>
    <xf numFmtId="44" fontId="10" fillId="0" borderId="0" xfId="0" applyNumberFormat="1" applyFont="1" applyFill="1" applyBorder="1"/>
    <xf numFmtId="44" fontId="5" fillId="6" borderId="25" xfId="0" applyNumberFormat="1" applyFont="1" applyFill="1" applyBorder="1"/>
    <xf numFmtId="9" fontId="10" fillId="0" borderId="0" xfId="0" applyNumberFormat="1" applyFont="1" applyFill="1" applyBorder="1"/>
    <xf numFmtId="0" fontId="10" fillId="0" borderId="0" xfId="0" applyFont="1" applyFill="1"/>
    <xf numFmtId="44" fontId="10" fillId="0" borderId="0" xfId="0" applyNumberFormat="1" applyFont="1"/>
    <xf numFmtId="0" fontId="10" fillId="0" borderId="26" xfId="0" applyFont="1" applyBorder="1"/>
    <xf numFmtId="0" fontId="10" fillId="0" borderId="27" xfId="0" applyFont="1" applyBorder="1"/>
    <xf numFmtId="10" fontId="10" fillId="0" borderId="0" xfId="3" applyNumberFormat="1" applyFont="1" applyBorder="1"/>
    <xf numFmtId="0" fontId="10" fillId="0" borderId="28" xfId="0" applyFont="1" applyBorder="1"/>
    <xf numFmtId="44" fontId="10" fillId="0" borderId="0" xfId="2" applyNumberFormat="1" applyFont="1" applyBorder="1"/>
    <xf numFmtId="0" fontId="5" fillId="0" borderId="17" xfId="0" applyFont="1" applyBorder="1"/>
    <xf numFmtId="0" fontId="10" fillId="0" borderId="21" xfId="0" applyFont="1" applyBorder="1"/>
    <xf numFmtId="44" fontId="10" fillId="0" borderId="21" xfId="0" applyNumberFormat="1" applyFont="1" applyBorder="1"/>
    <xf numFmtId="0" fontId="10" fillId="0" borderId="8" xfId="0" applyFont="1" applyBorder="1"/>
    <xf numFmtId="0" fontId="10" fillId="0" borderId="7" xfId="0" applyFont="1" applyBorder="1"/>
    <xf numFmtId="10" fontId="10" fillId="0" borderId="7" xfId="3" applyNumberFormat="1" applyFont="1" applyBorder="1"/>
    <xf numFmtId="10" fontId="10" fillId="0" borderId="7" xfId="3" applyNumberFormat="1" applyFont="1" applyBorder="1" applyAlignment="1">
      <alignment vertical="center"/>
    </xf>
    <xf numFmtId="0" fontId="10" fillId="0" borderId="9" xfId="0" applyFont="1" applyBorder="1"/>
    <xf numFmtId="0" fontId="10" fillId="0" borderId="0" xfId="0" applyFont="1" applyAlignment="1">
      <alignment horizontal="left"/>
    </xf>
    <xf numFmtId="0" fontId="8" fillId="0" borderId="0" xfId="0" applyFont="1"/>
    <xf numFmtId="42" fontId="5" fillId="0" borderId="29" xfId="0" applyNumberFormat="1" applyFont="1" applyBorder="1"/>
    <xf numFmtId="42" fontId="5" fillId="0" borderId="10" xfId="0" applyNumberFormat="1" applyFont="1" applyBorder="1"/>
    <xf numFmtId="42" fontId="5" fillId="0" borderId="0" xfId="0" applyNumberFormat="1" applyFont="1" applyFill="1" applyBorder="1"/>
    <xf numFmtId="167" fontId="10" fillId="0" borderId="27" xfId="0" applyNumberFormat="1" applyFont="1" applyBorder="1"/>
    <xf numFmtId="167" fontId="10" fillId="0" borderId="0" xfId="0" applyNumberFormat="1" applyFont="1" applyFill="1" applyBorder="1"/>
    <xf numFmtId="0" fontId="8" fillId="0" borderId="27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44" fontId="10" fillId="0" borderId="27" xfId="0" applyNumberFormat="1" applyFont="1" applyBorder="1"/>
    <xf numFmtId="0" fontId="10" fillId="0" borderId="2" xfId="0" applyFont="1" applyFill="1" applyBorder="1"/>
    <xf numFmtId="0" fontId="10" fillId="0" borderId="3" xfId="0" applyFont="1" applyFill="1" applyBorder="1"/>
    <xf numFmtId="10" fontId="10" fillId="0" borderId="3" xfId="0" applyNumberFormat="1" applyFont="1" applyFill="1" applyBorder="1"/>
    <xf numFmtId="44" fontId="10" fillId="0" borderId="3" xfId="2" applyFont="1" applyFill="1" applyBorder="1"/>
    <xf numFmtId="44" fontId="10" fillId="0" borderId="4" xfId="2" applyFont="1" applyFill="1" applyBorder="1"/>
    <xf numFmtId="167" fontId="10" fillId="0" borderId="30" xfId="2" applyNumberFormat="1" applyFont="1" applyFill="1" applyBorder="1"/>
    <xf numFmtId="167" fontId="5" fillId="6" borderId="25" xfId="2" applyNumberFormat="1" applyFont="1" applyFill="1" applyBorder="1"/>
    <xf numFmtId="167" fontId="5" fillId="0" borderId="0" xfId="2" applyNumberFormat="1" applyFont="1" applyFill="1" applyBorder="1"/>
    <xf numFmtId="167" fontId="5" fillId="6" borderId="25" xfId="0" applyNumberFormat="1" applyFont="1" applyFill="1" applyBorder="1"/>
    <xf numFmtId="167" fontId="10" fillId="0" borderId="31" xfId="2" applyNumberFormat="1" applyFont="1" applyFill="1" applyBorder="1"/>
    <xf numFmtId="167" fontId="5" fillId="6" borderId="32" xfId="2" applyNumberFormat="1" applyFont="1" applyFill="1" applyBorder="1"/>
    <xf numFmtId="44" fontId="5" fillId="0" borderId="0" xfId="2" applyNumberFormat="1" applyFont="1" applyFill="1" applyBorder="1"/>
    <xf numFmtId="0" fontId="42" fillId="0" borderId="0" xfId="0" applyFont="1"/>
    <xf numFmtId="0" fontId="10" fillId="0" borderId="0" xfId="0" applyFont="1" applyAlignment="1">
      <alignment horizontal="right"/>
    </xf>
    <xf numFmtId="0" fontId="10" fillId="0" borderId="14" xfId="0" applyFont="1" applyBorder="1" applyAlignment="1">
      <alignment horizontal="right"/>
    </xf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horizontal="left"/>
    </xf>
    <xf numFmtId="3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Fill="1" applyBorder="1" applyAlignment="1">
      <alignment horizontal="center"/>
    </xf>
    <xf numFmtId="0" fontId="5" fillId="0" borderId="21" xfId="0" applyFont="1" applyBorder="1" applyAlignment="1"/>
    <xf numFmtId="42" fontId="12" fillId="0" borderId="0" xfId="0" applyNumberFormat="1" applyFont="1"/>
    <xf numFmtId="4" fontId="13" fillId="0" borderId="0" xfId="0" applyNumberFormat="1" applyFont="1"/>
    <xf numFmtId="42" fontId="7" fillId="0" borderId="0" xfId="0" applyNumberFormat="1" applyFont="1"/>
    <xf numFmtId="42" fontId="7" fillId="0" borderId="0" xfId="0" applyNumberFormat="1" applyFont="1" applyFill="1"/>
    <xf numFmtId="0" fontId="5" fillId="0" borderId="0" xfId="0" applyFont="1" applyBorder="1" applyAlignment="1"/>
    <xf numFmtId="0" fontId="10" fillId="0" borderId="0" xfId="0" applyFont="1" applyBorder="1" applyAlignment="1"/>
    <xf numFmtId="42" fontId="12" fillId="0" borderId="0" xfId="0" applyNumberFormat="1" applyFont="1" applyFill="1"/>
    <xf numFmtId="0" fontId="17" fillId="0" borderId="0" xfId="0" applyFont="1" applyBorder="1" applyAlignment="1"/>
    <xf numFmtId="0" fontId="10" fillId="0" borderId="0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42" fontId="6" fillId="0" borderId="19" xfId="0" applyNumberFormat="1" applyFont="1" applyBorder="1"/>
    <xf numFmtId="10" fontId="12" fillId="0" borderId="0" xfId="0" applyNumberFormat="1" applyFont="1"/>
    <xf numFmtId="10" fontId="7" fillId="0" borderId="11" xfId="3" applyNumberFormat="1" applyFont="1" applyBorder="1"/>
    <xf numFmtId="167" fontId="7" fillId="0" borderId="0" xfId="0" applyNumberFormat="1" applyFont="1"/>
    <xf numFmtId="0" fontId="6" fillId="0" borderId="23" xfId="0" applyFont="1" applyBorder="1"/>
    <xf numFmtId="42" fontId="6" fillId="0" borderId="23" xfId="0" applyNumberFormat="1" applyFont="1" applyBorder="1"/>
    <xf numFmtId="10" fontId="13" fillId="0" borderId="0" xfId="0" applyNumberFormat="1" applyFont="1"/>
    <xf numFmtId="167" fontId="7" fillId="0" borderId="0" xfId="2" applyNumberFormat="1" applyFont="1"/>
    <xf numFmtId="10" fontId="7" fillId="0" borderId="0" xfId="0" applyNumberFormat="1" applyFont="1" applyBorder="1"/>
    <xf numFmtId="167" fontId="7" fillId="0" borderId="0" xfId="2" applyNumberFormat="1" applyFont="1" applyFill="1"/>
    <xf numFmtId="0" fontId="15" fillId="0" borderId="0" xfId="0" applyFont="1" applyAlignment="1">
      <alignment horizontal="right"/>
    </xf>
    <xf numFmtId="0" fontId="15" fillId="0" borderId="0" xfId="0" applyFont="1" applyFill="1" applyAlignment="1">
      <alignment horizontal="right"/>
    </xf>
    <xf numFmtId="44" fontId="7" fillId="0" borderId="0" xfId="2" applyFont="1"/>
    <xf numFmtId="167" fontId="10" fillId="0" borderId="10" xfId="2" applyNumberFormat="1" applyFont="1" applyFill="1" applyBorder="1"/>
    <xf numFmtId="44" fontId="7" fillId="0" borderId="0" xfId="2" applyFont="1" applyFill="1"/>
    <xf numFmtId="168" fontId="10" fillId="0" borderId="47" xfId="0" applyNumberFormat="1" applyFont="1" applyBorder="1" applyAlignment="1"/>
    <xf numFmtId="9" fontId="10" fillId="0" borderId="21" xfId="0" applyNumberFormat="1" applyFont="1" applyBorder="1" applyAlignment="1"/>
    <xf numFmtId="164" fontId="10" fillId="0" borderId="21" xfId="0" applyNumberFormat="1" applyFont="1" applyBorder="1" applyAlignment="1"/>
    <xf numFmtId="44" fontId="10" fillId="0" borderId="21" xfId="2" applyFont="1" applyBorder="1" applyAlignment="1"/>
    <xf numFmtId="44" fontId="10" fillId="5" borderId="21" xfId="2" applyNumberFormat="1" applyFont="1" applyFill="1" applyBorder="1" applyAlignment="1"/>
    <xf numFmtId="44" fontId="10" fillId="0" borderId="50" xfId="2" applyFont="1" applyFill="1" applyBorder="1" applyAlignment="1"/>
    <xf numFmtId="168" fontId="10" fillId="0" borderId="51" xfId="0" applyNumberFormat="1" applyFont="1" applyBorder="1" applyAlignment="1"/>
    <xf numFmtId="9" fontId="10" fillId="0" borderId="0" xfId="0" applyNumberFormat="1" applyFont="1" applyBorder="1" applyAlignment="1"/>
    <xf numFmtId="164" fontId="10" fillId="0" borderId="0" xfId="0" applyNumberFormat="1" applyFont="1" applyBorder="1" applyAlignment="1"/>
    <xf numFmtId="44" fontId="10" fillId="0" borderId="0" xfId="2" applyFont="1" applyBorder="1" applyAlignment="1"/>
    <xf numFmtId="44" fontId="10" fillId="0" borderId="28" xfId="2" applyFont="1" applyBorder="1" applyAlignment="1"/>
    <xf numFmtId="0" fontId="7" fillId="0" borderId="52" xfId="0" applyFont="1" applyBorder="1"/>
    <xf numFmtId="9" fontId="7" fillId="0" borderId="15" xfId="0" applyNumberFormat="1" applyFont="1" applyBorder="1"/>
    <xf numFmtId="0" fontId="7" fillId="0" borderId="15" xfId="0" applyFont="1" applyBorder="1"/>
    <xf numFmtId="44" fontId="10" fillId="0" borderId="15" xfId="2" applyFont="1" applyBorder="1" applyAlignment="1"/>
    <xf numFmtId="44" fontId="10" fillId="0" borderId="53" xfId="2" applyFont="1" applyBorder="1" applyAlignment="1"/>
    <xf numFmtId="44" fontId="7" fillId="0" borderId="0" xfId="0" applyNumberFormat="1" applyFont="1" applyFill="1"/>
    <xf numFmtId="167" fontId="7" fillId="0" borderId="0" xfId="0" applyNumberFormat="1" applyFont="1" applyFill="1"/>
    <xf numFmtId="44" fontId="18" fillId="0" borderId="10" xfId="2" applyNumberFormat="1" applyFont="1" applyBorder="1"/>
    <xf numFmtId="0" fontId="18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Border="1"/>
    <xf numFmtId="3" fontId="5" fillId="0" borderId="0" xfId="0" applyNumberFormat="1" applyFont="1" applyFill="1"/>
    <xf numFmtId="0" fontId="5" fillId="0" borderId="10" xfId="0" applyFont="1" applyBorder="1" applyAlignment="1">
      <alignment horizontal="center"/>
    </xf>
    <xf numFmtId="42" fontId="10" fillId="0" borderId="0" xfId="0" applyNumberFormat="1" applyFont="1" applyFill="1"/>
    <xf numFmtId="0" fontId="5" fillId="0" borderId="0" xfId="0" applyFont="1"/>
    <xf numFmtId="3" fontId="5" fillId="0" borderId="0" xfId="0" applyNumberFormat="1" applyFont="1"/>
    <xf numFmtId="0" fontId="10" fillId="0" borderId="46" xfId="0" applyFont="1" applyBorder="1"/>
    <xf numFmtId="42" fontId="10" fillId="0" borderId="0" xfId="0" applyNumberFormat="1" applyFont="1"/>
    <xf numFmtId="4" fontId="10" fillId="0" borderId="0" xfId="0" applyNumberFormat="1" applyFont="1"/>
    <xf numFmtId="42" fontId="5" fillId="0" borderId="19" xfId="0" applyNumberFormat="1" applyFont="1" applyBorder="1"/>
    <xf numFmtId="10" fontId="10" fillId="0" borderId="11" xfId="3" applyNumberFormat="1" applyFont="1" applyBorder="1"/>
    <xf numFmtId="167" fontId="10" fillId="0" borderId="0" xfId="0" applyNumberFormat="1" applyFont="1" applyBorder="1"/>
    <xf numFmtId="10" fontId="10" fillId="0" borderId="0" xfId="0" applyNumberFormat="1" applyFont="1"/>
    <xf numFmtId="167" fontId="10" fillId="0" borderId="0" xfId="0" applyNumberFormat="1" applyFont="1"/>
    <xf numFmtId="4" fontId="10" fillId="0" borderId="10" xfId="0" applyNumberFormat="1" applyFont="1" applyBorder="1"/>
    <xf numFmtId="42" fontId="5" fillId="0" borderId="23" xfId="0" applyNumberFormat="1" applyFont="1" applyBorder="1"/>
    <xf numFmtId="167" fontId="10" fillId="0" borderId="0" xfId="2" applyNumberFormat="1" applyFont="1" applyBorder="1"/>
    <xf numFmtId="167" fontId="10" fillId="0" borderId="0" xfId="2" applyNumberFormat="1" applyFont="1" applyFill="1"/>
    <xf numFmtId="0" fontId="8" fillId="0" borderId="0" xfId="0" applyFont="1" applyBorder="1" applyAlignment="1">
      <alignment horizontal="right"/>
    </xf>
    <xf numFmtId="0" fontId="8" fillId="0" borderId="0" xfId="0" applyFont="1" applyFill="1" applyAlignment="1">
      <alignment horizontal="right"/>
    </xf>
    <xf numFmtId="0" fontId="5" fillId="0" borderId="23" xfId="0" applyFont="1" applyBorder="1"/>
    <xf numFmtId="44" fontId="10" fillId="0" borderId="0" xfId="2" applyFont="1" applyFill="1"/>
    <xf numFmtId="167" fontId="10" fillId="0" borderId="0" xfId="2" applyNumberFormat="1" applyFont="1"/>
    <xf numFmtId="0" fontId="8" fillId="0" borderId="0" xfId="0" applyFont="1" applyAlignment="1">
      <alignment horizontal="right"/>
    </xf>
    <xf numFmtId="44" fontId="10" fillId="0" borderId="0" xfId="2" applyFont="1"/>
    <xf numFmtId="9" fontId="10" fillId="0" borderId="0" xfId="3" applyFont="1" applyFill="1" applyBorder="1"/>
    <xf numFmtId="44" fontId="10" fillId="0" borderId="0" xfId="0" applyNumberFormat="1" applyFont="1" applyFill="1"/>
    <xf numFmtId="0" fontId="10" fillId="3" borderId="0" xfId="0" applyFont="1" applyFill="1"/>
    <xf numFmtId="10" fontId="10" fillId="3" borderId="0" xfId="0" applyNumberFormat="1" applyFont="1" applyFill="1"/>
    <xf numFmtId="44" fontId="10" fillId="3" borderId="0" xfId="2" applyFont="1" applyFill="1"/>
    <xf numFmtId="44" fontId="10" fillId="3" borderId="27" xfId="2" applyFont="1" applyFill="1" applyBorder="1"/>
    <xf numFmtId="9" fontId="10" fillId="0" borderId="0" xfId="3" applyFont="1" applyFill="1"/>
    <xf numFmtId="44" fontId="10" fillId="3" borderId="48" xfId="2" applyNumberFormat="1" applyFont="1" applyFill="1" applyBorder="1"/>
    <xf numFmtId="167" fontId="10" fillId="0" borderId="0" xfId="0" applyNumberFormat="1" applyFont="1" applyFill="1"/>
    <xf numFmtId="0" fontId="10" fillId="0" borderId="52" xfId="0" applyFont="1" applyBorder="1"/>
    <xf numFmtId="9" fontId="10" fillId="0" borderId="15" xfId="0" applyNumberFormat="1" applyFont="1" applyBorder="1"/>
    <xf numFmtId="0" fontId="10" fillId="0" borderId="15" xfId="0" applyFont="1" applyBorder="1"/>
    <xf numFmtId="44" fontId="10" fillId="3" borderId="54" xfId="2" applyFont="1" applyFill="1" applyBorder="1"/>
    <xf numFmtId="166" fontId="10" fillId="0" borderId="0" xfId="3" applyNumberFormat="1" applyFont="1"/>
    <xf numFmtId="44" fontId="10" fillId="0" borderId="10" xfId="2" applyNumberFormat="1" applyFont="1" applyBorder="1"/>
    <xf numFmtId="167" fontId="5" fillId="6" borderId="4" xfId="2" applyNumberFormat="1" applyFont="1" applyFill="1" applyBorder="1"/>
    <xf numFmtId="44" fontId="5" fillId="0" borderId="3" xfId="2" applyFont="1" applyFill="1" applyBorder="1"/>
    <xf numFmtId="44" fontId="10" fillId="5" borderId="21" xfId="2" applyFont="1" applyFill="1" applyBorder="1" applyAlignment="1"/>
    <xf numFmtId="9" fontId="10" fillId="0" borderId="0" xfId="0" applyNumberFormat="1" applyFont="1" applyFill="1" applyBorder="1" applyAlignment="1">
      <alignment horizontal="center"/>
    </xf>
    <xf numFmtId="10" fontId="7" fillId="0" borderId="0" xfId="0" applyNumberFormat="1" applyFont="1"/>
    <xf numFmtId="0" fontId="5" fillId="0" borderId="13" xfId="0" applyFont="1" applyFill="1" applyBorder="1" applyAlignment="1"/>
    <xf numFmtId="0" fontId="5" fillId="0" borderId="11" xfId="0" applyFont="1" applyFill="1" applyBorder="1" applyAlignment="1"/>
    <xf numFmtId="164" fontId="5" fillId="0" borderId="0" xfId="0" applyNumberFormat="1" applyFont="1" applyFill="1" applyBorder="1" applyAlignment="1">
      <alignment horizontal="center"/>
    </xf>
    <xf numFmtId="0" fontId="10" fillId="0" borderId="11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0" fillId="0" borderId="14" xfId="0" applyFont="1" applyFill="1" applyBorder="1" applyAlignment="1"/>
    <xf numFmtId="0" fontId="10" fillId="0" borderId="8" xfId="0" applyFont="1" applyFill="1" applyBorder="1" applyAlignment="1"/>
    <xf numFmtId="0" fontId="5" fillId="0" borderId="21" xfId="0" applyFont="1" applyFill="1" applyBorder="1" applyAlignment="1"/>
    <xf numFmtId="4" fontId="13" fillId="0" borderId="0" xfId="0" applyNumberFormat="1" applyFont="1" applyFill="1"/>
    <xf numFmtId="0" fontId="5" fillId="0" borderId="0" xfId="0" applyFont="1" applyFill="1" applyBorder="1" applyAlignment="1"/>
    <xf numFmtId="0" fontId="7" fillId="0" borderId="13" xfId="0" applyFont="1" applyFill="1" applyBorder="1"/>
    <xf numFmtId="0" fontId="7" fillId="0" borderId="6" xfId="0" applyFont="1" applyFill="1" applyBorder="1"/>
    <xf numFmtId="0" fontId="15" fillId="0" borderId="6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11" xfId="0" applyFont="1" applyFill="1" applyBorder="1" applyAlignment="1">
      <alignment wrapText="1"/>
    </xf>
    <xf numFmtId="0" fontId="17" fillId="0" borderId="0" xfId="0" applyFont="1" applyFill="1" applyBorder="1" applyAlignment="1"/>
    <xf numFmtId="0" fontId="17" fillId="0" borderId="11" xfId="0" applyFont="1" applyFill="1" applyBorder="1" applyAlignment="1"/>
    <xf numFmtId="0" fontId="7" fillId="0" borderId="10" xfId="0" applyFont="1" applyFill="1" applyBorder="1"/>
    <xf numFmtId="0" fontId="15" fillId="0" borderId="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6" fillId="0" borderId="0" xfId="0" applyFont="1" applyFill="1" applyBorder="1"/>
    <xf numFmtId="10" fontId="7" fillId="0" borderId="0" xfId="0" applyNumberFormat="1" applyFont="1" applyFill="1"/>
    <xf numFmtId="168" fontId="10" fillId="0" borderId="47" xfId="0" applyNumberFormat="1" applyFont="1" applyFill="1" applyBorder="1" applyAlignment="1"/>
    <xf numFmtId="9" fontId="10" fillId="0" borderId="21" xfId="0" applyNumberFormat="1" applyFont="1" applyFill="1" applyBorder="1" applyAlignment="1"/>
    <xf numFmtId="164" fontId="10" fillId="0" borderId="21" xfId="0" applyNumberFormat="1" applyFont="1" applyFill="1" applyBorder="1" applyAlignment="1"/>
    <xf numFmtId="44" fontId="10" fillId="0" borderId="21" xfId="2" applyFont="1" applyFill="1" applyBorder="1" applyAlignment="1"/>
    <xf numFmtId="168" fontId="10" fillId="0" borderId="51" xfId="0" applyNumberFormat="1" applyFont="1" applyFill="1" applyBorder="1" applyAlignment="1"/>
    <xf numFmtId="0" fontId="7" fillId="0" borderId="52" xfId="0" applyFont="1" applyFill="1" applyBorder="1"/>
    <xf numFmtId="9" fontId="7" fillId="0" borderId="15" xfId="0" applyNumberFormat="1" applyFont="1" applyFill="1" applyBorder="1"/>
    <xf numFmtId="0" fontId="7" fillId="0" borderId="15" xfId="0" applyFont="1" applyFill="1" applyBorder="1"/>
    <xf numFmtId="44" fontId="10" fillId="0" borderId="15" xfId="2" applyFont="1" applyFill="1" applyBorder="1" applyAlignment="1"/>
    <xf numFmtId="10" fontId="12" fillId="0" borderId="0" xfId="3" applyNumberFormat="1" applyFont="1" applyFill="1" applyBorder="1"/>
    <xf numFmtId="44" fontId="12" fillId="0" borderId="0" xfId="2" applyNumberFormat="1" applyFont="1" applyFill="1" applyBorder="1"/>
    <xf numFmtId="0" fontId="6" fillId="0" borderId="17" xfId="0" applyFont="1" applyFill="1" applyBorder="1"/>
    <xf numFmtId="0" fontId="7" fillId="0" borderId="21" xfId="0" applyFont="1" applyFill="1" applyBorder="1"/>
    <xf numFmtId="44" fontId="7" fillId="0" borderId="21" xfId="0" applyNumberFormat="1" applyFont="1" applyFill="1" applyBorder="1"/>
    <xf numFmtId="0" fontId="7" fillId="0" borderId="8" xfId="0" applyFont="1" applyFill="1" applyBorder="1"/>
    <xf numFmtId="0" fontId="7" fillId="0" borderId="7" xfId="0" applyFont="1" applyFill="1" applyBorder="1"/>
    <xf numFmtId="0" fontId="10" fillId="0" borderId="0" xfId="0" applyFont="1" applyFill="1" applyAlignment="1"/>
    <xf numFmtId="0" fontId="18" fillId="0" borderId="0" xfId="0" applyFont="1" applyFill="1" applyAlignment="1"/>
    <xf numFmtId="0" fontId="10" fillId="0" borderId="0" xfId="0" applyFont="1" applyFill="1" applyAlignment="1">
      <alignment horizontal="center"/>
    </xf>
    <xf numFmtId="0" fontId="5" fillId="0" borderId="0" xfId="0" applyFont="1" applyFill="1"/>
    <xf numFmtId="0" fontId="10" fillId="0" borderId="55" xfId="0" applyFont="1" applyFill="1" applyBorder="1"/>
    <xf numFmtId="0" fontId="10" fillId="0" borderId="27" xfId="0" applyFont="1" applyFill="1" applyBorder="1"/>
    <xf numFmtId="0" fontId="10" fillId="0" borderId="51" xfId="0" applyFont="1" applyFill="1" applyBorder="1"/>
    <xf numFmtId="0" fontId="5" fillId="0" borderId="15" xfId="0" applyFont="1" applyFill="1" applyBorder="1"/>
    <xf numFmtId="0" fontId="5" fillId="0" borderId="15" xfId="0" applyFont="1" applyFill="1" applyBorder="1" applyAlignment="1">
      <alignment horizontal="center"/>
    </xf>
    <xf numFmtId="4" fontId="10" fillId="0" borderId="0" xfId="0" applyNumberFormat="1" applyFont="1" applyFill="1"/>
    <xf numFmtId="167" fontId="10" fillId="0" borderId="27" xfId="2" applyNumberFormat="1" applyFont="1" applyFill="1" applyBorder="1"/>
    <xf numFmtId="0" fontId="10" fillId="0" borderId="13" xfId="0" applyFont="1" applyFill="1" applyBorder="1"/>
    <xf numFmtId="0" fontId="10" fillId="0" borderId="6" xfId="0" applyFont="1" applyFill="1" applyBorder="1"/>
    <xf numFmtId="0" fontId="8" fillId="0" borderId="6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10" xfId="0" applyFont="1" applyFill="1" applyBorder="1"/>
    <xf numFmtId="4" fontId="10" fillId="0" borderId="0" xfId="0" applyNumberFormat="1" applyFont="1" applyFill="1" applyBorder="1" applyAlignment="1">
      <alignment horizontal="center"/>
    </xf>
    <xf numFmtId="0" fontId="5" fillId="0" borderId="19" xfId="0" applyFont="1" applyFill="1" applyBorder="1"/>
    <xf numFmtId="4" fontId="5" fillId="0" borderId="19" xfId="0" applyNumberFormat="1" applyFont="1" applyFill="1" applyBorder="1"/>
    <xf numFmtId="42" fontId="5" fillId="0" borderId="19" xfId="0" applyNumberFormat="1" applyFont="1" applyFill="1" applyBorder="1"/>
    <xf numFmtId="0" fontId="5" fillId="0" borderId="19" xfId="0" applyFont="1" applyFill="1" applyBorder="1" applyAlignment="1">
      <alignment horizontal="center"/>
    </xf>
    <xf numFmtId="4" fontId="5" fillId="0" borderId="19" xfId="0" applyNumberFormat="1" applyFont="1" applyFill="1" applyBorder="1" applyAlignment="1">
      <alignment horizontal="center"/>
    </xf>
    <xf numFmtId="0" fontId="44" fillId="0" borderId="0" xfId="0" applyFont="1" applyFill="1"/>
    <xf numFmtId="10" fontId="10" fillId="0" borderId="0" xfId="0" applyNumberFormat="1" applyFont="1" applyFill="1"/>
    <xf numFmtId="0" fontId="8" fillId="0" borderId="0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44" fontId="5" fillId="0" borderId="19" xfId="0" applyNumberFormat="1" applyFont="1" applyFill="1" applyBorder="1"/>
    <xf numFmtId="0" fontId="10" fillId="0" borderId="2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10" fontId="5" fillId="0" borderId="51" xfId="3" applyNumberFormat="1" applyFont="1" applyFill="1" applyBorder="1"/>
    <xf numFmtId="0" fontId="5" fillId="0" borderId="0" xfId="0" applyFont="1" applyFill="1" applyBorder="1"/>
    <xf numFmtId="4" fontId="10" fillId="0" borderId="10" xfId="0" applyNumberFormat="1" applyFont="1" applyFill="1" applyBorder="1"/>
    <xf numFmtId="44" fontId="5" fillId="0" borderId="21" xfId="0" applyNumberFormat="1" applyFont="1" applyFill="1" applyBorder="1"/>
    <xf numFmtId="2" fontId="10" fillId="0" borderId="0" xfId="0" applyNumberFormat="1" applyFont="1" applyFill="1"/>
    <xf numFmtId="0" fontId="5" fillId="0" borderId="23" xfId="0" applyFont="1" applyFill="1" applyBorder="1"/>
    <xf numFmtId="0" fontId="10" fillId="0" borderId="23" xfId="0" applyFont="1" applyFill="1" applyBorder="1"/>
    <xf numFmtId="42" fontId="5" fillId="0" borderId="23" xfId="0" applyNumberFormat="1" applyFont="1" applyFill="1" applyBorder="1"/>
    <xf numFmtId="0" fontId="10" fillId="0" borderId="23" xfId="0" applyFont="1" applyFill="1" applyBorder="1" applyAlignment="1">
      <alignment horizontal="center"/>
    </xf>
    <xf numFmtId="42" fontId="5" fillId="0" borderId="29" xfId="0" applyNumberFormat="1" applyFont="1" applyFill="1" applyBorder="1"/>
    <xf numFmtId="44" fontId="10" fillId="0" borderId="27" xfId="0" applyNumberFormat="1" applyFont="1" applyFill="1" applyBorder="1"/>
    <xf numFmtId="0" fontId="8" fillId="0" borderId="28" xfId="0" applyFont="1" applyFill="1" applyBorder="1" applyAlignment="1">
      <alignment horizontal="center"/>
    </xf>
    <xf numFmtId="44" fontId="10" fillId="0" borderId="58" xfId="0" applyNumberFormat="1" applyFont="1" applyFill="1" applyBorder="1"/>
    <xf numFmtId="44" fontId="10" fillId="0" borderId="59" xfId="0" applyNumberFormat="1" applyFont="1" applyFill="1" applyBorder="1"/>
    <xf numFmtId="0" fontId="10" fillId="0" borderId="52" xfId="0" applyFont="1" applyFill="1" applyBorder="1"/>
    <xf numFmtId="9" fontId="10" fillId="0" borderId="15" xfId="0" applyNumberFormat="1" applyFont="1" applyFill="1" applyBorder="1"/>
    <xf numFmtId="0" fontId="10" fillId="0" borderId="15" xfId="0" applyFont="1" applyFill="1" applyBorder="1"/>
    <xf numFmtId="44" fontId="10" fillId="0" borderId="60" xfId="0" applyNumberFormat="1" applyFont="1" applyFill="1" applyBorder="1"/>
    <xf numFmtId="10" fontId="10" fillId="0" borderId="0" xfId="3" applyNumberFormat="1" applyFont="1" applyFill="1" applyBorder="1"/>
    <xf numFmtId="44" fontId="10" fillId="0" borderId="61" xfId="0" applyNumberFormat="1" applyFont="1" applyFill="1" applyBorder="1"/>
    <xf numFmtId="9" fontId="10" fillId="0" borderId="0" xfId="3" applyFont="1" applyFill="1" applyAlignment="1">
      <alignment horizontal="center"/>
    </xf>
    <xf numFmtId="44" fontId="10" fillId="0" borderId="0" xfId="2" applyNumberFormat="1" applyFont="1" applyFill="1" applyBorder="1"/>
    <xf numFmtId="0" fontId="5" fillId="0" borderId="17" xfId="0" applyFont="1" applyFill="1" applyBorder="1"/>
    <xf numFmtId="0" fontId="10" fillId="0" borderId="21" xfId="0" applyFont="1" applyFill="1" applyBorder="1"/>
    <xf numFmtId="44" fontId="10" fillId="0" borderId="21" xfId="0" applyNumberFormat="1" applyFont="1" applyFill="1" applyBorder="1"/>
    <xf numFmtId="0" fontId="10" fillId="0" borderId="12" xfId="0" applyFont="1" applyFill="1" applyBorder="1"/>
    <xf numFmtId="0" fontId="10" fillId="0" borderId="8" xfId="0" applyFont="1" applyFill="1" applyBorder="1"/>
    <xf numFmtId="0" fontId="10" fillId="0" borderId="7" xfId="0" applyFont="1" applyFill="1" applyBorder="1"/>
    <xf numFmtId="10" fontId="10" fillId="0" borderId="7" xfId="3" applyNumberFormat="1" applyFont="1" applyFill="1" applyBorder="1"/>
    <xf numFmtId="0" fontId="10" fillId="0" borderId="9" xfId="0" applyFont="1" applyFill="1" applyBorder="1"/>
    <xf numFmtId="0" fontId="10" fillId="0" borderId="0" xfId="0" applyFont="1" applyFill="1" applyAlignment="1">
      <alignment horizontal="left"/>
    </xf>
    <xf numFmtId="0" fontId="8" fillId="0" borderId="0" xfId="0" applyFont="1" applyFill="1"/>
    <xf numFmtId="166" fontId="10" fillId="0" borderId="0" xfId="3" applyNumberFormat="1" applyFont="1" applyFill="1"/>
    <xf numFmtId="0" fontId="5" fillId="0" borderId="13" xfId="0" applyFont="1" applyFill="1" applyBorder="1"/>
    <xf numFmtId="3" fontId="5" fillId="0" borderId="0" xfId="0" applyNumberFormat="1" applyFont="1" applyFill="1" applyBorder="1"/>
    <xf numFmtId="0" fontId="5" fillId="0" borderId="62" xfId="0" applyFont="1" applyFill="1" applyBorder="1" applyAlignment="1">
      <alignment horizontal="center"/>
    </xf>
    <xf numFmtId="0" fontId="5" fillId="0" borderId="14" xfId="0" applyFont="1" applyFill="1" applyBorder="1"/>
    <xf numFmtId="0" fontId="10" fillId="0" borderId="63" xfId="0" applyFont="1" applyFill="1" applyBorder="1"/>
    <xf numFmtId="0" fontId="5" fillId="0" borderId="17" xfId="0" applyFont="1" applyFill="1" applyBorder="1" applyAlignment="1"/>
    <xf numFmtId="167" fontId="10" fillId="0" borderId="63" xfId="2" applyNumberFormat="1" applyFont="1" applyFill="1" applyBorder="1"/>
    <xf numFmtId="0" fontId="5" fillId="0" borderId="18" xfId="0" applyFont="1" applyFill="1" applyBorder="1"/>
    <xf numFmtId="0" fontId="5" fillId="0" borderId="11" xfId="0" applyFont="1" applyFill="1" applyBorder="1"/>
    <xf numFmtId="44" fontId="10" fillId="0" borderId="63" xfId="2" applyNumberFormat="1" applyFont="1" applyFill="1" applyBorder="1"/>
    <xf numFmtId="0" fontId="5" fillId="0" borderId="22" xfId="0" applyFont="1" applyFill="1" applyBorder="1"/>
    <xf numFmtId="42" fontId="5" fillId="0" borderId="64" xfId="0" applyNumberFormat="1" applyFont="1" applyFill="1" applyBorder="1"/>
    <xf numFmtId="167" fontId="10" fillId="0" borderId="0" xfId="2" applyNumberFormat="1" applyFont="1" applyFill="1" applyBorder="1"/>
    <xf numFmtId="167" fontId="10" fillId="0" borderId="63" xfId="0" applyNumberFormat="1" applyFont="1" applyFill="1" applyBorder="1"/>
    <xf numFmtId="0" fontId="8" fillId="0" borderId="1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44" fontId="10" fillId="0" borderId="7" xfId="2" applyFont="1" applyFill="1" applyBorder="1"/>
    <xf numFmtId="0" fontId="5" fillId="0" borderId="65" xfId="0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167" fontId="10" fillId="6" borderId="25" xfId="0" applyNumberFormat="1" applyFont="1" applyFill="1" applyBorder="1"/>
    <xf numFmtId="0" fontId="5" fillId="0" borderId="0" xfId="0" applyFont="1" applyFill="1" applyBorder="1" applyAlignment="1">
      <alignment horizontal="left"/>
    </xf>
    <xf numFmtId="42" fontId="7" fillId="0" borderId="10" xfId="0" applyNumberFormat="1" applyFont="1" applyFill="1" applyBorder="1"/>
    <xf numFmtId="2" fontId="13" fillId="0" borderId="0" xfId="0" applyNumberFormat="1" applyFont="1" applyFill="1" applyBorder="1" applyAlignment="1">
      <alignment horizontal="center" wrapText="1"/>
    </xf>
    <xf numFmtId="2" fontId="13" fillId="0" borderId="10" xfId="0" applyNumberFormat="1" applyFont="1" applyFill="1" applyBorder="1" applyAlignment="1">
      <alignment horizontal="center" wrapText="1"/>
    </xf>
    <xf numFmtId="167" fontId="10" fillId="0" borderId="0" xfId="2" applyNumberFormat="1" applyFont="1" applyFill="1" applyBorder="1" applyAlignment="1"/>
    <xf numFmtId="44" fontId="10" fillId="0" borderId="28" xfId="2" applyFont="1" applyFill="1" applyBorder="1" applyAlignment="1"/>
    <xf numFmtId="44" fontId="5" fillId="6" borderId="4" xfId="2" applyFont="1" applyFill="1" applyBorder="1" applyAlignment="1"/>
    <xf numFmtId="44" fontId="10" fillId="0" borderId="53" xfId="2" applyFont="1" applyFill="1" applyBorder="1" applyAlignment="1"/>
    <xf numFmtId="168" fontId="10" fillId="0" borderId="49" xfId="0" applyNumberFormat="1" applyFont="1" applyFill="1" applyBorder="1" applyAlignment="1"/>
    <xf numFmtId="9" fontId="10" fillId="0" borderId="50" xfId="0" applyNumberFormat="1" applyFont="1" applyFill="1" applyBorder="1" applyAlignment="1"/>
    <xf numFmtId="164" fontId="10" fillId="0" borderId="50" xfId="0" applyNumberFormat="1" applyFont="1" applyFill="1" applyBorder="1" applyAlignment="1"/>
    <xf numFmtId="44" fontId="5" fillId="0" borderId="25" xfId="2" applyFont="1" applyFill="1" applyBorder="1" applyAlignment="1"/>
    <xf numFmtId="44" fontId="10" fillId="0" borderId="25" xfId="2" applyFont="1" applyFill="1" applyBorder="1" applyAlignment="1"/>
    <xf numFmtId="44" fontId="10" fillId="0" borderId="53" xfId="2" applyNumberFormat="1" applyFont="1" applyFill="1" applyBorder="1" applyAlignment="1"/>
    <xf numFmtId="0" fontId="10" fillId="0" borderId="0" xfId="0" applyNumberFormat="1" applyFont="1" applyFill="1" applyBorder="1"/>
    <xf numFmtId="3" fontId="5" fillId="0" borderId="10" xfId="0" applyNumberFormat="1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2" fontId="10" fillId="0" borderId="10" xfId="0" applyNumberFormat="1" applyFont="1" applyFill="1" applyBorder="1"/>
    <xf numFmtId="42" fontId="5" fillId="0" borderId="20" xfId="0" applyNumberFormat="1" applyFont="1" applyFill="1" applyBorder="1"/>
    <xf numFmtId="44" fontId="10" fillId="0" borderId="10" xfId="0" applyNumberFormat="1" applyFont="1" applyFill="1" applyBorder="1"/>
    <xf numFmtId="167" fontId="10" fillId="0" borderId="10" xfId="0" applyNumberFormat="1" applyFont="1" applyFill="1" applyBorder="1"/>
    <xf numFmtId="42" fontId="5" fillId="0" borderId="24" xfId="0" applyNumberFormat="1" applyFont="1" applyFill="1" applyBorder="1"/>
    <xf numFmtId="0" fontId="8" fillId="0" borderId="10" xfId="0" applyFont="1" applyFill="1" applyBorder="1" applyAlignment="1">
      <alignment horizontal="right"/>
    </xf>
    <xf numFmtId="0" fontId="41" fillId="0" borderId="0" xfId="0" applyFont="1" applyFill="1"/>
    <xf numFmtId="44" fontId="10" fillId="0" borderId="27" xfId="2" applyFont="1" applyFill="1" applyBorder="1"/>
    <xf numFmtId="44" fontId="10" fillId="0" borderId="48" xfId="0" applyNumberFormat="1" applyFont="1" applyFill="1" applyBorder="1"/>
    <xf numFmtId="44" fontId="10" fillId="0" borderId="54" xfId="0" applyNumberFormat="1" applyFont="1" applyFill="1" applyBorder="1"/>
    <xf numFmtId="0" fontId="10" fillId="0" borderId="0" xfId="0" quotePrefix="1" applyFont="1" applyFill="1" applyAlignment="1"/>
    <xf numFmtId="0" fontId="41" fillId="0" borderId="0" xfId="0" quotePrefix="1" applyFont="1" applyFill="1" applyAlignment="1"/>
    <xf numFmtId="0" fontId="5" fillId="0" borderId="0" xfId="0" quotePrefix="1" applyFont="1" applyFill="1" applyBorder="1" applyAlignment="1">
      <alignment horizontal="center"/>
    </xf>
    <xf numFmtId="10" fontId="10" fillId="0" borderId="0" xfId="3" applyNumberFormat="1" applyFont="1" applyFill="1"/>
    <xf numFmtId="172" fontId="10" fillId="0" borderId="0" xfId="0" applyNumberFormat="1" applyFont="1" applyFill="1"/>
    <xf numFmtId="10" fontId="10" fillId="0" borderId="11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2" fontId="10" fillId="0" borderId="0" xfId="0" applyNumberFormat="1" applyFont="1" applyFill="1" applyBorder="1" applyAlignment="1"/>
    <xf numFmtId="2" fontId="10" fillId="0" borderId="10" xfId="0" applyNumberFormat="1" applyFont="1" applyFill="1" applyBorder="1" applyAlignment="1"/>
    <xf numFmtId="2" fontId="10" fillId="0" borderId="0" xfId="0" applyNumberFormat="1" applyFont="1" applyFill="1" applyBorder="1" applyAlignment="1">
      <alignment horizontal="right" wrapText="1"/>
    </xf>
    <xf numFmtId="2" fontId="10" fillId="0" borderId="1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wrapText="1"/>
    </xf>
    <xf numFmtId="167" fontId="10" fillId="0" borderId="28" xfId="2" applyNumberFormat="1" applyFont="1" applyFill="1" applyBorder="1"/>
    <xf numFmtId="44" fontId="10" fillId="0" borderId="19" xfId="2" applyFont="1" applyFill="1" applyBorder="1" applyAlignment="1"/>
    <xf numFmtId="167" fontId="10" fillId="0" borderId="69" xfId="2" applyNumberFormat="1" applyFont="1" applyFill="1" applyBorder="1" applyAlignment="1"/>
    <xf numFmtId="44" fontId="5" fillId="0" borderId="0" xfId="2" applyFont="1" applyFill="1" applyBorder="1" applyAlignment="1">
      <alignment horizontal="center"/>
    </xf>
    <xf numFmtId="0" fontId="10" fillId="0" borderId="0" xfId="0" quotePrefix="1" applyFont="1"/>
    <xf numFmtId="42" fontId="10" fillId="0" borderId="27" xfId="0" applyNumberFormat="1" applyFont="1" applyFill="1" applyBorder="1"/>
    <xf numFmtId="165" fontId="10" fillId="0" borderId="0" xfId="0" applyNumberFormat="1" applyFont="1" applyFill="1" applyBorder="1"/>
    <xf numFmtId="42" fontId="5" fillId="0" borderId="27" xfId="0" applyNumberFormat="1" applyFont="1" applyFill="1" applyBorder="1"/>
    <xf numFmtId="171" fontId="10" fillId="0" borderId="0" xfId="0" applyNumberFormat="1" applyFont="1"/>
    <xf numFmtId="2" fontId="10" fillId="0" borderId="0" xfId="0" applyNumberFormat="1" applyFont="1"/>
    <xf numFmtId="44" fontId="5" fillId="0" borderId="0" xfId="2" applyFont="1" applyFill="1" applyBorder="1" applyAlignment="1"/>
    <xf numFmtId="44" fontId="5" fillId="0" borderId="0" xfId="2" applyFont="1" applyFill="1" applyAlignment="1">
      <alignment horizontal="center"/>
    </xf>
    <xf numFmtId="0" fontId="5" fillId="0" borderId="27" xfId="0" applyFont="1" applyFill="1" applyBorder="1" applyAlignment="1">
      <alignment horizontal="right"/>
    </xf>
    <xf numFmtId="3" fontId="5" fillId="0" borderId="67" xfId="0" applyNumberFormat="1" applyFont="1" applyFill="1" applyBorder="1" applyAlignment="1">
      <alignment horizontal="center"/>
    </xf>
    <xf numFmtId="0" fontId="10" fillId="0" borderId="28" xfId="0" applyFont="1" applyFill="1" applyBorder="1"/>
    <xf numFmtId="0" fontId="5" fillId="0" borderId="28" xfId="0" applyFont="1" applyFill="1" applyBorder="1" applyAlignment="1">
      <alignment horizontal="center"/>
    </xf>
    <xf numFmtId="42" fontId="10" fillId="0" borderId="28" xfId="0" applyNumberFormat="1" applyFont="1" applyFill="1" applyBorder="1"/>
    <xf numFmtId="0" fontId="8" fillId="0" borderId="5" xfId="0" applyFont="1" applyFill="1" applyBorder="1"/>
    <xf numFmtId="42" fontId="5" fillId="0" borderId="28" xfId="0" applyNumberFormat="1" applyFont="1" applyFill="1" applyBorder="1"/>
    <xf numFmtId="10" fontId="10" fillId="0" borderId="11" xfId="3" applyNumberFormat="1" applyFont="1" applyFill="1" applyBorder="1"/>
    <xf numFmtId="44" fontId="10" fillId="0" borderId="28" xfId="0" applyNumberFormat="1" applyFont="1" applyFill="1" applyBorder="1"/>
    <xf numFmtId="167" fontId="10" fillId="0" borderId="28" xfId="0" applyNumberFormat="1" applyFont="1" applyFill="1" applyBorder="1"/>
    <xf numFmtId="42" fontId="5" fillId="0" borderId="68" xfId="0" applyNumberFormat="1" applyFont="1" applyFill="1" applyBorder="1"/>
    <xf numFmtId="167" fontId="5" fillId="0" borderId="0" xfId="2" applyNumberFormat="1" applyFont="1" applyFill="1" applyAlignment="1">
      <alignment horizontal="center"/>
    </xf>
    <xf numFmtId="0" fontId="8" fillId="0" borderId="28" xfId="0" applyFont="1" applyFill="1" applyBorder="1" applyAlignment="1">
      <alignment horizontal="center" wrapText="1"/>
    </xf>
    <xf numFmtId="44" fontId="10" fillId="0" borderId="55" xfId="2" applyFont="1" applyFill="1" applyBorder="1"/>
    <xf numFmtId="44" fontId="10" fillId="0" borderId="15" xfId="2" applyNumberFormat="1" applyFont="1" applyFill="1" applyBorder="1"/>
    <xf numFmtId="0" fontId="10" fillId="0" borderId="16" xfId="0" applyFont="1" applyFill="1" applyBorder="1"/>
    <xf numFmtId="44" fontId="10" fillId="0" borderId="48" xfId="2" applyFont="1" applyFill="1" applyBorder="1"/>
    <xf numFmtId="44" fontId="10" fillId="0" borderId="54" xfId="2" applyFont="1" applyFill="1" applyBorder="1"/>
    <xf numFmtId="10" fontId="5" fillId="0" borderId="0" xfId="3" applyNumberFormat="1" applyFont="1" applyFill="1" applyAlignment="1">
      <alignment horizontal="right"/>
    </xf>
    <xf numFmtId="9" fontId="10" fillId="0" borderId="7" xfId="3" applyFont="1" applyFill="1" applyBorder="1"/>
    <xf numFmtId="0" fontId="10" fillId="0" borderId="0" xfId="0" quotePrefix="1" applyFont="1" applyFill="1"/>
    <xf numFmtId="0" fontId="5" fillId="0" borderId="15" xfId="0" applyFont="1" applyFill="1" applyBorder="1" applyAlignment="1">
      <alignment horizontal="left"/>
    </xf>
    <xf numFmtId="0" fontId="10" fillId="0" borderId="0" xfId="0" applyFont="1" applyFill="1" applyAlignment="1">
      <alignment horizontal="right"/>
    </xf>
    <xf numFmtId="2" fontId="5" fillId="0" borderId="0" xfId="0" applyNumberFormat="1" applyFont="1" applyFill="1"/>
    <xf numFmtId="10" fontId="10" fillId="0" borderId="51" xfId="3" applyNumberFormat="1" applyFont="1" applyFill="1" applyBorder="1"/>
    <xf numFmtId="171" fontId="10" fillId="0" borderId="0" xfId="0" applyNumberFormat="1" applyFont="1" applyFill="1"/>
    <xf numFmtId="173" fontId="10" fillId="0" borderId="0" xfId="1" applyNumberFormat="1" applyFont="1" applyFill="1"/>
    <xf numFmtId="0" fontId="10" fillId="0" borderId="15" xfId="0" quotePrefix="1" applyFont="1" applyFill="1" applyBorder="1"/>
    <xf numFmtId="44" fontId="10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44" fontId="10" fillId="0" borderId="26" xfId="2" applyFont="1" applyFill="1" applyBorder="1" applyAlignment="1"/>
    <xf numFmtId="44" fontId="10" fillId="0" borderId="47" xfId="2" applyFont="1" applyFill="1" applyBorder="1"/>
    <xf numFmtId="44" fontId="10" fillId="0" borderId="51" xfId="2" applyFont="1" applyFill="1" applyBorder="1"/>
    <xf numFmtId="2" fontId="5" fillId="0" borderId="0" xfId="0" applyNumberFormat="1" applyFont="1" applyFill="1" applyBorder="1"/>
    <xf numFmtId="44" fontId="10" fillId="0" borderId="52" xfId="0" applyNumberFormat="1" applyFont="1" applyFill="1" applyBorder="1"/>
    <xf numFmtId="0" fontId="5" fillId="0" borderId="7" xfId="0" applyFont="1" applyFill="1" applyBorder="1" applyAlignment="1">
      <alignment horizontal="center"/>
    </xf>
    <xf numFmtId="42" fontId="12" fillId="0" borderId="10" xfId="0" applyNumberFormat="1" applyFont="1" applyFill="1" applyBorder="1"/>
    <xf numFmtId="0" fontId="18" fillId="0" borderId="10" xfId="0" applyNumberFormat="1" applyFont="1" applyFill="1" applyBorder="1"/>
    <xf numFmtId="0" fontId="18" fillId="0" borderId="1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8" fillId="0" borderId="0" xfId="0" quotePrefix="1" applyFont="1" applyAlignment="1"/>
    <xf numFmtId="168" fontId="10" fillId="0" borderId="49" xfId="0" applyNumberFormat="1" applyFont="1" applyBorder="1" applyAlignment="1"/>
    <xf numFmtId="44" fontId="10" fillId="0" borderId="63" xfId="2" applyFont="1" applyFill="1" applyBorder="1"/>
    <xf numFmtId="168" fontId="10" fillId="0" borderId="2" xfId="0" applyNumberFormat="1" applyFont="1" applyBorder="1" applyAlignment="1"/>
    <xf numFmtId="9" fontId="10" fillId="0" borderId="3" xfId="0" applyNumberFormat="1" applyFont="1" applyBorder="1" applyAlignment="1"/>
    <xf numFmtId="44" fontId="10" fillId="0" borderId="71" xfId="2" applyFont="1" applyFill="1" applyBorder="1" applyAlignment="1"/>
    <xf numFmtId="44" fontId="5" fillId="0" borderId="72" xfId="0" applyNumberFormat="1" applyFont="1" applyFill="1" applyBorder="1"/>
    <xf numFmtId="164" fontId="5" fillId="0" borderId="10" xfId="0" applyNumberFormat="1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166" fontId="10" fillId="0" borderId="9" xfId="3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42" fontId="12" fillId="0" borderId="10" xfId="0" applyNumberFormat="1" applyFont="1" applyBorder="1"/>
    <xf numFmtId="0" fontId="15" fillId="0" borderId="10" xfId="0" applyFont="1" applyBorder="1" applyAlignment="1">
      <alignment horizontal="center"/>
    </xf>
    <xf numFmtId="0" fontId="12" fillId="0" borderId="10" xfId="0" applyFont="1" applyBorder="1"/>
    <xf numFmtId="44" fontId="7" fillId="0" borderId="12" xfId="0" applyNumberFormat="1" applyFont="1" applyBorder="1"/>
    <xf numFmtId="10" fontId="13" fillId="0" borderId="9" xfId="3" applyNumberFormat="1" applyFont="1" applyBorder="1"/>
    <xf numFmtId="10" fontId="7" fillId="0" borderId="11" xfId="0" applyNumberFormat="1" applyFont="1" applyBorder="1"/>
    <xf numFmtId="0" fontId="10" fillId="30" borderId="13" xfId="0" applyFont="1" applyFill="1" applyBorder="1"/>
    <xf numFmtId="0" fontId="10" fillId="30" borderId="6" xfId="0" applyFont="1" applyFill="1" applyBorder="1"/>
    <xf numFmtId="0" fontId="10" fillId="0" borderId="62" xfId="0" applyFont="1" applyBorder="1"/>
    <xf numFmtId="0" fontId="10" fillId="0" borderId="63" xfId="0" applyFont="1" applyBorder="1"/>
    <xf numFmtId="0" fontId="10" fillId="0" borderId="10" xfId="0" applyNumberFormat="1" applyFont="1" applyFill="1" applyBorder="1"/>
    <xf numFmtId="9" fontId="10" fillId="0" borderId="63" xfId="3" applyFont="1" applyBorder="1"/>
    <xf numFmtId="0" fontId="10" fillId="0" borderId="10" xfId="0" applyNumberFormat="1" applyFont="1" applyBorder="1"/>
    <xf numFmtId="10" fontId="10" fillId="0" borderId="11" xfId="0" applyNumberFormat="1" applyFont="1" applyBorder="1"/>
    <xf numFmtId="2" fontId="10" fillId="0" borderId="10" xfId="0" applyNumberFormat="1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center" wrapText="1"/>
    </xf>
    <xf numFmtId="2" fontId="10" fillId="0" borderId="10" xfId="0" applyNumberFormat="1" applyFont="1" applyBorder="1" applyAlignment="1">
      <alignment horizontal="center"/>
    </xf>
    <xf numFmtId="10" fontId="10" fillId="0" borderId="10" xfId="3" applyNumberFormat="1" applyFont="1" applyBorder="1"/>
    <xf numFmtId="44" fontId="10" fillId="0" borderId="16" xfId="2" applyNumberFormat="1" applyFont="1" applyBorder="1"/>
    <xf numFmtId="44" fontId="10" fillId="0" borderId="12" xfId="0" applyNumberFormat="1" applyFont="1" applyBorder="1"/>
    <xf numFmtId="0" fontId="10" fillId="0" borderId="0" xfId="0" quotePrefix="1" applyFont="1" applyAlignment="1"/>
    <xf numFmtId="0" fontId="17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7" fillId="0" borderId="17" xfId="0" applyFont="1" applyBorder="1"/>
    <xf numFmtId="42" fontId="7" fillId="0" borderId="73" xfId="0" applyNumberFormat="1" applyFont="1" applyBorder="1"/>
    <xf numFmtId="10" fontId="18" fillId="0" borderId="10" xfId="3" applyNumberFormat="1" applyFont="1" applyBorder="1"/>
    <xf numFmtId="10" fontId="7" fillId="0" borderId="7" xfId="0" applyNumberFormat="1" applyFont="1" applyFill="1" applyBorder="1"/>
    <xf numFmtId="44" fontId="7" fillId="0" borderId="7" xfId="2" applyFont="1" applyFill="1" applyBorder="1"/>
    <xf numFmtId="44" fontId="6" fillId="0" borderId="25" xfId="2" applyFont="1" applyFill="1" applyBorder="1"/>
    <xf numFmtId="0" fontId="7" fillId="0" borderId="3" xfId="0" applyFont="1" applyBorder="1"/>
    <xf numFmtId="44" fontId="6" fillId="6" borderId="25" xfId="2" applyFont="1" applyFill="1" applyBorder="1"/>
    <xf numFmtId="42" fontId="7" fillId="0" borderId="0" xfId="0" applyNumberFormat="1" applyFont="1" applyFill="1" applyBorder="1" applyAlignment="1">
      <alignment horizontal="center" wrapText="1"/>
    </xf>
    <xf numFmtId="167" fontId="7" fillId="0" borderId="73" xfId="0" applyNumberFormat="1" applyFont="1" applyBorder="1"/>
    <xf numFmtId="167" fontId="12" fillId="0" borderId="0" xfId="0" applyNumberFormat="1" applyFont="1"/>
    <xf numFmtId="0" fontId="45" fillId="0" borderId="15" xfId="0" applyFont="1" applyBorder="1"/>
    <xf numFmtId="0" fontId="46" fillId="0" borderId="0" xfId="0" applyFont="1" applyBorder="1"/>
    <xf numFmtId="2" fontId="13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0" fontId="46" fillId="0" borderId="0" xfId="0" applyFont="1"/>
    <xf numFmtId="2" fontId="10" fillId="0" borderId="0" xfId="0" applyNumberFormat="1" applyFont="1" applyAlignment="1">
      <alignment horizontal="center"/>
    </xf>
    <xf numFmtId="44" fontId="7" fillId="0" borderId="74" xfId="0" applyNumberFormat="1" applyFont="1" applyBorder="1"/>
    <xf numFmtId="44" fontId="5" fillId="0" borderId="75" xfId="2" applyFont="1" applyFill="1" applyBorder="1" applyAlignment="1"/>
    <xf numFmtId="44" fontId="5" fillId="6" borderId="25" xfId="2" applyFont="1" applyFill="1" applyBorder="1" applyAlignment="1"/>
    <xf numFmtId="0" fontId="7" fillId="0" borderId="10" xfId="0" applyFont="1" applyBorder="1" applyAlignment="1">
      <alignment horizontal="center"/>
    </xf>
    <xf numFmtId="44" fontId="12" fillId="0" borderId="10" xfId="2" applyNumberFormat="1" applyFont="1" applyBorder="1"/>
    <xf numFmtId="0" fontId="18" fillId="0" borderId="0" xfId="0" applyFont="1"/>
    <xf numFmtId="44" fontId="5" fillId="0" borderId="21" xfId="2" applyFont="1" applyFill="1" applyBorder="1" applyAlignment="1"/>
    <xf numFmtId="0" fontId="15" fillId="0" borderId="5" xfId="0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167" fontId="7" fillId="0" borderId="74" xfId="0" applyNumberFormat="1" applyFont="1" applyBorder="1"/>
    <xf numFmtId="44" fontId="10" fillId="0" borderId="3" xfId="2" applyFont="1" applyBorder="1" applyAlignment="1"/>
    <xf numFmtId="10" fontId="18" fillId="0" borderId="9" xfId="3" applyNumberFormat="1" applyFont="1" applyBorder="1" applyAlignment="1">
      <alignment vertical="center"/>
    </xf>
    <xf numFmtId="2" fontId="10" fillId="0" borderId="0" xfId="0" applyNumberFormat="1" applyFont="1" applyFill="1" applyAlignment="1">
      <alignment horizontal="center"/>
    </xf>
    <xf numFmtId="10" fontId="18" fillId="0" borderId="10" xfId="3" applyNumberFormat="1" applyFont="1" applyFill="1" applyBorder="1"/>
    <xf numFmtId="0" fontId="12" fillId="0" borderId="10" xfId="0" applyFont="1" applyFill="1" applyBorder="1"/>
    <xf numFmtId="44" fontId="12" fillId="0" borderId="10" xfId="2" applyNumberFormat="1" applyFont="1" applyFill="1" applyBorder="1"/>
    <xf numFmtId="44" fontId="7" fillId="0" borderId="12" xfId="0" applyNumberFormat="1" applyFont="1" applyFill="1" applyBorder="1"/>
    <xf numFmtId="0" fontId="8" fillId="0" borderId="5" xfId="0" applyFont="1" applyFill="1" applyBorder="1" applyAlignment="1">
      <alignment horizontal="center"/>
    </xf>
    <xf numFmtId="1" fontId="10" fillId="0" borderId="15" xfId="0" applyNumberFormat="1" applyFont="1" applyFill="1" applyBorder="1" applyAlignment="1">
      <alignment horizontal="center"/>
    </xf>
    <xf numFmtId="174" fontId="10" fillId="0" borderId="0" xfId="0" applyNumberFormat="1" applyFont="1" applyFill="1" applyAlignment="1">
      <alignment horizontal="center"/>
    </xf>
    <xf numFmtId="10" fontId="10" fillId="0" borderId="10" xfId="3" applyNumberFormat="1" applyFont="1" applyFill="1" applyBorder="1"/>
    <xf numFmtId="167" fontId="10" fillId="0" borderId="74" xfId="0" applyNumberFormat="1" applyFont="1" applyFill="1" applyBorder="1"/>
    <xf numFmtId="44" fontId="10" fillId="0" borderId="10" xfId="2" applyNumberFormat="1" applyFont="1" applyFill="1" applyBorder="1"/>
    <xf numFmtId="44" fontId="10" fillId="0" borderId="12" xfId="0" applyNumberFormat="1" applyFont="1" applyFill="1" applyBorder="1"/>
    <xf numFmtId="44" fontId="5" fillId="0" borderId="34" xfId="2" applyFont="1" applyFill="1" applyBorder="1"/>
    <xf numFmtId="10" fontId="10" fillId="0" borderId="9" xfId="3" applyNumberFormat="1" applyFont="1" applyFill="1" applyBorder="1" applyAlignment="1">
      <alignment vertical="center"/>
    </xf>
    <xf numFmtId="2" fontId="18" fillId="0" borderId="10" xfId="0" applyNumberFormat="1" applyFont="1" applyBorder="1" applyAlignment="1">
      <alignment horizontal="left"/>
    </xf>
    <xf numFmtId="0" fontId="43" fillId="0" borderId="0" xfId="0" applyFont="1"/>
    <xf numFmtId="44" fontId="5" fillId="0" borderId="34" xfId="2" applyFont="1" applyFill="1" applyBorder="1" applyAlignment="1"/>
    <xf numFmtId="43" fontId="7" fillId="0" borderId="0" xfId="0" applyNumberFormat="1" applyFont="1"/>
    <xf numFmtId="43" fontId="7" fillId="0" borderId="0" xfId="0" applyNumberFormat="1" applyFont="1" applyFill="1"/>
    <xf numFmtId="167" fontId="12" fillId="0" borderId="0" xfId="2" applyNumberFormat="1" applyFont="1" applyFill="1" applyBorder="1" applyAlignment="1">
      <alignment horizontal="left"/>
    </xf>
    <xf numFmtId="167" fontId="12" fillId="0" borderId="0" xfId="2" applyNumberFormat="1" applyFont="1" applyFill="1" applyBorder="1"/>
    <xf numFmtId="0" fontId="10" fillId="0" borderId="11" xfId="0" applyFont="1" applyFill="1" applyBorder="1" applyAlignment="1">
      <alignment horizontal="left"/>
    </xf>
    <xf numFmtId="2" fontId="48" fillId="0" borderId="10" xfId="0" applyNumberFormat="1" applyFont="1" applyFill="1" applyBorder="1" applyAlignment="1">
      <alignment horizontal="left" wrapText="1"/>
    </xf>
    <xf numFmtId="44" fontId="7" fillId="0" borderId="73" xfId="0" applyNumberFormat="1" applyFont="1" applyBorder="1"/>
    <xf numFmtId="168" fontId="10" fillId="0" borderId="17" xfId="0" applyNumberFormat="1" applyFont="1" applyBorder="1" applyAlignment="1"/>
    <xf numFmtId="44" fontId="5" fillId="0" borderId="55" xfId="2" applyFont="1" applyFill="1" applyBorder="1" applyAlignment="1"/>
    <xf numFmtId="9" fontId="7" fillId="0" borderId="7" xfId="0" applyNumberFormat="1" applyFont="1" applyBorder="1"/>
    <xf numFmtId="44" fontId="10" fillId="0" borderId="7" xfId="2" applyFont="1" applyBorder="1" applyAlignment="1"/>
    <xf numFmtId="44" fontId="10" fillId="0" borderId="9" xfId="2" applyFont="1" applyBorder="1" applyAlignment="1"/>
    <xf numFmtId="0" fontId="49" fillId="0" borderId="0" xfId="0" applyFont="1"/>
    <xf numFmtId="0" fontId="0" fillId="0" borderId="0" xfId="0" applyAlignment="1">
      <alignment horizontal="right"/>
    </xf>
    <xf numFmtId="0" fontId="19" fillId="0" borderId="0" xfId="0" quotePrefix="1" applyFont="1" applyAlignment="1"/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/>
    <xf numFmtId="3" fontId="5" fillId="0" borderId="5" xfId="0" applyNumberFormat="1" applyFont="1" applyFill="1" applyBorder="1"/>
    <xf numFmtId="4" fontId="10" fillId="0" borderId="21" xfId="0" applyNumberFormat="1" applyFont="1" applyFill="1" applyBorder="1"/>
    <xf numFmtId="4" fontId="10" fillId="0" borderId="47" xfId="0" applyNumberFormat="1" applyFont="1" applyFill="1" applyBorder="1"/>
    <xf numFmtId="4" fontId="10" fillId="0" borderId="51" xfId="0" applyNumberFormat="1" applyFont="1" applyFill="1" applyBorder="1"/>
    <xf numFmtId="4" fontId="10" fillId="0" borderId="57" xfId="0" applyNumberFormat="1" applyFont="1" applyFill="1" applyBorder="1"/>
    <xf numFmtId="4" fontId="10" fillId="0" borderId="52" xfId="0" applyNumberFormat="1" applyFont="1" applyFill="1" applyBorder="1"/>
    <xf numFmtId="42" fontId="5" fillId="0" borderId="69" xfId="0" applyNumberFormat="1" applyFont="1" applyFill="1" applyBorder="1"/>
    <xf numFmtId="4" fontId="5" fillId="0" borderId="15" xfId="0" applyNumberFormat="1" applyFont="1" applyFill="1" applyBorder="1"/>
    <xf numFmtId="44" fontId="10" fillId="0" borderId="76" xfId="0" applyNumberFormat="1" applyFont="1" applyFill="1" applyBorder="1"/>
    <xf numFmtId="44" fontId="10" fillId="0" borderId="73" xfId="0" applyNumberFormat="1" applyFont="1" applyFill="1" applyBorder="1"/>
    <xf numFmtId="0" fontId="8" fillId="0" borderId="28" xfId="0" applyFont="1" applyFill="1" applyBorder="1" applyAlignment="1">
      <alignment horizontal="right"/>
    </xf>
    <xf numFmtId="44" fontId="5" fillId="0" borderId="26" xfId="2" applyFont="1" applyFill="1" applyBorder="1" applyAlignment="1"/>
    <xf numFmtId="44" fontId="10" fillId="0" borderId="7" xfId="2" applyFont="1" applyFill="1" applyBorder="1" applyAlignment="1"/>
    <xf numFmtId="44" fontId="10" fillId="0" borderId="66" xfId="2" applyFont="1" applyFill="1" applyBorder="1" applyAlignment="1"/>
    <xf numFmtId="4" fontId="10" fillId="0" borderId="27" xfId="0" applyNumberFormat="1" applyFont="1" applyFill="1" applyBorder="1"/>
    <xf numFmtId="4" fontId="10" fillId="0" borderId="54" xfId="0" applyNumberFormat="1" applyFont="1" applyFill="1" applyBorder="1"/>
    <xf numFmtId="168" fontId="10" fillId="0" borderId="17" xfId="0" applyNumberFormat="1" applyFont="1" applyFill="1" applyBorder="1" applyAlignment="1"/>
    <xf numFmtId="44" fontId="10" fillId="0" borderId="55" xfId="2" applyFont="1" applyFill="1" applyBorder="1" applyAlignment="1"/>
    <xf numFmtId="44" fontId="10" fillId="0" borderId="62" xfId="2" applyFont="1" applyFill="1" applyBorder="1" applyAlignment="1"/>
    <xf numFmtId="44" fontId="10" fillId="0" borderId="9" xfId="2" applyFont="1" applyFill="1" applyBorder="1" applyAlignment="1"/>
    <xf numFmtId="4" fontId="10" fillId="0" borderId="69" xfId="0" applyNumberFormat="1" applyFont="1" applyFill="1" applyBorder="1"/>
    <xf numFmtId="4" fontId="10" fillId="0" borderId="15" xfId="0" applyNumberFormat="1" applyFont="1" applyFill="1" applyBorder="1"/>
    <xf numFmtId="4" fontId="10" fillId="0" borderId="56" xfId="0" applyNumberFormat="1" applyFont="1" applyFill="1" applyBorder="1"/>
    <xf numFmtId="44" fontId="10" fillId="0" borderId="56" xfId="2" applyFont="1" applyFill="1" applyBorder="1" applyAlignment="1"/>
    <xf numFmtId="44" fontId="10" fillId="0" borderId="47" xfId="2" applyFont="1" applyFill="1" applyBorder="1" applyAlignment="1"/>
    <xf numFmtId="3" fontId="5" fillId="0" borderId="67" xfId="0" applyNumberFormat="1" applyFont="1" applyFill="1" applyBorder="1"/>
    <xf numFmtId="0" fontId="5" fillId="0" borderId="53" xfId="0" applyFont="1" applyFill="1" applyBorder="1" applyAlignment="1">
      <alignment horizontal="center"/>
    </xf>
    <xf numFmtId="42" fontId="5" fillId="0" borderId="0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44" fontId="10" fillId="0" borderId="28" xfId="2" applyFont="1" applyFill="1" applyBorder="1"/>
    <xf numFmtId="44" fontId="10" fillId="3" borderId="77" xfId="2" applyFont="1" applyFill="1" applyBorder="1"/>
    <xf numFmtId="9" fontId="10" fillId="0" borderId="7" xfId="0" applyNumberFormat="1" applyFont="1" applyFill="1" applyBorder="1"/>
    <xf numFmtId="10" fontId="10" fillId="0" borderId="9" xfId="3" applyNumberFormat="1" applyFont="1" applyBorder="1" applyAlignment="1">
      <alignment vertical="center"/>
    </xf>
    <xf numFmtId="10" fontId="10" fillId="0" borderId="0" xfId="3" applyNumberFormat="1" applyFont="1" applyBorder="1" applyAlignment="1">
      <alignment vertical="center"/>
    </xf>
    <xf numFmtId="44" fontId="10" fillId="0" borderId="53" xfId="2" applyFont="1" applyFill="1" applyBorder="1"/>
    <xf numFmtId="0" fontId="10" fillId="0" borderId="0" xfId="0" applyFont="1" applyAlignment="1">
      <alignment horizontal="center"/>
    </xf>
    <xf numFmtId="0" fontId="10" fillId="0" borderId="57" xfId="0" applyFont="1" applyBorder="1" applyAlignment="1">
      <alignment horizontal="center"/>
    </xf>
    <xf numFmtId="0" fontId="50" fillId="0" borderId="0" xfId="0" applyFont="1"/>
    <xf numFmtId="167" fontId="10" fillId="0" borderId="76" xfId="0" applyNumberFormat="1" applyFont="1" applyBorder="1"/>
    <xf numFmtId="44" fontId="5" fillId="0" borderId="0" xfId="2" applyFont="1" applyFill="1" applyBorder="1"/>
    <xf numFmtId="44" fontId="5" fillId="6" borderId="25" xfId="2" applyFont="1" applyFill="1" applyBorder="1"/>
    <xf numFmtId="0" fontId="5" fillId="0" borderId="0" xfId="0" applyFont="1" applyFill="1" applyBorder="1" applyAlignment="1">
      <alignment horizontal="center" vertical="center" wrapText="1"/>
    </xf>
    <xf numFmtId="44" fontId="5" fillId="6" borderId="34" xfId="2" applyFont="1" applyFill="1" applyBorder="1" applyAlignment="1">
      <alignment horizontal="center"/>
    </xf>
    <xf numFmtId="44" fontId="5" fillId="6" borderId="36" xfId="2" applyFont="1" applyFill="1" applyBorder="1" applyAlignment="1">
      <alignment horizontal="center"/>
    </xf>
    <xf numFmtId="5" fontId="5" fillId="6" borderId="35" xfId="2" applyNumberFormat="1" applyFont="1" applyFill="1" applyBorder="1" applyAlignment="1">
      <alignment horizontal="center"/>
    </xf>
    <xf numFmtId="5" fontId="5" fillId="0" borderId="0" xfId="2" applyNumberFormat="1" applyFont="1" applyFill="1" applyBorder="1" applyAlignment="1">
      <alignment horizontal="center"/>
    </xf>
    <xf numFmtId="0" fontId="17" fillId="0" borderId="51" xfId="0" applyFont="1" applyFill="1" applyBorder="1" applyAlignment="1"/>
    <xf numFmtId="10" fontId="10" fillId="0" borderId="7" xfId="0" applyNumberFormat="1" applyFont="1" applyFill="1" applyBorder="1"/>
    <xf numFmtId="167" fontId="10" fillId="0" borderId="7" xfId="2" applyNumberFormat="1" applyFont="1" applyFill="1" applyBorder="1"/>
    <xf numFmtId="167" fontId="10" fillId="0" borderId="9" xfId="2" applyNumberFormat="1" applyFont="1" applyFill="1" applyBorder="1"/>
    <xf numFmtId="42" fontId="10" fillId="0" borderId="8" xfId="0" applyNumberFormat="1" applyFont="1" applyFill="1" applyBorder="1"/>
    <xf numFmtId="7" fontId="5" fillId="0" borderId="0" xfId="2" applyNumberFormat="1" applyFont="1" applyFill="1" applyBorder="1" applyAlignment="1">
      <alignment horizontal="center"/>
    </xf>
    <xf numFmtId="7" fontId="10" fillId="0" borderId="0" xfId="0" applyNumberFormat="1" applyFont="1" applyFill="1" applyBorder="1"/>
    <xf numFmtId="0" fontId="8" fillId="0" borderId="6" xfId="0" applyFont="1" applyFill="1" applyBorder="1" applyAlignment="1">
      <alignment horizontal="center"/>
    </xf>
    <xf numFmtId="0" fontId="42" fillId="0" borderId="0" xfId="0" applyNumberFormat="1" applyFont="1" applyFill="1" applyBorder="1"/>
    <xf numFmtId="44" fontId="5" fillId="0" borderId="34" xfId="2" applyFont="1" applyFill="1" applyBorder="1" applyAlignment="1">
      <alignment horizontal="center"/>
    </xf>
    <xf numFmtId="7" fontId="5" fillId="0" borderId="35" xfId="2" applyNumberFormat="1" applyFont="1" applyFill="1" applyBorder="1" applyAlignment="1">
      <alignment horizontal="center"/>
    </xf>
    <xf numFmtId="5" fontId="5" fillId="0" borderId="35" xfId="2" applyNumberFormat="1" applyFont="1" applyFill="1" applyBorder="1" applyAlignment="1">
      <alignment horizontal="center"/>
    </xf>
    <xf numFmtId="0" fontId="52" fillId="0" borderId="0" xfId="0" applyFont="1" applyBorder="1"/>
    <xf numFmtId="0" fontId="52" fillId="0" borderId="0" xfId="0" applyFont="1"/>
    <xf numFmtId="0" fontId="52" fillId="0" borderId="0" xfId="0" applyFont="1" applyFill="1" applyBorder="1" applyAlignment="1">
      <alignment horizontal="center"/>
    </xf>
    <xf numFmtId="44" fontId="52" fillId="0" borderId="0" xfId="2" applyNumberFormat="1" applyFont="1" applyFill="1" applyBorder="1" applyAlignment="1">
      <alignment horizontal="center"/>
    </xf>
    <xf numFmtId="44" fontId="52" fillId="0" borderId="0" xfId="0" applyNumberFormat="1" applyFont="1" applyFill="1" applyBorder="1" applyAlignment="1">
      <alignment horizontal="center"/>
    </xf>
    <xf numFmtId="0" fontId="52" fillId="0" borderId="0" xfId="0" applyFont="1" applyFill="1" applyBorder="1"/>
    <xf numFmtId="0" fontId="54" fillId="0" borderId="0" xfId="0" applyFont="1" applyFill="1" applyBorder="1" applyAlignment="1">
      <alignment horizontal="right"/>
    </xf>
    <xf numFmtId="0" fontId="53" fillId="0" borderId="0" xfId="0" applyFont="1" applyFill="1" applyBorder="1" applyAlignment="1">
      <alignment horizontal="center"/>
    </xf>
    <xf numFmtId="8" fontId="52" fillId="0" borderId="0" xfId="0" applyNumberFormat="1" applyFont="1" applyFill="1" applyBorder="1"/>
    <xf numFmtId="0" fontId="53" fillId="0" borderId="0" xfId="0" applyFont="1" applyBorder="1"/>
    <xf numFmtId="0" fontId="54" fillId="0" borderId="0" xfId="0" applyFont="1" applyBorder="1"/>
    <xf numFmtId="0" fontId="52" fillId="0" borderId="0" xfId="0" applyFont="1" applyBorder="1" applyAlignment="1">
      <alignment horizontal="center"/>
    </xf>
    <xf numFmtId="0" fontId="54" fillId="0" borderId="0" xfId="0" applyFont="1" applyBorder="1" applyAlignment="1">
      <alignment horizontal="right"/>
    </xf>
    <xf numFmtId="0" fontId="54" fillId="0" borderId="0" xfId="0" applyFont="1" applyFill="1" applyBorder="1"/>
    <xf numFmtId="10" fontId="10" fillId="0" borderId="10" xfId="0" applyNumberFormat="1" applyFont="1" applyFill="1" applyBorder="1"/>
    <xf numFmtId="10" fontId="10" fillId="0" borderId="9" xfId="3" applyNumberFormat="1" applyFont="1" applyFill="1" applyBorder="1"/>
    <xf numFmtId="0" fontId="15" fillId="0" borderId="15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/>
    <xf numFmtId="44" fontId="7" fillId="0" borderId="10" xfId="0" applyNumberFormat="1" applyFont="1" applyFill="1" applyBorder="1"/>
    <xf numFmtId="44" fontId="18" fillId="0" borderId="10" xfId="0" applyNumberFormat="1" applyFont="1" applyFill="1" applyBorder="1"/>
    <xf numFmtId="44" fontId="18" fillId="0" borderId="10" xfId="2" applyNumberFormat="1" applyFont="1" applyFill="1" applyBorder="1"/>
    <xf numFmtId="10" fontId="13" fillId="0" borderId="7" xfId="3" applyNumberFormat="1" applyFont="1" applyFill="1" applyBorder="1"/>
    <xf numFmtId="0" fontId="12" fillId="0" borderId="0" xfId="0" applyFont="1" applyFill="1" applyBorder="1"/>
    <xf numFmtId="0" fontId="7" fillId="0" borderId="0" xfId="0" applyFont="1" applyFill="1" applyBorder="1" applyAlignment="1">
      <alignment horizontal="center"/>
    </xf>
    <xf numFmtId="167" fontId="12" fillId="0" borderId="0" xfId="2" applyNumberFormat="1" applyFont="1" applyFill="1" applyBorder="1" applyAlignment="1">
      <alignment horizontal="center" wrapText="1"/>
    </xf>
    <xf numFmtId="0" fontId="51" fillId="0" borderId="10" xfId="0" applyNumberFormat="1" applyFont="1" applyFill="1" applyBorder="1"/>
    <xf numFmtId="44" fontId="10" fillId="0" borderId="0" xfId="3" applyNumberFormat="1" applyFont="1" applyFill="1" applyBorder="1"/>
    <xf numFmtId="0" fontId="53" fillId="0" borderId="0" xfId="0" applyFont="1"/>
    <xf numFmtId="0" fontId="55" fillId="0" borderId="0" xfId="0" applyFont="1"/>
    <xf numFmtId="44" fontId="52" fillId="0" borderId="0" xfId="2" applyFont="1"/>
    <xf numFmtId="171" fontId="0" fillId="0" borderId="34" xfId="0" applyNumberFormat="1" applyBorder="1" applyAlignment="1">
      <alignment horizontal="right" vertical="center"/>
    </xf>
    <xf numFmtId="171" fontId="0" fillId="0" borderId="35" xfId="0" applyNumberFormat="1" applyBorder="1" applyAlignment="1">
      <alignment horizontal="right" vertical="center"/>
    </xf>
    <xf numFmtId="0" fontId="24" fillId="0" borderId="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6" xfId="0" applyFont="1" applyBorder="1" applyAlignment="1">
      <alignment vertical="top" wrapText="1"/>
    </xf>
    <xf numFmtId="0" fontId="24" fillId="0" borderId="7" xfId="0" applyFont="1" applyBorder="1" applyAlignment="1">
      <alignment vertical="top" wrapText="1"/>
    </xf>
    <xf numFmtId="164" fontId="5" fillId="0" borderId="7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5" fillId="31" borderId="13" xfId="0" applyFont="1" applyFill="1" applyBorder="1" applyAlignment="1">
      <alignment horizontal="center" vertical="center" wrapText="1"/>
    </xf>
    <xf numFmtId="0" fontId="5" fillId="31" borderId="6" xfId="0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0" fontId="5" fillId="31" borderId="7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 wrapText="1"/>
    </xf>
    <xf numFmtId="0" fontId="5" fillId="3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7" borderId="6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 wrapText="1"/>
    </xf>
    <xf numFmtId="0" fontId="5" fillId="7" borderId="7" xfId="0" applyFont="1" applyFill="1" applyBorder="1" applyAlignment="1">
      <alignment horizontal="center" wrapText="1"/>
    </xf>
    <xf numFmtId="0" fontId="5" fillId="30" borderId="13" xfId="0" applyFont="1" applyFill="1" applyBorder="1" applyAlignment="1">
      <alignment horizontal="center" wrapText="1"/>
    </xf>
    <xf numFmtId="0" fontId="5" fillId="30" borderId="6" xfId="0" applyFont="1" applyFill="1" applyBorder="1" applyAlignment="1">
      <alignment horizontal="center"/>
    </xf>
    <xf numFmtId="0" fontId="5" fillId="30" borderId="5" xfId="0" applyFont="1" applyFill="1" applyBorder="1" applyAlignment="1">
      <alignment horizontal="center"/>
    </xf>
    <xf numFmtId="0" fontId="5" fillId="30" borderId="8" xfId="0" applyFont="1" applyFill="1" applyBorder="1" applyAlignment="1">
      <alignment horizontal="center"/>
    </xf>
    <xf numFmtId="0" fontId="5" fillId="30" borderId="7" xfId="0" applyFont="1" applyFill="1" applyBorder="1" applyAlignment="1">
      <alignment horizontal="center"/>
    </xf>
    <xf numFmtId="0" fontId="5" fillId="3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5" fillId="30" borderId="13" xfId="0" applyFont="1" applyFill="1" applyBorder="1" applyAlignment="1">
      <alignment horizontal="center" vertical="center" wrapText="1"/>
    </xf>
    <xf numFmtId="0" fontId="5" fillId="30" borderId="6" xfId="0" applyFont="1" applyFill="1" applyBorder="1" applyAlignment="1">
      <alignment horizontal="center" vertical="center"/>
    </xf>
    <xf numFmtId="0" fontId="5" fillId="30" borderId="5" xfId="0" applyFont="1" applyFill="1" applyBorder="1" applyAlignment="1">
      <alignment horizontal="center" vertical="center"/>
    </xf>
    <xf numFmtId="0" fontId="5" fillId="30" borderId="8" xfId="0" applyFont="1" applyFill="1" applyBorder="1" applyAlignment="1">
      <alignment horizontal="center" vertical="center"/>
    </xf>
    <xf numFmtId="0" fontId="5" fillId="30" borderId="7" xfId="0" applyFont="1" applyFill="1" applyBorder="1" applyAlignment="1">
      <alignment horizontal="center" vertical="center"/>
    </xf>
    <xf numFmtId="0" fontId="5" fillId="30" borderId="9" xfId="0" applyFont="1" applyFill="1" applyBorder="1" applyAlignment="1">
      <alignment horizontal="center" vertical="center"/>
    </xf>
    <xf numFmtId="0" fontId="5" fillId="30" borderId="6" xfId="0" applyFont="1" applyFill="1" applyBorder="1" applyAlignment="1">
      <alignment horizontal="center" vertical="center" wrapText="1"/>
    </xf>
    <xf numFmtId="0" fontId="5" fillId="30" borderId="5" xfId="0" applyFont="1" applyFill="1" applyBorder="1" applyAlignment="1">
      <alignment horizontal="center" vertical="center" wrapText="1"/>
    </xf>
    <xf numFmtId="0" fontId="5" fillId="30" borderId="8" xfId="0" applyFont="1" applyFill="1" applyBorder="1" applyAlignment="1">
      <alignment horizontal="center" vertical="center" wrapText="1"/>
    </xf>
    <xf numFmtId="0" fontId="5" fillId="30" borderId="7" xfId="0" applyFont="1" applyFill="1" applyBorder="1" applyAlignment="1">
      <alignment horizontal="center" vertical="center" wrapText="1"/>
    </xf>
    <xf numFmtId="0" fontId="5" fillId="30" borderId="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wrapText="1"/>
    </xf>
    <xf numFmtId="0" fontId="5" fillId="0" borderId="66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0" fontId="5" fillId="5" borderId="47" xfId="0" applyFont="1" applyFill="1" applyBorder="1" applyAlignment="1">
      <alignment horizontal="center" wrapText="1"/>
    </xf>
    <xf numFmtId="0" fontId="5" fillId="5" borderId="21" xfId="0" applyFont="1" applyFill="1" applyBorder="1" applyAlignment="1">
      <alignment horizontal="center" wrapText="1"/>
    </xf>
    <xf numFmtId="0" fontId="5" fillId="5" borderId="26" xfId="0" applyFont="1" applyFill="1" applyBorder="1" applyAlignment="1">
      <alignment horizontal="center" wrapText="1"/>
    </xf>
    <xf numFmtId="0" fontId="5" fillId="5" borderId="70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66" xfId="0" applyFont="1" applyFill="1" applyBorder="1" applyAlignment="1">
      <alignment horizontal="center" wrapText="1"/>
    </xf>
    <xf numFmtId="0" fontId="5" fillId="32" borderId="51" xfId="0" applyFont="1" applyFill="1" applyBorder="1" applyAlignment="1">
      <alignment horizontal="center" wrapText="1"/>
    </xf>
    <xf numFmtId="0" fontId="5" fillId="32" borderId="0" xfId="0" applyFont="1" applyFill="1" applyBorder="1" applyAlignment="1">
      <alignment horizontal="center" wrapText="1"/>
    </xf>
    <xf numFmtId="0" fontId="5" fillId="32" borderId="70" xfId="0" applyFont="1" applyFill="1" applyBorder="1" applyAlignment="1">
      <alignment horizontal="center" wrapText="1"/>
    </xf>
    <xf numFmtId="0" fontId="5" fillId="32" borderId="7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wrapText="1"/>
    </xf>
    <xf numFmtId="0" fontId="5" fillId="30" borderId="5" xfId="0" applyFont="1" applyFill="1" applyBorder="1" applyAlignment="1">
      <alignment horizontal="center" wrapText="1"/>
    </xf>
  </cellXfs>
  <cellStyles count="94">
    <cellStyle name="20% - Accent1 2" xfId="29"/>
    <cellStyle name="20% - Accent2 2" xfId="30"/>
    <cellStyle name="20% - Accent3 2" xfId="31"/>
    <cellStyle name="20% - Accent4 2" xfId="32"/>
    <cellStyle name="20% - Accent5 2" xfId="33"/>
    <cellStyle name="20% - Accent6 2" xfId="34"/>
    <cellStyle name="40% - Accent1 2" xfId="35"/>
    <cellStyle name="40% - Accent2 2" xfId="36"/>
    <cellStyle name="40% - Accent3 2" xfId="37"/>
    <cellStyle name="40% - Accent4 2" xfId="38"/>
    <cellStyle name="40% - Accent5 2" xfId="39"/>
    <cellStyle name="40% - Accent6 2" xfId="40"/>
    <cellStyle name="60% - Accent1 2" xfId="41"/>
    <cellStyle name="60% - Accent2 2" xfId="42"/>
    <cellStyle name="60% - Accent3 2" xfId="43"/>
    <cellStyle name="60% - Accent4 2" xfId="44"/>
    <cellStyle name="60% - Accent5 2" xfId="45"/>
    <cellStyle name="60% - Accent6 2" xfId="46"/>
    <cellStyle name="Accent1 2" xfId="47"/>
    <cellStyle name="Accent2 2" xfId="48"/>
    <cellStyle name="Accent3 2" xfId="49"/>
    <cellStyle name="Accent4 2" xfId="50"/>
    <cellStyle name="Accent5 2" xfId="51"/>
    <cellStyle name="Accent6 2" xfId="52"/>
    <cellStyle name="Bad 2" xfId="53"/>
    <cellStyle name="Calculation 2" xfId="54"/>
    <cellStyle name="Check Cell 2" xfId="55"/>
    <cellStyle name="Comma" xfId="1" builtinId="3"/>
    <cellStyle name="Comma 2" xfId="56"/>
    <cellStyle name="Comma 3" xfId="57"/>
    <cellStyle name="Comma 3 2" xfId="58"/>
    <cellStyle name="Comma 4" xfId="59"/>
    <cellStyle name="Comma 5" xfId="60"/>
    <cellStyle name="Comma 6" xfId="61"/>
    <cellStyle name="Comma 9" xfId="4"/>
    <cellStyle name="Currency" xfId="2" builtinId="4"/>
    <cellStyle name="Currency 2" xfId="5"/>
    <cellStyle name="Currency 2 2" xfId="62"/>
    <cellStyle name="Currency 3" xfId="6"/>
    <cellStyle name="Currency 3 2" xfId="63"/>
    <cellStyle name="Currency 3 3" xfId="64"/>
    <cellStyle name="Currency 4" xfId="7"/>
    <cellStyle name="Currency 4 2" xfId="65"/>
    <cellStyle name="Currency 5" xfId="8"/>
    <cellStyle name="Currency 5 2" xfId="66"/>
    <cellStyle name="Currency 5 3 3" xfId="9"/>
    <cellStyle name="Currency 7" xfId="67"/>
    <cellStyle name="Explanatory Text 2" xfId="68"/>
    <cellStyle name="Good 2" xfId="69"/>
    <cellStyle name="Heading 1 2" xfId="70"/>
    <cellStyle name="Heading 2 2" xfId="71"/>
    <cellStyle name="Heading 3 2" xfId="72"/>
    <cellStyle name="Heading 4 2" xfId="73"/>
    <cellStyle name="Input 2" xfId="74"/>
    <cellStyle name="Linked Cell 2" xfId="75"/>
    <cellStyle name="Neutral 2" xfId="76"/>
    <cellStyle name="Normal" xfId="0" builtinId="0"/>
    <cellStyle name="Normal 12" xfId="77"/>
    <cellStyle name="Normal 17" xfId="78"/>
    <cellStyle name="Normal 2" xfId="10"/>
    <cellStyle name="Normal 2 2" xfId="11"/>
    <cellStyle name="Normal 2 2 2" xfId="79"/>
    <cellStyle name="Normal 2 3" xfId="12"/>
    <cellStyle name="Normal 2 4" xfId="13"/>
    <cellStyle name="Normal 3" xfId="14"/>
    <cellStyle name="Normal 3 2" xfId="80"/>
    <cellStyle name="Normal 3 3" xfId="81"/>
    <cellStyle name="Normal 3 9" xfId="82"/>
    <cellStyle name="Normal 4" xfId="15"/>
    <cellStyle name="Normal 4 2" xfId="16"/>
    <cellStyle name="Normal 4 2 2" xfId="17"/>
    <cellStyle name="Normal 5" xfId="18"/>
    <cellStyle name="Normal 5 2" xfId="19"/>
    <cellStyle name="Normal 6" xfId="20"/>
    <cellStyle name="Normal 6 2" xfId="83"/>
    <cellStyle name="Normal 6 2 2" xfId="84"/>
    <cellStyle name="Normal 6 3" xfId="85"/>
    <cellStyle name="Normal 9 2" xfId="21"/>
    <cellStyle name="Note 2" xfId="22"/>
    <cellStyle name="Note 2 2" xfId="86"/>
    <cellStyle name="Output 2" xfId="87"/>
    <cellStyle name="Percent" xfId="3" builtinId="5"/>
    <cellStyle name="Percent 2" xfId="23"/>
    <cellStyle name="Percent 2 2" xfId="24"/>
    <cellStyle name="Percent 3" xfId="25"/>
    <cellStyle name="Percent 4" xfId="26"/>
    <cellStyle name="Percent 4 2" xfId="88"/>
    <cellStyle name="Percent 5" xfId="27"/>
    <cellStyle name="Percent 5 2" xfId="28"/>
    <cellStyle name="Percent 6" xfId="89"/>
    <cellStyle name="Title 2" xfId="90"/>
    <cellStyle name="Title 2 2" xfId="91"/>
    <cellStyle name="Total 2" xfId="92"/>
    <cellStyle name="Warning Text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8965</xdr:colOff>
      <xdr:row>6</xdr:row>
      <xdr:rowOff>170329</xdr:rowOff>
    </xdr:from>
    <xdr:ext cx="184731" cy="264560"/>
    <xdr:sp macro="" textlink="">
      <xdr:nvSpPr>
        <xdr:cNvPr id="2" name="TextBox 1"/>
        <xdr:cNvSpPr txBox="1"/>
      </xdr:nvSpPr>
      <xdr:spPr>
        <a:xfrm>
          <a:off x="12231445" y="1191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POS\Year%203%20Projects\Youth%20Intermediate%20Term%20Stabilization\DCF%20DMH%20joint%20procurement\Rate%20Development\All%20Rates%20through%20FY14\Analysis%20-%20DCF%20follow%20along%20FY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POS\Year%203%20Projects\Youth%20Intermediate%20Term%20Stabilization\DCF%20DMH%20joint%20procurement\Rate%20Development\All%20Rates%20through%20FY14\Analysis%20-%20Outliers%20FY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Services-POS%20Policy%20Office/Admin%20&amp;%20Staff/Kara/Workforce%20Initiatives/3.%20Benchmark%20Analysis%2010.18.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aring%20Together%2011.26.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POS\Year%203%20Projects\Youth%20Intermediate%20Term%20Stabilization\DCF%20DMH%20joint%20procurement\Rate%20Development\All%20Rates%20through%20FY14\Analysis%20-%20CIRT%20FY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POS\Year%203%20Projects\Youth%20Intermediate%20Term%20Stabilization\DCF%20DMH%20joint%20procurement\Rate%20Development\All%20Rates%20through%20FY14\Analysis%20-%20Teen%20FY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POS\Year%203%20Projects\Youth%20Intermediate%20Term%20Stabilization\DCF%20DMH%20joint%20procurement\Rate%20Development\All%20Rates%20through%20FY14\Analysis%20-%20Group%20Home%20FY14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POS\Year%203%20Projects\Youth%20Intermediate%20Term%20Stabilization\DCF%20DMH%20joint%20procurement\Rate%20Development\Nutrition%20revenue_updated_01_11_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POS\Year%203%20Projects\Youth%20Intermediate%20Term%20Stabilization\DCF%20DMH%20joint%20procurement\Rate%20Development\All%20Rates%20through%20FY14\Analysis%20-%20STARR%20FY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POS\Year%203%20Projects\Youth%20Intermediate%20Term%20Stabilization\DCF%20DMH%20joint%20procurement\Rate%20Development\All%20Rates%20through%20FY14\Analysis%20-%20DMH%20continuum%20FY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 v4"/>
      <sheetName val="Rates v3"/>
      <sheetName val="Rates v2"/>
      <sheetName val="Rate Options"/>
      <sheetName val="Avg Expenses"/>
      <sheetName val="Avg Salaries"/>
      <sheetName val="Per Unit Expenses"/>
      <sheetName val="Per Unit FTE, Sal"/>
      <sheetName val="Rates from data"/>
      <sheetName val="Rate Comparisons"/>
      <sheetName val="Cap sensitivity"/>
    </sheetNames>
    <sheetDataSet>
      <sheetData sheetId="0" refreshError="1">
        <row r="31">
          <cell r="D31">
            <v>8.65</v>
          </cell>
        </row>
        <row r="42">
          <cell r="C42">
            <v>3</v>
          </cell>
          <cell r="G42">
            <v>6</v>
          </cell>
        </row>
        <row r="43">
          <cell r="C43">
            <v>0.25</v>
          </cell>
          <cell r="G43">
            <v>0.25</v>
          </cell>
        </row>
        <row r="45">
          <cell r="C45">
            <v>0.25</v>
          </cell>
        </row>
        <row r="47">
          <cell r="G47">
            <v>0.6</v>
          </cell>
        </row>
        <row r="48">
          <cell r="C48">
            <v>0.25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s"/>
      <sheetName val="UFR data"/>
      <sheetName val="nursing add-on"/>
      <sheetName val="Community Care"/>
      <sheetName val="Farr"/>
      <sheetName val="HLW"/>
      <sheetName val="Seven Hills"/>
      <sheetName val="Sullivan"/>
      <sheetName val="Sunshine Haven"/>
      <sheetName val="TAY"/>
      <sheetName val="MedIntense"/>
    </sheetNames>
    <sheetDataSet>
      <sheetData sheetId="0" refreshError="1"/>
      <sheetData sheetId="1" refreshError="1"/>
      <sheetData sheetId="2" refreshError="1"/>
      <sheetData sheetId="3" refreshError="1">
        <row r="18">
          <cell r="J18">
            <v>12</v>
          </cell>
        </row>
        <row r="21">
          <cell r="J21">
            <v>1</v>
          </cell>
        </row>
        <row r="22">
          <cell r="J22">
            <v>1.5</v>
          </cell>
        </row>
      </sheetData>
      <sheetData sheetId="4" refreshError="1">
        <row r="14">
          <cell r="J14">
            <v>45651.333333333336</v>
          </cell>
        </row>
        <row r="21">
          <cell r="J21">
            <v>1</v>
          </cell>
        </row>
        <row r="22">
          <cell r="J22">
            <v>1.5</v>
          </cell>
        </row>
      </sheetData>
      <sheetData sheetId="5" refreshError="1"/>
      <sheetData sheetId="6" refreshError="1">
        <row r="15">
          <cell r="J15">
            <v>52083.333333333336</v>
          </cell>
        </row>
        <row r="23">
          <cell r="J23">
            <v>6</v>
          </cell>
        </row>
        <row r="25">
          <cell r="J25">
            <v>1.4299999999999997</v>
          </cell>
        </row>
        <row r="27">
          <cell r="J27">
            <v>0.13</v>
          </cell>
        </row>
        <row r="28">
          <cell r="J28">
            <v>0.12</v>
          </cell>
        </row>
        <row r="30">
          <cell r="J30">
            <v>1.2</v>
          </cell>
        </row>
      </sheetData>
      <sheetData sheetId="7" refreshError="1">
        <row r="22">
          <cell r="J22">
            <v>1</v>
          </cell>
        </row>
        <row r="26">
          <cell r="J26">
            <v>6.6666666666666666E-2</v>
          </cell>
        </row>
        <row r="27">
          <cell r="J27">
            <v>7.0000000000000001E-3</v>
          </cell>
        </row>
      </sheetData>
      <sheetData sheetId="8" refreshError="1">
        <row r="15">
          <cell r="J15">
            <v>48830</v>
          </cell>
        </row>
        <row r="25">
          <cell r="J25">
            <v>9</v>
          </cell>
        </row>
        <row r="27">
          <cell r="J27">
            <v>1</v>
          </cell>
        </row>
        <row r="29">
          <cell r="J29">
            <v>1</v>
          </cell>
        </row>
        <row r="30">
          <cell r="J30">
            <v>1</v>
          </cell>
        </row>
        <row r="32">
          <cell r="J32">
            <v>0.75</v>
          </cell>
        </row>
        <row r="36">
          <cell r="J36">
            <v>0.5</v>
          </cell>
        </row>
      </sheetData>
      <sheetData sheetId="9" refreshError="1">
        <row r="28">
          <cell r="J28">
            <v>20</v>
          </cell>
          <cell r="K28">
            <v>11</v>
          </cell>
        </row>
        <row r="30">
          <cell r="J30">
            <v>1</v>
          </cell>
          <cell r="K30">
            <v>1.75</v>
          </cell>
        </row>
        <row r="32">
          <cell r="J32">
            <v>0.05</v>
          </cell>
          <cell r="K32">
            <v>0.05</v>
          </cell>
        </row>
        <row r="33">
          <cell r="J33">
            <v>0.1</v>
          </cell>
          <cell r="K33">
            <v>0.25</v>
          </cell>
        </row>
        <row r="34">
          <cell r="K34">
            <v>0.5</v>
          </cell>
        </row>
        <row r="35">
          <cell r="J35">
            <v>1</v>
          </cell>
          <cell r="K35">
            <v>1</v>
          </cell>
        </row>
        <row r="37">
          <cell r="J37">
            <v>1</v>
          </cell>
          <cell r="K37">
            <v>1</v>
          </cell>
        </row>
        <row r="38">
          <cell r="K38">
            <v>1</v>
          </cell>
        </row>
        <row r="39">
          <cell r="J39">
            <v>12</v>
          </cell>
          <cell r="K39">
            <v>13</v>
          </cell>
        </row>
        <row r="42">
          <cell r="J42">
            <v>0.25</v>
          </cell>
          <cell r="K42">
            <v>0.25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C I &amp; II"/>
      <sheetName val="DC II ks"/>
      <sheetName val="DC III "/>
      <sheetName val="CNA"/>
      <sheetName val="Caseworker BA"/>
      <sheetName val="Casemanager MA "/>
      <sheetName val="Clinician w indep Lic"/>
      <sheetName val="Clinical Manager"/>
      <sheetName val="LPN"/>
      <sheetName val="BS RN"/>
      <sheetName val="MS RN. APRN"/>
    </sheetNames>
    <sheetDataSet>
      <sheetData sheetId="0"/>
      <sheetData sheetId="1">
        <row r="12">
          <cell r="J12">
            <v>16.796506410256413</v>
          </cell>
        </row>
      </sheetData>
      <sheetData sheetId="2" refreshError="1"/>
      <sheetData sheetId="3">
        <row r="11">
          <cell r="J11">
            <v>20.893115384615385</v>
          </cell>
        </row>
      </sheetData>
      <sheetData sheetId="4">
        <row r="13">
          <cell r="L13">
            <v>16.170000000000002</v>
          </cell>
        </row>
      </sheetData>
      <sheetData sheetId="5">
        <row r="9">
          <cell r="J9">
            <v>22.073999999999998</v>
          </cell>
          <cell r="L9">
            <v>21.14</v>
          </cell>
        </row>
      </sheetData>
      <sheetData sheetId="6">
        <row r="13">
          <cell r="J13">
            <v>26.866666666666664</v>
          </cell>
        </row>
      </sheetData>
      <sheetData sheetId="7">
        <row r="13">
          <cell r="O13">
            <v>30.101111111111109</v>
          </cell>
        </row>
      </sheetData>
      <sheetData sheetId="8">
        <row r="6">
          <cell r="I6">
            <v>42.94</v>
          </cell>
        </row>
      </sheetData>
      <sheetData sheetId="9">
        <row r="6">
          <cell r="H6">
            <v>28.36</v>
          </cell>
        </row>
      </sheetData>
      <sheetData sheetId="10">
        <row r="16">
          <cell r="K16">
            <v>44.3</v>
          </cell>
        </row>
      </sheetData>
      <sheetData sheetId="11">
        <row r="15">
          <cell r="K15">
            <v>59.01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d Unit Summary after P.H"/>
      <sheetName val="CAF Spring 2015"/>
      <sheetName val="DCF Fiscal Impact"/>
      <sheetName val="DMH Fiscal Impact"/>
      <sheetName val="Rate summary - 2016 PH"/>
      <sheetName val="IRTP"/>
      <sheetName val="Master Data "/>
      <sheetName val="Chart"/>
      <sheetName val=" Fiscal Impact 11.8.17"/>
      <sheetName val="Consolidated Changes "/>
      <sheetName val=" Fiscal Impact "/>
      <sheetName val="DC Program Add-on"/>
      <sheetName val="IRTP (updtd post ph)"/>
      <sheetName val="STARR"/>
      <sheetName val="STARR (rebased)"/>
      <sheetName val="CIRT"/>
      <sheetName val="CIRT (rebased)"/>
      <sheetName val="Group Home"/>
      <sheetName val="Teen Parent"/>
      <sheetName val="Group Home (rebased)"/>
      <sheetName val="Teen Parent (rebased)"/>
      <sheetName val="TLP E-bed add-on (rebased)"/>
      <sheetName val="Continuum"/>
      <sheetName val="Continuum (rebased)"/>
      <sheetName val="FA - SO (rebased)"/>
      <sheetName val="SpecPgm-TAY(rebased)"/>
      <sheetName val="Intensive GH with exp. Nursing"/>
      <sheetName val="SpecPgm-1t1 SL (rebased)"/>
      <sheetName val="SpecPgm-1t2 GH (rebased)"/>
      <sheetName val="Inten GH w exp. Nurs (rebased)"/>
      <sheetName val="SpecPgm-Med.Com N.GH"/>
      <sheetName val="SpecPgm-Med.Com N.GH (rebased)"/>
      <sheetName val="SpecPgm-1t1 SL"/>
      <sheetName val="SpecPgm-1t2 GH"/>
      <sheetName val="SpecPgm-College Prep"/>
      <sheetName val="SpecPgm-TransIFC"/>
      <sheetName val="SpecPgm-Outrch Ind.Liv (rebased"/>
    </sheetNames>
    <sheetDataSet>
      <sheetData sheetId="0" refreshError="1"/>
      <sheetData sheetId="1">
        <row r="24">
          <cell r="BC24">
            <v>2.0354406130268236E-2</v>
          </cell>
        </row>
      </sheetData>
      <sheetData sheetId="2" refreshError="1"/>
      <sheetData sheetId="3" refreshError="1"/>
      <sheetData sheetId="4" refreshError="1"/>
      <sheetData sheetId="5">
        <row r="15">
          <cell r="X15">
            <v>200122.62</v>
          </cell>
        </row>
      </sheetData>
      <sheetData sheetId="6">
        <row r="15">
          <cell r="D15">
            <v>220355.5668</v>
          </cell>
        </row>
        <row r="16">
          <cell r="D16">
            <v>220355.75739476658</v>
          </cell>
        </row>
        <row r="17">
          <cell r="D17">
            <v>220355.5668</v>
          </cell>
        </row>
        <row r="18">
          <cell r="D18">
            <v>220355.5668</v>
          </cell>
        </row>
        <row r="20">
          <cell r="D20">
            <v>230377.5</v>
          </cell>
        </row>
        <row r="24">
          <cell r="D24">
            <v>86861</v>
          </cell>
        </row>
        <row r="29">
          <cell r="D29">
            <v>67965.496845399903</v>
          </cell>
        </row>
        <row r="30">
          <cell r="D30">
            <v>67962.386400000003</v>
          </cell>
        </row>
        <row r="31">
          <cell r="D31">
            <v>66085.577700000009</v>
          </cell>
        </row>
        <row r="32">
          <cell r="D32">
            <v>60923</v>
          </cell>
        </row>
        <row r="38">
          <cell r="D38">
            <v>65844.961200000005</v>
          </cell>
        </row>
        <row r="40">
          <cell r="D40">
            <v>57593.3511</v>
          </cell>
        </row>
        <row r="47">
          <cell r="D47">
            <v>38335.839899999999</v>
          </cell>
        </row>
        <row r="50">
          <cell r="D50">
            <v>32198</v>
          </cell>
        </row>
        <row r="64">
          <cell r="D64">
            <v>32198</v>
          </cell>
        </row>
        <row r="89">
          <cell r="F89">
            <v>25.7254875</v>
          </cell>
        </row>
        <row r="90">
          <cell r="F90">
            <v>11.2629</v>
          </cell>
        </row>
        <row r="91">
          <cell r="F91">
            <v>28.402985999999999</v>
          </cell>
        </row>
        <row r="92">
          <cell r="F92">
            <v>4.2491850000000007</v>
          </cell>
        </row>
        <row r="93">
          <cell r="F93">
            <v>22.6302378</v>
          </cell>
        </row>
        <row r="94">
          <cell r="F94">
            <v>25.648695</v>
          </cell>
        </row>
        <row r="95">
          <cell r="F95">
            <v>4.2942366000000005</v>
          </cell>
        </row>
        <row r="96">
          <cell r="F96">
            <v>23.007033</v>
          </cell>
        </row>
        <row r="98">
          <cell r="F98">
            <v>23.416593000000002</v>
          </cell>
        </row>
        <row r="102">
          <cell r="F102">
            <v>9.5245289220366018</v>
          </cell>
        </row>
        <row r="103">
          <cell r="F103">
            <v>17.9745645</v>
          </cell>
        </row>
        <row r="104">
          <cell r="F104">
            <v>5.1311335001954408</v>
          </cell>
        </row>
        <row r="126">
          <cell r="B126" t="str">
            <v>CAF (Rate review FY21)</v>
          </cell>
          <cell r="D126">
            <v>1.78E-2</v>
          </cell>
        </row>
        <row r="128">
          <cell r="B128" t="str">
            <v>PFMLA Trust Contribution</v>
          </cell>
          <cell r="D128">
            <v>3.7000000000000002E-3</v>
          </cell>
        </row>
        <row r="131">
          <cell r="D131">
            <v>9.4700000000000006E-2</v>
          </cell>
        </row>
        <row r="132">
          <cell r="D132">
            <v>0.11849999999999999</v>
          </cell>
        </row>
        <row r="140">
          <cell r="D140">
            <v>0.22309999999999999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9">
          <cell r="T39">
            <v>0.22309999999999999</v>
          </cell>
        </row>
        <row r="47">
          <cell r="T47">
            <v>0.11849999999999999</v>
          </cell>
        </row>
      </sheetData>
      <sheetData sheetId="15" refreshError="1"/>
      <sheetData sheetId="16">
        <row r="13">
          <cell r="R13">
            <v>65844.961200000005</v>
          </cell>
        </row>
        <row r="17">
          <cell r="R17">
            <v>66085.577700000009</v>
          </cell>
        </row>
      </sheetData>
      <sheetData sheetId="17">
        <row r="30">
          <cell r="R30">
            <v>10</v>
          </cell>
          <cell r="S30">
            <v>12</v>
          </cell>
        </row>
        <row r="31">
          <cell r="P31">
            <v>1.75</v>
          </cell>
          <cell r="S31">
            <v>1</v>
          </cell>
        </row>
        <row r="33">
          <cell r="P33">
            <v>0.1</v>
          </cell>
        </row>
        <row r="36">
          <cell r="P36">
            <v>1</v>
          </cell>
        </row>
        <row r="39">
          <cell r="P39">
            <v>1</v>
          </cell>
        </row>
        <row r="41">
          <cell r="P41">
            <v>15</v>
          </cell>
        </row>
        <row r="44">
          <cell r="P44">
            <v>0.25</v>
          </cell>
          <cell r="R44">
            <v>0.25</v>
          </cell>
          <cell r="S44">
            <v>0.25</v>
          </cell>
        </row>
        <row r="52">
          <cell r="Q52">
            <v>-1.9951315068493152</v>
          </cell>
        </row>
        <row r="55">
          <cell r="Q55">
            <v>0.11849999999999999</v>
          </cell>
        </row>
        <row r="130">
          <cell r="E130">
            <v>186.61920723986356</v>
          </cell>
        </row>
        <row r="167">
          <cell r="E167">
            <v>101.56425989410288</v>
          </cell>
        </row>
      </sheetData>
      <sheetData sheetId="18" refreshError="1"/>
      <sheetData sheetId="19">
        <row r="13">
          <cell r="P13">
            <v>57593.3511</v>
          </cell>
        </row>
        <row r="16">
          <cell r="P16">
            <v>86861</v>
          </cell>
        </row>
        <row r="17">
          <cell r="P17">
            <v>67962.386400000003</v>
          </cell>
        </row>
        <row r="49">
          <cell r="P49">
            <v>22.6302378</v>
          </cell>
        </row>
        <row r="50">
          <cell r="P50">
            <v>17.654</v>
          </cell>
        </row>
      </sheetData>
      <sheetData sheetId="20">
        <row r="16">
          <cell r="M16">
            <v>60923</v>
          </cell>
        </row>
        <row r="19">
          <cell r="M19">
            <v>83325</v>
          </cell>
        </row>
      </sheetData>
      <sheetData sheetId="21" refreshError="1"/>
      <sheetData sheetId="22" refreshError="1"/>
      <sheetData sheetId="23" refreshError="1"/>
      <sheetData sheetId="24">
        <row r="39">
          <cell r="J39">
            <v>1075.3995600000001</v>
          </cell>
        </row>
      </sheetData>
      <sheetData sheetId="25" refreshError="1"/>
      <sheetData sheetId="26" refreshError="1"/>
      <sheetData sheetId="27" refreshError="1"/>
      <sheetData sheetId="28">
        <row r="39">
          <cell r="J39">
            <v>17.654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23">
          <cell r="A23" t="str">
            <v>PFMLA Trust Contribution</v>
          </cell>
        </row>
      </sheetData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Options"/>
      <sheetName val="Avg Expenses"/>
      <sheetName val="Avg Salary"/>
      <sheetName val="Per Unit Expenses"/>
      <sheetName val="Per Unit FTE, Sal"/>
    </sheetNames>
    <sheetDataSet>
      <sheetData sheetId="0">
        <row r="30">
          <cell r="K30">
            <v>12</v>
          </cell>
        </row>
        <row r="32">
          <cell r="K32">
            <v>2</v>
          </cell>
        </row>
        <row r="34">
          <cell r="K34">
            <v>0.3</v>
          </cell>
        </row>
        <row r="35">
          <cell r="K35">
            <v>2.75</v>
          </cell>
        </row>
        <row r="36">
          <cell r="K36">
            <v>1</v>
          </cell>
        </row>
        <row r="37">
          <cell r="K37">
            <v>2</v>
          </cell>
        </row>
        <row r="38">
          <cell r="K38">
            <v>1</v>
          </cell>
        </row>
        <row r="40">
          <cell r="K40">
            <v>0.18</v>
          </cell>
        </row>
        <row r="41">
          <cell r="K41">
            <v>1</v>
          </cell>
        </row>
        <row r="42">
          <cell r="K42">
            <v>20.05</v>
          </cell>
        </row>
        <row r="45">
          <cell r="K45">
            <v>1.5</v>
          </cell>
        </row>
        <row r="46">
          <cell r="K46">
            <v>2</v>
          </cell>
        </row>
        <row r="47">
          <cell r="K47">
            <v>2</v>
          </cell>
        </row>
      </sheetData>
      <sheetData sheetId="1">
        <row r="12">
          <cell r="H12">
            <v>22.842465753424658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Options"/>
      <sheetName val="Rate Comparison"/>
      <sheetName val="Avg Expenses"/>
      <sheetName val="Avg Salary"/>
      <sheetName val="Charts"/>
      <sheetName val="Per Unit Expenses"/>
      <sheetName val="Per Unit FTE, Sal"/>
    </sheetNames>
    <sheetDataSet>
      <sheetData sheetId="0">
        <row r="26">
          <cell r="I26">
            <v>12</v>
          </cell>
          <cell r="J26">
            <v>10</v>
          </cell>
          <cell r="K26">
            <v>5</v>
          </cell>
          <cell r="L26">
            <v>4</v>
          </cell>
        </row>
        <row r="28">
          <cell r="I28">
            <v>1.75</v>
          </cell>
          <cell r="J28">
            <v>1</v>
          </cell>
          <cell r="K28">
            <v>1</v>
          </cell>
          <cell r="L28">
            <v>0.2</v>
          </cell>
        </row>
        <row r="30">
          <cell r="I30">
            <v>0.25</v>
          </cell>
        </row>
        <row r="33">
          <cell r="I33">
            <v>1</v>
          </cell>
          <cell r="J33">
            <v>0.5</v>
          </cell>
          <cell r="K33">
            <v>0.5</v>
          </cell>
        </row>
        <row r="34">
          <cell r="I34">
            <v>2</v>
          </cell>
        </row>
        <row r="35">
          <cell r="J35">
            <v>1</v>
          </cell>
          <cell r="K35">
            <v>0.5</v>
          </cell>
          <cell r="L35">
            <v>1</v>
          </cell>
        </row>
        <row r="36">
          <cell r="I36">
            <v>11.5</v>
          </cell>
          <cell r="J36">
            <v>8</v>
          </cell>
          <cell r="K36">
            <v>3</v>
          </cell>
        </row>
        <row r="39">
          <cell r="I39">
            <v>0.25</v>
          </cell>
          <cell r="J39">
            <v>0.25</v>
          </cell>
          <cell r="K39">
            <v>0.13</v>
          </cell>
        </row>
      </sheetData>
      <sheetData sheetId="1" refreshError="1"/>
      <sheetData sheetId="2">
        <row r="5">
          <cell r="H5">
            <v>25.792696713147411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sis Close"/>
      <sheetName val="Rate Options"/>
      <sheetName val="DC salary anlys"/>
      <sheetName val="Rate Comparison"/>
      <sheetName val="Avg Expenses"/>
      <sheetName val="Avg Salary"/>
      <sheetName val="Transportation"/>
      <sheetName val="Per Unit Expenses"/>
      <sheetName val="Per Unit FTE, Sal"/>
      <sheetName val="Charts by Activity Code"/>
      <sheetName val="Charts"/>
      <sheetName val="Outliers"/>
    </sheetNames>
    <sheetDataSet>
      <sheetData sheetId="0" refreshError="1"/>
      <sheetData sheetId="1" refreshError="1">
        <row r="21">
          <cell r="J21">
            <v>28500</v>
          </cell>
        </row>
        <row r="28">
          <cell r="I28">
            <v>12</v>
          </cell>
          <cell r="J28">
            <v>12</v>
          </cell>
          <cell r="K28">
            <v>10</v>
          </cell>
          <cell r="L28">
            <v>12</v>
          </cell>
        </row>
        <row r="30">
          <cell r="I30">
            <v>1.75</v>
          </cell>
          <cell r="J30">
            <v>1.75</v>
          </cell>
          <cell r="K30">
            <v>1</v>
          </cell>
          <cell r="L30">
            <v>1</v>
          </cell>
        </row>
        <row r="32">
          <cell r="I32">
            <v>0.1</v>
          </cell>
        </row>
        <row r="33">
          <cell r="K33">
            <v>0.1</v>
          </cell>
        </row>
        <row r="34">
          <cell r="I34">
            <v>0.5</v>
          </cell>
        </row>
        <row r="35">
          <cell r="I35">
            <v>1</v>
          </cell>
          <cell r="J35">
            <v>0.5</v>
          </cell>
        </row>
        <row r="37">
          <cell r="K37">
            <v>0.5</v>
          </cell>
          <cell r="L37">
            <v>0.5</v>
          </cell>
        </row>
        <row r="38">
          <cell r="I38">
            <v>1</v>
          </cell>
          <cell r="J38">
            <v>1</v>
          </cell>
        </row>
        <row r="39">
          <cell r="K39">
            <v>1</v>
          </cell>
          <cell r="L39">
            <v>2</v>
          </cell>
        </row>
        <row r="40">
          <cell r="I40">
            <v>15</v>
          </cell>
          <cell r="J40">
            <v>13</v>
          </cell>
          <cell r="K40">
            <v>6</v>
          </cell>
        </row>
        <row r="43">
          <cell r="I43">
            <v>0.25</v>
          </cell>
          <cell r="J43">
            <v>0.25</v>
          </cell>
          <cell r="K43">
            <v>0.25</v>
          </cell>
          <cell r="L43">
            <v>0.25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6">
          <cell r="F26">
            <v>1.9951315068493152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options"/>
      <sheetName val="Rate Comparisons"/>
      <sheetName val="Avg Expenses"/>
      <sheetName val="Avg Salary"/>
      <sheetName val="Profit-Loss"/>
      <sheetName val="Per Unit Expenses"/>
      <sheetName val="Per Unit FTE, Sal"/>
      <sheetName val="Transportation"/>
      <sheetName val="Analysis - STARR FY14"/>
    </sheetNames>
    <sheetDataSet>
      <sheetData sheetId="0">
        <row r="23">
          <cell r="K23">
            <v>6</v>
          </cell>
          <cell r="L23">
            <v>9</v>
          </cell>
          <cell r="M23">
            <v>12</v>
          </cell>
          <cell r="N23">
            <v>15</v>
          </cell>
        </row>
        <row r="24">
          <cell r="K24">
            <v>1</v>
          </cell>
          <cell r="M24">
            <v>2</v>
          </cell>
        </row>
        <row r="29">
          <cell r="M29">
            <v>13.6</v>
          </cell>
        </row>
      </sheetData>
      <sheetData sheetId="1" refreshError="1"/>
      <sheetData sheetId="2">
        <row r="5">
          <cell r="H5">
            <v>23.285039628322924</v>
          </cell>
        </row>
      </sheetData>
      <sheetData sheetId="3">
        <row r="6">
          <cell r="J6">
            <v>29169.595163958824</v>
          </cell>
        </row>
      </sheetData>
      <sheetData sheetId="4" refreshError="1"/>
      <sheetData sheetId="5" refreshError="1"/>
      <sheetData sheetId="6" refreshError="1"/>
      <sheetData sheetId="7">
        <row r="17">
          <cell r="C17">
            <v>2.2794520547945205</v>
          </cell>
        </row>
      </sheetData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ended rates"/>
      <sheetName val="Rate Options"/>
      <sheetName val="Avg Expenses"/>
      <sheetName val="Avg Salaries"/>
      <sheetName val="Per Unit Expenses"/>
      <sheetName val="Per Unit FTE, Sal"/>
      <sheetName val="Transportation"/>
      <sheetName val="Rate Comparisons"/>
    </sheetNames>
    <sheetDataSet>
      <sheetData sheetId="0" refreshError="1"/>
      <sheetData sheetId="1">
        <row r="31">
          <cell r="I31">
            <v>30</v>
          </cell>
        </row>
        <row r="32">
          <cell r="I32">
            <v>2</v>
          </cell>
          <cell r="K32">
            <v>1.75</v>
          </cell>
          <cell r="L32">
            <v>1.75</v>
          </cell>
        </row>
        <row r="34">
          <cell r="I34">
            <v>0.1</v>
          </cell>
          <cell r="K34">
            <v>0.1</v>
          </cell>
        </row>
        <row r="35">
          <cell r="K35">
            <v>0.25</v>
          </cell>
        </row>
        <row r="36">
          <cell r="I36">
            <v>0.5</v>
          </cell>
          <cell r="K36">
            <v>0.5</v>
          </cell>
        </row>
        <row r="37">
          <cell r="I37">
            <v>1</v>
          </cell>
          <cell r="K37">
            <v>1</v>
          </cell>
          <cell r="L37">
            <v>0.5</v>
          </cell>
        </row>
        <row r="39">
          <cell r="I39">
            <v>1</v>
          </cell>
        </row>
        <row r="40">
          <cell r="I40">
            <v>4</v>
          </cell>
          <cell r="K40">
            <v>0.5</v>
          </cell>
          <cell r="L40">
            <v>1</v>
          </cell>
        </row>
        <row r="41">
          <cell r="I41">
            <v>6.5</v>
          </cell>
        </row>
        <row r="44">
          <cell r="I44">
            <v>0.5</v>
          </cell>
          <cell r="K44">
            <v>0.25</v>
          </cell>
          <cell r="L44">
            <v>0.25</v>
          </cell>
        </row>
      </sheetData>
      <sheetData sheetId="2">
        <row r="5">
          <cell r="H5">
            <v>3.7124163293056029</v>
          </cell>
        </row>
      </sheetData>
      <sheetData sheetId="3">
        <row r="37">
          <cell r="L37">
            <v>35000</v>
          </cell>
        </row>
      </sheetData>
      <sheetData sheetId="4" refreshError="1"/>
      <sheetData sheetId="5" refreshError="1"/>
      <sheetData sheetId="6">
        <row r="18">
          <cell r="D18">
            <v>0.58323919752799014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abSelected="1" topLeftCell="I23" zoomScale="90" zoomScaleNormal="90" workbookViewId="0">
      <selection activeCell="T54" sqref="T54"/>
    </sheetView>
  </sheetViews>
  <sheetFormatPr defaultColWidth="9.140625" defaultRowHeight="12.75" x14ac:dyDescent="0.2"/>
  <cols>
    <col min="1" max="1" width="31.85546875" style="142" hidden="1" customWidth="1"/>
    <col min="2" max="2" width="5.7109375" style="142" hidden="1" customWidth="1"/>
    <col min="3" max="3" width="12.85546875" style="142" hidden="1" customWidth="1"/>
    <col min="4" max="4" width="10.85546875" style="142" hidden="1" customWidth="1"/>
    <col min="5" max="6" width="13.140625" style="142" hidden="1" customWidth="1"/>
    <col min="7" max="7" width="9.140625" style="142"/>
    <col min="8" max="8" width="31.85546875" style="142" customWidth="1"/>
    <col min="9" max="9" width="12.5703125" style="142" customWidth="1"/>
    <col min="10" max="10" width="12.85546875" style="142" customWidth="1"/>
    <col min="11" max="11" width="10.85546875" style="142" customWidth="1"/>
    <col min="12" max="12" width="13.140625" style="142" customWidth="1"/>
    <col min="13" max="13" width="14.7109375" style="142" customWidth="1"/>
    <col min="14" max="14" width="16.140625" style="205" customWidth="1"/>
    <col min="15" max="15" width="9.140625" style="142"/>
    <col min="16" max="16" width="31.85546875" style="142" customWidth="1"/>
    <col min="17" max="17" width="10" style="142" customWidth="1"/>
    <col min="18" max="18" width="11.28515625" style="142" customWidth="1"/>
    <col min="19" max="19" width="11" style="142" customWidth="1"/>
    <col min="20" max="16384" width="9.140625" style="142"/>
  </cols>
  <sheetData>
    <row r="1" spans="1:21" ht="13.5" thickBot="1" x14ac:dyDescent="0.25">
      <c r="H1" s="766" t="s">
        <v>138</v>
      </c>
      <c r="I1" s="767"/>
      <c r="J1" s="767"/>
      <c r="K1" s="767"/>
      <c r="L1" s="767"/>
      <c r="M1" s="769" t="s">
        <v>123</v>
      </c>
      <c r="N1" s="299"/>
      <c r="P1" s="759" t="s">
        <v>139</v>
      </c>
      <c r="Q1" s="759"/>
      <c r="R1" s="759"/>
      <c r="S1" s="759"/>
    </row>
    <row r="2" spans="1:21" ht="13.5" thickBot="1" x14ac:dyDescent="0.25">
      <c r="H2" s="768"/>
      <c r="I2" s="763"/>
      <c r="J2" s="763"/>
      <c r="K2" s="763"/>
      <c r="L2" s="763"/>
      <c r="M2" s="770"/>
      <c r="N2" s="299"/>
    </row>
    <row r="3" spans="1:21" ht="13.15" x14ac:dyDescent="0.25">
      <c r="H3" s="143" t="s">
        <v>4</v>
      </c>
      <c r="I3" s="6">
        <v>12</v>
      </c>
      <c r="J3" s="144"/>
      <c r="K3" s="144" t="s">
        <v>5</v>
      </c>
      <c r="L3" s="300">
        <f>I3*365</f>
        <v>4380</v>
      </c>
      <c r="M3" s="145"/>
      <c r="N3" s="301"/>
      <c r="P3" s="13" t="s">
        <v>6</v>
      </c>
      <c r="Q3" s="760" t="s">
        <v>7</v>
      </c>
      <c r="R3" s="760"/>
      <c r="S3" s="14"/>
      <c r="T3" s="102"/>
      <c r="U3" s="102"/>
    </row>
    <row r="4" spans="1:21" ht="13.15" x14ac:dyDescent="0.25">
      <c r="H4" s="150"/>
      <c r="I4" s="147"/>
      <c r="J4" s="147"/>
      <c r="K4" s="147"/>
      <c r="L4" s="147"/>
      <c r="M4" s="148"/>
      <c r="P4" s="17"/>
      <c r="Q4" s="4" t="s">
        <v>8</v>
      </c>
      <c r="R4" s="19" t="s">
        <v>9</v>
      </c>
      <c r="S4" s="151"/>
      <c r="T4" s="102"/>
      <c r="U4" s="102"/>
    </row>
    <row r="5" spans="1:21" ht="15" customHeight="1" x14ac:dyDescent="0.25">
      <c r="H5" s="152"/>
      <c r="I5" s="153"/>
      <c r="J5" s="154" t="s">
        <v>10</v>
      </c>
      <c r="K5" s="154" t="s">
        <v>11</v>
      </c>
      <c r="L5" s="154" t="s">
        <v>12</v>
      </c>
      <c r="M5" s="302"/>
      <c r="N5" s="4"/>
      <c r="P5" s="25" t="s">
        <v>13</v>
      </c>
      <c r="Q5" s="27">
        <v>15</v>
      </c>
      <c r="R5" s="27">
        <f>Q5*8</f>
        <v>120</v>
      </c>
      <c r="S5" s="151"/>
      <c r="T5" s="102"/>
      <c r="U5" s="102"/>
    </row>
    <row r="6" spans="1:21" ht="14.45" customHeight="1" x14ac:dyDescent="0.2">
      <c r="A6" s="761" t="s">
        <v>141</v>
      </c>
      <c r="B6" s="762"/>
      <c r="C6" s="762"/>
      <c r="D6" s="762"/>
      <c r="E6" s="762"/>
      <c r="F6" s="764" t="s">
        <v>0</v>
      </c>
      <c r="H6" s="28" t="s">
        <v>14</v>
      </c>
      <c r="I6" s="147"/>
      <c r="J6" s="161">
        <f>R13</f>
        <v>65844.961200000005</v>
      </c>
      <c r="K6" s="157">
        <f>$R$33</f>
        <v>2</v>
      </c>
      <c r="L6" s="156">
        <f>J6*K6</f>
        <v>131689.92240000001</v>
      </c>
      <c r="M6" s="158"/>
      <c r="N6" s="303"/>
      <c r="P6" s="25" t="s">
        <v>15</v>
      </c>
      <c r="Q6" s="27">
        <v>8</v>
      </c>
      <c r="R6" s="27">
        <f>Q6*8</f>
        <v>64</v>
      </c>
      <c r="S6" s="151"/>
      <c r="T6" s="102"/>
      <c r="U6" s="102"/>
    </row>
    <row r="7" spans="1:21" ht="15" customHeight="1" thickBot="1" x14ac:dyDescent="0.25">
      <c r="A7" s="763"/>
      <c r="B7" s="763"/>
      <c r="C7" s="763"/>
      <c r="D7" s="763"/>
      <c r="E7" s="763"/>
      <c r="F7" s="765"/>
      <c r="H7" s="17" t="s">
        <v>16</v>
      </c>
      <c r="I7" s="147"/>
      <c r="J7" s="161"/>
      <c r="K7" s="157"/>
      <c r="L7" s="156"/>
      <c r="M7" s="158"/>
      <c r="N7" s="303"/>
      <c r="P7" s="25" t="s">
        <v>17</v>
      </c>
      <c r="Q7" s="27">
        <v>10</v>
      </c>
      <c r="R7" s="27">
        <f>Q7*8</f>
        <v>80</v>
      </c>
      <c r="S7" s="151"/>
      <c r="T7" s="102"/>
      <c r="U7" s="102"/>
    </row>
    <row r="8" spans="1:21" ht="13.15" x14ac:dyDescent="0.25">
      <c r="A8" s="304" t="s">
        <v>4</v>
      </c>
      <c r="B8" s="247">
        <f>R$32</f>
        <v>12</v>
      </c>
      <c r="C8" s="304"/>
      <c r="D8" s="304" t="s">
        <v>5</v>
      </c>
      <c r="E8" s="305">
        <f>B8*365</f>
        <v>4380</v>
      </c>
      <c r="F8" s="306"/>
      <c r="H8" s="25" t="s">
        <v>124</v>
      </c>
      <c r="I8" s="147"/>
      <c r="J8" s="161">
        <f t="shared" ref="J8:J21" si="0">R15</f>
        <v>209260</v>
      </c>
      <c r="K8" s="157">
        <f>$R$35</f>
        <v>0.3</v>
      </c>
      <c r="L8" s="156">
        <f t="shared" ref="L8:L10" si="1">J8*K8</f>
        <v>62778</v>
      </c>
      <c r="M8" s="158"/>
      <c r="N8" s="303"/>
      <c r="P8" s="32" t="s">
        <v>19</v>
      </c>
      <c r="Q8" s="34">
        <v>5</v>
      </c>
      <c r="R8" s="34">
        <f>Q8*8</f>
        <v>40</v>
      </c>
      <c r="S8" s="159"/>
      <c r="T8" s="102"/>
      <c r="U8" s="102"/>
    </row>
    <row r="9" spans="1:21" ht="13.15" x14ac:dyDescent="0.25">
      <c r="F9" s="208"/>
      <c r="H9" s="25" t="s">
        <v>18</v>
      </c>
      <c r="I9" s="147"/>
      <c r="J9" s="161">
        <f t="shared" si="0"/>
        <v>86860.800000000003</v>
      </c>
      <c r="K9" s="157">
        <f>$R$36</f>
        <v>2.75</v>
      </c>
      <c r="L9" s="156">
        <f t="shared" si="1"/>
        <v>238867.20000000001</v>
      </c>
      <c r="M9" s="158"/>
      <c r="N9" s="303"/>
      <c r="P9" s="25"/>
      <c r="Q9" s="36" t="s">
        <v>21</v>
      </c>
      <c r="R9" s="27">
        <f>SUM(R5:R8)</f>
        <v>304</v>
      </c>
      <c r="S9" s="160"/>
      <c r="T9" s="102"/>
      <c r="U9" s="102"/>
    </row>
    <row r="10" spans="1:21" ht="13.9" thickBot="1" x14ac:dyDescent="0.3">
      <c r="A10" s="153"/>
      <c r="B10" s="153"/>
      <c r="C10" s="154" t="s">
        <v>10</v>
      </c>
      <c r="D10" s="154" t="s">
        <v>11</v>
      </c>
      <c r="E10" s="154" t="s">
        <v>12</v>
      </c>
      <c r="F10" s="208"/>
      <c r="H10" s="25" t="s">
        <v>125</v>
      </c>
      <c r="I10" s="147"/>
      <c r="J10" s="161">
        <f t="shared" si="0"/>
        <v>66085.577700000009</v>
      </c>
      <c r="K10" s="157">
        <f>$R$37</f>
        <v>1</v>
      </c>
      <c r="L10" s="156">
        <f t="shared" si="1"/>
        <v>66085.577700000009</v>
      </c>
      <c r="M10" s="158"/>
      <c r="N10" s="303"/>
      <c r="P10" s="38"/>
      <c r="Q10" s="39" t="s">
        <v>23</v>
      </c>
      <c r="R10" s="40">
        <f>R9/(52*40)</f>
        <v>0.14615384615384616</v>
      </c>
      <c r="S10" s="41"/>
    </row>
    <row r="11" spans="1:21" ht="13.9" thickBot="1" x14ac:dyDescent="0.3">
      <c r="A11" s="251" t="s">
        <v>14</v>
      </c>
      <c r="C11" s="307">
        <f>$R$13</f>
        <v>65844.961200000005</v>
      </c>
      <c r="D11" s="308">
        <f>$R$33</f>
        <v>2</v>
      </c>
      <c r="E11" s="307">
        <f>C11*D11</f>
        <v>131689.92240000001</v>
      </c>
      <c r="F11" s="208"/>
      <c r="H11" s="25" t="s">
        <v>31</v>
      </c>
      <c r="I11" s="147"/>
      <c r="J11" s="161">
        <f t="shared" si="0"/>
        <v>60923.199999999997</v>
      </c>
      <c r="K11" s="157">
        <f>$R$38</f>
        <v>2</v>
      </c>
      <c r="L11" s="156">
        <f>J11*K11</f>
        <v>121846.39999999999</v>
      </c>
      <c r="M11" s="158"/>
      <c r="N11" s="303"/>
    </row>
    <row r="12" spans="1:21" ht="13.15" x14ac:dyDescent="0.25">
      <c r="A12" s="256" t="s">
        <v>16</v>
      </c>
      <c r="C12" s="307"/>
      <c r="D12" s="308"/>
      <c r="E12" s="307"/>
      <c r="F12" s="208"/>
      <c r="H12" s="25" t="s">
        <v>126</v>
      </c>
      <c r="I12" s="147"/>
      <c r="J12" s="161">
        <f t="shared" si="0"/>
        <v>52665.599999999999</v>
      </c>
      <c r="K12" s="166">
        <f>$R$39+1</f>
        <v>2</v>
      </c>
      <c r="L12" s="156">
        <f>J12*K12</f>
        <v>105331.2</v>
      </c>
      <c r="M12" s="158"/>
      <c r="N12" s="303"/>
      <c r="P12" s="162"/>
      <c r="Q12" s="163"/>
      <c r="R12" s="164" t="s">
        <v>112</v>
      </c>
      <c r="S12" s="165"/>
    </row>
    <row r="13" spans="1:21" ht="13.15" x14ac:dyDescent="0.25">
      <c r="A13" s="257" t="s">
        <v>124</v>
      </c>
      <c r="C13" s="307">
        <f>$R$15</f>
        <v>209260</v>
      </c>
      <c r="D13" s="308">
        <f>$R$35</f>
        <v>0.3</v>
      </c>
      <c r="E13" s="307">
        <f t="shared" ref="E13:E24" si="2">C13*D13</f>
        <v>62778</v>
      </c>
      <c r="F13" s="208"/>
      <c r="H13" s="17" t="s">
        <v>20</v>
      </c>
      <c r="I13" s="147"/>
      <c r="J13" s="161" t="str">
        <f t="shared" si="0"/>
        <v>.</v>
      </c>
      <c r="K13" s="166"/>
      <c r="L13" s="156"/>
      <c r="M13" s="158"/>
      <c r="N13" s="303"/>
      <c r="P13" s="17" t="s">
        <v>14</v>
      </c>
      <c r="Q13" s="147"/>
      <c r="R13" s="156">
        <f>'[3]Master Data '!D38</f>
        <v>65844.961200000005</v>
      </c>
      <c r="S13" s="148"/>
    </row>
    <row r="14" spans="1:21" ht="13.15" x14ac:dyDescent="0.25">
      <c r="A14" s="257" t="s">
        <v>18</v>
      </c>
      <c r="C14" s="307">
        <f>$R$16</f>
        <v>86860.800000000003</v>
      </c>
      <c r="D14" s="308">
        <f>$R$36</f>
        <v>2.75</v>
      </c>
      <c r="E14" s="307">
        <f t="shared" si="2"/>
        <v>238867.20000000001</v>
      </c>
      <c r="F14" s="208"/>
      <c r="H14" s="25" t="s">
        <v>127</v>
      </c>
      <c r="I14" s="147"/>
      <c r="J14" s="161">
        <f t="shared" si="0"/>
        <v>38335.839899999999</v>
      </c>
      <c r="K14" s="166">
        <f>$R$41</f>
        <v>0.18</v>
      </c>
      <c r="L14" s="156">
        <f t="shared" ref="L14:L15" si="3">J14*K14</f>
        <v>6900.4511819999998</v>
      </c>
      <c r="M14" s="158"/>
      <c r="N14" s="303"/>
      <c r="P14" s="17" t="s">
        <v>16</v>
      </c>
      <c r="Q14" s="147"/>
      <c r="R14" s="156"/>
      <c r="S14" s="148"/>
    </row>
    <row r="15" spans="1:21" ht="13.15" x14ac:dyDescent="0.25">
      <c r="A15" s="257" t="s">
        <v>125</v>
      </c>
      <c r="C15" s="307">
        <f>$R$17</f>
        <v>66085.577700000009</v>
      </c>
      <c r="D15" s="308">
        <f>$R$37</f>
        <v>1</v>
      </c>
      <c r="E15" s="307">
        <f t="shared" si="2"/>
        <v>66085.577700000009</v>
      </c>
      <c r="F15" s="208"/>
      <c r="H15" s="25" t="s">
        <v>128</v>
      </c>
      <c r="I15" s="147"/>
      <c r="J15" s="161">
        <f t="shared" si="0"/>
        <v>32198.400000000001</v>
      </c>
      <c r="K15" s="166">
        <f>$R$42</f>
        <v>1</v>
      </c>
      <c r="L15" s="156">
        <f t="shared" si="3"/>
        <v>32198.400000000001</v>
      </c>
      <c r="M15" s="158"/>
      <c r="N15" s="303"/>
      <c r="P15" s="25" t="s">
        <v>124</v>
      </c>
      <c r="Q15" s="147"/>
      <c r="R15" s="161">
        <v>209260</v>
      </c>
      <c r="S15" s="148"/>
    </row>
    <row r="16" spans="1:21" ht="13.15" x14ac:dyDescent="0.25">
      <c r="A16" s="257" t="s">
        <v>31</v>
      </c>
      <c r="C16" s="303">
        <f>$R$18</f>
        <v>60923.199999999997</v>
      </c>
      <c r="D16" s="308">
        <f>$R$38</f>
        <v>2</v>
      </c>
      <c r="E16" s="307">
        <f t="shared" si="2"/>
        <v>121846.39999999999</v>
      </c>
      <c r="F16" s="208"/>
      <c r="H16" s="25" t="s">
        <v>25</v>
      </c>
      <c r="I16" s="147"/>
      <c r="J16" s="161">
        <f t="shared" si="0"/>
        <v>32198.400000000001</v>
      </c>
      <c r="K16" s="166">
        <f>$R$43+2</f>
        <v>22.05</v>
      </c>
      <c r="L16" s="156">
        <f>J16*K16</f>
        <v>709974.72000000009</v>
      </c>
      <c r="M16" s="158"/>
      <c r="N16" s="303"/>
      <c r="P16" s="25" t="s">
        <v>18</v>
      </c>
      <c r="Q16" s="147"/>
      <c r="R16" s="161">
        <f>'Salary Bench Chart'!C20</f>
        <v>86860.800000000003</v>
      </c>
      <c r="S16" s="148"/>
    </row>
    <row r="17" spans="1:19" ht="13.15" x14ac:dyDescent="0.25">
      <c r="A17" s="257" t="s">
        <v>126</v>
      </c>
      <c r="C17" s="307">
        <f>$R$19</f>
        <v>52665.599999999999</v>
      </c>
      <c r="D17" s="308">
        <f>$R$39</f>
        <v>1</v>
      </c>
      <c r="E17" s="307">
        <f t="shared" si="2"/>
        <v>52665.599999999999</v>
      </c>
      <c r="F17" s="208"/>
      <c r="H17" s="47" t="s">
        <v>27</v>
      </c>
      <c r="I17" s="147"/>
      <c r="J17" s="161">
        <f t="shared" si="0"/>
        <v>32198.400000000001</v>
      </c>
      <c r="K17" s="166">
        <f>K16*R10</f>
        <v>3.222692307692308</v>
      </c>
      <c r="L17" s="156">
        <f>J17*K17</f>
        <v>103765.53600000001</v>
      </c>
      <c r="M17" s="158"/>
      <c r="N17" s="303"/>
      <c r="P17" s="25" t="s">
        <v>125</v>
      </c>
      <c r="Q17" s="147"/>
      <c r="R17" s="161">
        <f>'[3]Master Data '!D31</f>
        <v>66085.577700000009</v>
      </c>
      <c r="S17" s="148"/>
    </row>
    <row r="18" spans="1:19" ht="13.15" x14ac:dyDescent="0.25">
      <c r="A18" s="256" t="s">
        <v>20</v>
      </c>
      <c r="C18" s="307"/>
      <c r="D18" s="308"/>
      <c r="E18" s="307"/>
      <c r="F18" s="208"/>
      <c r="H18" s="17" t="s">
        <v>28</v>
      </c>
      <c r="I18" s="147"/>
      <c r="J18" s="161"/>
      <c r="K18" s="157"/>
      <c r="L18" s="156"/>
      <c r="M18" s="158"/>
      <c r="N18" s="303"/>
      <c r="P18" s="25" t="s">
        <v>31</v>
      </c>
      <c r="Q18" s="147"/>
      <c r="R18" s="161">
        <f>'Salary Bench Chart'!C14</f>
        <v>60923.199999999997</v>
      </c>
      <c r="S18" s="148"/>
    </row>
    <row r="19" spans="1:19" ht="13.15" x14ac:dyDescent="0.25">
      <c r="A19" s="257" t="s">
        <v>127</v>
      </c>
      <c r="C19" s="307">
        <f>$R$21</f>
        <v>38335.839899999999</v>
      </c>
      <c r="D19" s="308">
        <f>$R$41</f>
        <v>0.18</v>
      </c>
      <c r="E19" s="307">
        <f t="shared" si="2"/>
        <v>6900.4511819999998</v>
      </c>
      <c r="F19" s="208"/>
      <c r="H19" s="25" t="s">
        <v>29</v>
      </c>
      <c r="I19" s="147"/>
      <c r="J19" s="161">
        <f t="shared" si="0"/>
        <v>32198.400000000001</v>
      </c>
      <c r="K19" s="157">
        <f>$R$46</f>
        <v>1.5</v>
      </c>
      <c r="L19" s="156">
        <f t="shared" ref="L19" si="4">J19*K19</f>
        <v>48297.600000000006</v>
      </c>
      <c r="M19" s="158"/>
      <c r="N19" s="303"/>
      <c r="P19" s="25" t="s">
        <v>126</v>
      </c>
      <c r="Q19" s="147"/>
      <c r="R19" s="161">
        <f>'Salary Bench Chart'!C12</f>
        <v>52665.599999999999</v>
      </c>
      <c r="S19" s="148"/>
    </row>
    <row r="20" spans="1:19" ht="13.15" x14ac:dyDescent="0.25">
      <c r="A20" s="257" t="s">
        <v>128</v>
      </c>
      <c r="C20" s="307">
        <f>$R$22</f>
        <v>32198.400000000001</v>
      </c>
      <c r="D20" s="308">
        <f>$R$42</f>
        <v>1</v>
      </c>
      <c r="E20" s="307">
        <f t="shared" si="2"/>
        <v>32198.400000000001</v>
      </c>
      <c r="F20" s="208"/>
      <c r="H20" s="261" t="s">
        <v>130</v>
      </c>
      <c r="I20" s="147"/>
      <c r="J20" s="161">
        <f t="shared" si="0"/>
        <v>32198.400000000001</v>
      </c>
      <c r="K20" s="157">
        <f>$R$47</f>
        <v>2</v>
      </c>
      <c r="L20" s="156">
        <f>J20*K20</f>
        <v>64396.800000000003</v>
      </c>
      <c r="M20" s="158"/>
      <c r="N20" s="303"/>
      <c r="P20" s="17" t="s">
        <v>20</v>
      </c>
      <c r="Q20" s="147"/>
      <c r="R20" s="161" t="s">
        <v>129</v>
      </c>
      <c r="S20" s="148"/>
    </row>
    <row r="21" spans="1:19" ht="13.15" x14ac:dyDescent="0.25">
      <c r="A21" s="257" t="s">
        <v>25</v>
      </c>
      <c r="C21" s="307">
        <f>$R$23</f>
        <v>32198.400000000001</v>
      </c>
      <c r="D21" s="308">
        <f>$R$43</f>
        <v>20.05</v>
      </c>
      <c r="E21" s="307">
        <f t="shared" si="2"/>
        <v>645577.92000000004</v>
      </c>
      <c r="F21" s="208"/>
      <c r="H21" s="263" t="s">
        <v>131</v>
      </c>
      <c r="I21" s="147"/>
      <c r="J21" s="161">
        <f t="shared" si="0"/>
        <v>32198.400000000001</v>
      </c>
      <c r="K21" s="157">
        <f>$R$48</f>
        <v>2</v>
      </c>
      <c r="L21" s="156">
        <f>J21*K21</f>
        <v>64396.800000000003</v>
      </c>
      <c r="M21" s="158"/>
      <c r="N21" s="303"/>
      <c r="P21" s="25" t="s">
        <v>127</v>
      </c>
      <c r="Q21" s="147"/>
      <c r="R21" s="161">
        <f>'[3]Master Data '!D47</f>
        <v>38335.839899999999</v>
      </c>
      <c r="S21" s="148"/>
    </row>
    <row r="22" spans="1:19" ht="13.15" x14ac:dyDescent="0.25">
      <c r="A22" s="259" t="s">
        <v>27</v>
      </c>
      <c r="C22" s="307">
        <f>$R$24</f>
        <v>32198.400000000001</v>
      </c>
      <c r="D22" s="308">
        <f>$R$44</f>
        <v>2.9303846153846158</v>
      </c>
      <c r="E22" s="307">
        <f>C22*D22</f>
        <v>94353.696000000011</v>
      </c>
      <c r="F22" s="208"/>
      <c r="H22" s="167" t="s">
        <v>30</v>
      </c>
      <c r="I22" s="168"/>
      <c r="J22" s="168"/>
      <c r="K22" s="169">
        <f>SUM(K6:K21)</f>
        <v>42.002692307692307</v>
      </c>
      <c r="L22" s="309">
        <f>SUM(L6:L21)</f>
        <v>1756528.6072820004</v>
      </c>
      <c r="M22" s="223"/>
      <c r="N22" s="303"/>
      <c r="P22" s="25" t="s">
        <v>128</v>
      </c>
      <c r="Q22" s="147"/>
      <c r="R22" s="161">
        <f>'Salary Bench Chart'!C4</f>
        <v>32198.400000000001</v>
      </c>
      <c r="S22" s="148"/>
    </row>
    <row r="23" spans="1:19" ht="13.15" x14ac:dyDescent="0.25">
      <c r="A23" s="256" t="s">
        <v>28</v>
      </c>
      <c r="C23" s="307"/>
      <c r="D23" s="308"/>
      <c r="E23" s="307"/>
      <c r="F23" s="208"/>
      <c r="H23" s="150"/>
      <c r="I23" s="147"/>
      <c r="J23" s="147"/>
      <c r="K23" s="147"/>
      <c r="L23" s="147"/>
      <c r="M23" s="148"/>
      <c r="N23" s="303"/>
      <c r="P23" s="25" t="s">
        <v>25</v>
      </c>
      <c r="Q23" s="147"/>
      <c r="R23" s="161">
        <f>'Salary Bench Chart'!C4</f>
        <v>32198.400000000001</v>
      </c>
      <c r="S23" s="148"/>
    </row>
    <row r="24" spans="1:19" ht="13.15" x14ac:dyDescent="0.25">
      <c r="A24" s="257" t="s">
        <v>29</v>
      </c>
      <c r="C24" s="307">
        <f>$R$26</f>
        <v>32198.400000000001</v>
      </c>
      <c r="D24" s="308">
        <f>$R$46</f>
        <v>1.5</v>
      </c>
      <c r="E24" s="307">
        <f t="shared" si="2"/>
        <v>48297.600000000006</v>
      </c>
      <c r="F24" s="208"/>
      <c r="H24" s="143" t="s">
        <v>32</v>
      </c>
      <c r="I24" s="147"/>
      <c r="J24" s="147"/>
      <c r="K24" s="144" t="s">
        <v>33</v>
      </c>
      <c r="L24" s="147"/>
      <c r="M24" s="148"/>
      <c r="N24" s="303"/>
      <c r="P24" s="47" t="s">
        <v>27</v>
      </c>
      <c r="Q24" s="147"/>
      <c r="R24" s="161">
        <f>'Salary Bench Chart'!C4</f>
        <v>32198.400000000001</v>
      </c>
      <c r="S24" s="148"/>
    </row>
    <row r="25" spans="1:19" ht="13.15" x14ac:dyDescent="0.25">
      <c r="A25" s="260" t="s">
        <v>130</v>
      </c>
      <c r="C25" s="307">
        <f>$R$27</f>
        <v>32198.400000000001</v>
      </c>
      <c r="D25" s="308">
        <f>$R$47</f>
        <v>2</v>
      </c>
      <c r="E25" s="307">
        <f>C25*D25</f>
        <v>64396.800000000003</v>
      </c>
      <c r="F25" s="208"/>
      <c r="H25" s="150" t="s">
        <v>35</v>
      </c>
      <c r="I25" s="147"/>
      <c r="J25" s="171">
        <f>$R$51</f>
        <v>0.22309999999999999</v>
      </c>
      <c r="K25" s="147"/>
      <c r="L25" s="156">
        <f>J25*L22</f>
        <v>391881.53228461428</v>
      </c>
      <c r="M25" s="158"/>
      <c r="N25" s="303"/>
      <c r="P25" s="17" t="s">
        <v>28</v>
      </c>
      <c r="Q25" s="147"/>
      <c r="R25" s="161"/>
      <c r="S25" s="148"/>
    </row>
    <row r="26" spans="1:19" ht="13.15" x14ac:dyDescent="0.25">
      <c r="A26" s="262" t="s">
        <v>131</v>
      </c>
      <c r="C26" s="307">
        <f>$R$28</f>
        <v>32198.400000000001</v>
      </c>
      <c r="D26" s="308">
        <f>$R$48</f>
        <v>2</v>
      </c>
      <c r="E26" s="307">
        <f>C26*D26</f>
        <v>64396.800000000003</v>
      </c>
      <c r="F26" s="208"/>
      <c r="H26" s="167" t="s">
        <v>36</v>
      </c>
      <c r="I26" s="168"/>
      <c r="J26" s="168"/>
      <c r="K26" s="172">
        <f>L26/L3</f>
        <v>490.50459807456957</v>
      </c>
      <c r="L26" s="309">
        <f>L25+L22</f>
        <v>2148410.1395666148</v>
      </c>
      <c r="M26" s="223"/>
      <c r="N26" s="303"/>
      <c r="P26" s="25" t="s">
        <v>29</v>
      </c>
      <c r="Q26" s="147"/>
      <c r="R26" s="161">
        <f>'Salary Bench Chart'!C4</f>
        <v>32198.400000000001</v>
      </c>
      <c r="S26" s="148"/>
    </row>
    <row r="27" spans="1:19" ht="13.15" x14ac:dyDescent="0.25">
      <c r="A27" s="168" t="s">
        <v>30</v>
      </c>
      <c r="B27" s="168"/>
      <c r="C27" s="168"/>
      <c r="D27" s="169">
        <f>SUM(D11:D26)</f>
        <v>38.710384615384619</v>
      </c>
      <c r="E27" s="309">
        <f>SUM(E11:E26)</f>
        <v>1630054.3672820004</v>
      </c>
      <c r="F27" s="208"/>
      <c r="H27" s="150" t="str">
        <f>'[3]Master Data '!B128</f>
        <v>PFMLA Trust Contribution</v>
      </c>
      <c r="I27" s="310">
        <f>'[3]Master Data '!D128</f>
        <v>3.7000000000000002E-3</v>
      </c>
      <c r="J27" s="147"/>
      <c r="K27" s="147"/>
      <c r="L27" s="174">
        <f>L22*I27</f>
        <v>6499.1558469434012</v>
      </c>
      <c r="M27" s="148"/>
      <c r="N27" s="303"/>
      <c r="P27" s="261" t="s">
        <v>130</v>
      </c>
      <c r="Q27" s="147"/>
      <c r="R27" s="161">
        <f>'Salary Bench Chart'!C4</f>
        <v>32198.400000000001</v>
      </c>
      <c r="S27" s="148"/>
    </row>
    <row r="28" spans="1:19" ht="13.15" x14ac:dyDescent="0.25">
      <c r="F28" s="208"/>
      <c r="H28" s="150" t="s">
        <v>38</v>
      </c>
      <c r="I28" s="147"/>
      <c r="J28" s="147"/>
      <c r="K28" s="174">
        <f>$R$53</f>
        <v>25.7254875</v>
      </c>
      <c r="L28" s="311">
        <f>K28*L3</f>
        <v>112677.63524999999</v>
      </c>
      <c r="M28" s="173"/>
      <c r="N28" s="303"/>
      <c r="P28" s="261" t="s">
        <v>131</v>
      </c>
      <c r="Q28" s="147"/>
      <c r="R28" s="161">
        <f>'Salary Bench Chart'!C4</f>
        <v>32198.400000000001</v>
      </c>
      <c r="S28" s="148"/>
    </row>
    <row r="29" spans="1:19" ht="13.15" x14ac:dyDescent="0.25">
      <c r="A29" s="304" t="s">
        <v>32</v>
      </c>
      <c r="D29" s="304" t="s">
        <v>33</v>
      </c>
      <c r="F29" s="208"/>
      <c r="H29" s="150" t="s">
        <v>39</v>
      </c>
      <c r="I29" s="147"/>
      <c r="J29" s="147"/>
      <c r="K29" s="174">
        <f>$R$54</f>
        <v>23.103999999999999</v>
      </c>
      <c r="L29" s="311">
        <f>K29*L3</f>
        <v>101195.51999999999</v>
      </c>
      <c r="M29" s="173"/>
      <c r="N29" s="303"/>
      <c r="P29" s="25"/>
      <c r="Q29" s="147"/>
      <c r="R29" s="156"/>
      <c r="S29" s="148"/>
    </row>
    <row r="30" spans="1:19" ht="13.15" x14ac:dyDescent="0.25">
      <c r="A30" s="142" t="s">
        <v>35</v>
      </c>
      <c r="C30" s="312">
        <f>$R$51</f>
        <v>0.22309999999999999</v>
      </c>
      <c r="E30" s="307">
        <f>C30*E27</f>
        <v>363665.12934061425</v>
      </c>
      <c r="F30" s="208"/>
      <c r="H30" s="150"/>
      <c r="I30" s="147"/>
      <c r="J30" s="147"/>
      <c r="K30" s="176">
        <f>SUM(K28:K29)</f>
        <v>48.829487499999999</v>
      </c>
      <c r="L30" s="147"/>
      <c r="M30" s="148"/>
      <c r="N30" s="303"/>
      <c r="P30" s="150"/>
      <c r="Q30" s="147"/>
      <c r="R30" s="177" t="s">
        <v>41</v>
      </c>
      <c r="S30" s="148"/>
    </row>
    <row r="31" spans="1:19" ht="13.15" x14ac:dyDescent="0.25">
      <c r="A31" s="168" t="s">
        <v>36</v>
      </c>
      <c r="B31" s="168"/>
      <c r="C31" s="168"/>
      <c r="D31" s="172">
        <f>E31/E8</f>
        <v>455.18709968552844</v>
      </c>
      <c r="E31" s="309">
        <f>E30+E27</f>
        <v>1993719.4966226146</v>
      </c>
      <c r="F31" s="208"/>
      <c r="H31" s="150"/>
      <c r="I31" s="147"/>
      <c r="J31" s="147"/>
      <c r="K31" s="147"/>
      <c r="L31" s="147"/>
      <c r="M31" s="148"/>
      <c r="P31" s="150" t="s">
        <v>42</v>
      </c>
      <c r="Q31" s="178"/>
      <c r="R31" s="178"/>
      <c r="S31" s="179"/>
    </row>
    <row r="32" spans="1:19" ht="13.15" x14ac:dyDescent="0.25">
      <c r="F32" s="208"/>
      <c r="H32" s="167" t="s">
        <v>40</v>
      </c>
      <c r="I32" s="168"/>
      <c r="J32" s="168"/>
      <c r="K32" s="168"/>
      <c r="L32" s="309">
        <f>SUM(L26:L29)</f>
        <v>2368782.4506635582</v>
      </c>
      <c r="M32" s="223"/>
      <c r="N32" s="224"/>
      <c r="P32" s="150" t="s">
        <v>48</v>
      </c>
      <c r="Q32" s="180"/>
      <c r="R32" s="180">
        <f>'[4]Rate Options'!$K$30</f>
        <v>12</v>
      </c>
      <c r="S32" s="181"/>
    </row>
    <row r="33" spans="1:19" ht="13.15" x14ac:dyDescent="0.25">
      <c r="A33" s="142" t="s">
        <v>38</v>
      </c>
      <c r="D33" s="206">
        <f>$R$53</f>
        <v>25.7254875</v>
      </c>
      <c r="E33" s="313">
        <f>D33*E8</f>
        <v>112677.63524999999</v>
      </c>
      <c r="F33" s="208"/>
      <c r="H33" s="150"/>
      <c r="I33" s="147"/>
      <c r="J33" s="147"/>
      <c r="K33" s="147"/>
      <c r="L33" s="147"/>
      <c r="M33" s="148"/>
      <c r="P33" s="17" t="s">
        <v>14</v>
      </c>
      <c r="Q33" s="157"/>
      <c r="R33" s="166">
        <f>'[4]Rate Options'!K32</f>
        <v>2</v>
      </c>
      <c r="S33" s="314"/>
    </row>
    <row r="34" spans="1:19" ht="13.15" x14ac:dyDescent="0.25">
      <c r="A34" s="147" t="s">
        <v>39</v>
      </c>
      <c r="D34" s="206">
        <f>$R$54</f>
        <v>23.103999999999999</v>
      </c>
      <c r="E34" s="313">
        <f>D34*E8</f>
        <v>101195.51999999999</v>
      </c>
      <c r="F34" s="208"/>
      <c r="H34" s="150" t="s">
        <v>47</v>
      </c>
      <c r="I34" s="147"/>
      <c r="J34" s="191">
        <f>'[3]STARR (rebased)'!T47</f>
        <v>0.11849999999999999</v>
      </c>
      <c r="K34" s="147"/>
      <c r="L34" s="156">
        <f>J34*L32</f>
        <v>280700.72040363163</v>
      </c>
      <c r="M34" s="158"/>
      <c r="N34" s="303"/>
      <c r="P34" s="17" t="s">
        <v>16</v>
      </c>
      <c r="Q34" s="157"/>
      <c r="R34" s="166"/>
      <c r="S34" s="314"/>
    </row>
    <row r="35" spans="1:19" ht="13.15" x14ac:dyDescent="0.25">
      <c r="D35" s="176">
        <f>SUM(D33:D34)</f>
        <v>48.829487499999999</v>
      </c>
      <c r="F35" s="208"/>
      <c r="H35" s="150"/>
      <c r="I35" s="147"/>
      <c r="J35" s="147"/>
      <c r="K35" s="147"/>
      <c r="L35" s="147"/>
      <c r="M35" s="148"/>
      <c r="P35" s="25" t="s">
        <v>124</v>
      </c>
      <c r="Q35" s="157"/>
      <c r="R35" s="166">
        <f>'[4]Rate Options'!K34</f>
        <v>0.3</v>
      </c>
      <c r="S35" s="314"/>
    </row>
    <row r="36" spans="1:19" ht="13.9" thickBot="1" x14ac:dyDescent="0.3">
      <c r="F36" s="208"/>
      <c r="H36" s="182" t="s">
        <v>49</v>
      </c>
      <c r="I36" s="183"/>
      <c r="J36" s="183"/>
      <c r="K36" s="183"/>
      <c r="L36" s="315">
        <f>SUM(L32:L34)</f>
        <v>2649483.1710671899</v>
      </c>
      <c r="M36" s="223">
        <f>L36</f>
        <v>2649483.1710671899</v>
      </c>
      <c r="N36" s="224"/>
      <c r="P36" s="25" t="s">
        <v>18</v>
      </c>
      <c r="Q36" s="157"/>
      <c r="R36" s="166">
        <f>'[4]Rate Options'!K35</f>
        <v>2.75</v>
      </c>
      <c r="S36" s="314"/>
    </row>
    <row r="37" spans="1:19" ht="13.9" thickTop="1" x14ac:dyDescent="0.25">
      <c r="A37" s="168" t="s">
        <v>40</v>
      </c>
      <c r="B37" s="168"/>
      <c r="C37" s="168"/>
      <c r="D37" s="168"/>
      <c r="E37" s="309">
        <f>SUM(E31:E34)</f>
        <v>2207592.6518726144</v>
      </c>
      <c r="F37" s="208"/>
      <c r="H37" s="150"/>
      <c r="I37" s="147"/>
      <c r="J37" s="147"/>
      <c r="K37" s="147"/>
      <c r="L37" s="147"/>
      <c r="M37" s="148"/>
      <c r="P37" s="25" t="s">
        <v>125</v>
      </c>
      <c r="Q37" s="157"/>
      <c r="R37" s="166">
        <f>'[4]Rate Options'!K36</f>
        <v>1</v>
      </c>
      <c r="S37" s="314"/>
    </row>
    <row r="38" spans="1:19" ht="13.15" x14ac:dyDescent="0.25">
      <c r="F38" s="208"/>
      <c r="H38" s="150" t="str">
        <f>P59</f>
        <v>CAF (Rate review FY21)</v>
      </c>
      <c r="I38" s="171">
        <f>R59</f>
        <v>1.78E-2</v>
      </c>
      <c r="J38" s="171"/>
      <c r="K38" s="147"/>
      <c r="L38" s="316"/>
      <c r="M38" s="187">
        <f>(M36*I38)-(L22*I38)+M36</f>
        <v>2665377.7623025663</v>
      </c>
      <c r="N38" s="317"/>
      <c r="P38" s="25" t="s">
        <v>31</v>
      </c>
      <c r="Q38" s="157"/>
      <c r="R38" s="166">
        <f>'[4]Rate Options'!K37</f>
        <v>2</v>
      </c>
      <c r="S38" s="314"/>
    </row>
    <row r="39" spans="1:19" ht="13.9" thickBot="1" x14ac:dyDescent="0.3">
      <c r="A39" s="142" t="s">
        <v>47</v>
      </c>
      <c r="C39" s="312">
        <f>$R$57</f>
        <v>9.4700000000000006E-2</v>
      </c>
      <c r="E39" s="307">
        <f>C39*E37</f>
        <v>209059.02413233661</v>
      </c>
      <c r="F39" s="208"/>
      <c r="H39" s="190"/>
      <c r="I39" s="149"/>
      <c r="J39" s="149"/>
      <c r="K39" s="192"/>
      <c r="L39" s="192"/>
      <c r="M39" s="277"/>
      <c r="P39" s="25" t="s">
        <v>126</v>
      </c>
      <c r="Q39" s="157"/>
      <c r="R39" s="166">
        <f>'[4]Rate Options'!K38</f>
        <v>1</v>
      </c>
      <c r="S39" s="314"/>
    </row>
    <row r="40" spans="1:19" ht="13.9" thickBot="1" x14ac:dyDescent="0.3">
      <c r="F40" s="208"/>
      <c r="H40" s="230"/>
      <c r="I40" s="231"/>
      <c r="J40" s="232"/>
      <c r="K40" s="233"/>
      <c r="L40" s="341"/>
      <c r="M40" s="340">
        <f>M38/12</f>
        <v>222114.81352521386</v>
      </c>
      <c r="N40" s="319"/>
      <c r="P40" s="17" t="s">
        <v>20</v>
      </c>
      <c r="Q40" s="157"/>
      <c r="R40" s="166"/>
      <c r="S40" s="314"/>
    </row>
    <row r="41" spans="1:19" ht="13.9" thickBot="1" x14ac:dyDescent="0.3">
      <c r="A41" s="320" t="s">
        <v>49</v>
      </c>
      <c r="B41" s="183"/>
      <c r="C41" s="183"/>
      <c r="D41" s="183"/>
      <c r="E41" s="315">
        <f>SUM(E37:E39)</f>
        <v>2416651.6760049509</v>
      </c>
      <c r="F41" s="208"/>
      <c r="H41" s="106"/>
      <c r="I41" s="107"/>
      <c r="J41" s="108"/>
      <c r="K41" s="89"/>
      <c r="L41" s="89"/>
      <c r="M41" s="89"/>
      <c r="N41" s="321"/>
      <c r="P41" s="25" t="s">
        <v>127</v>
      </c>
      <c r="Q41" s="157"/>
      <c r="R41" s="166">
        <f>'[4]Rate Options'!K40</f>
        <v>0.18</v>
      </c>
      <c r="S41" s="314"/>
    </row>
    <row r="42" spans="1:19" ht="13.9" thickTop="1" x14ac:dyDescent="0.25">
      <c r="F42" s="208"/>
      <c r="H42" s="149"/>
      <c r="I42" s="204"/>
      <c r="J42" s="149"/>
      <c r="K42" s="89"/>
      <c r="L42" s="89"/>
      <c r="M42" s="89"/>
      <c r="N42" s="321"/>
      <c r="P42" s="25" t="s">
        <v>128</v>
      </c>
      <c r="Q42" s="157"/>
      <c r="R42" s="166">
        <f>'[4]Rate Options'!K41</f>
        <v>1</v>
      </c>
      <c r="S42" s="314"/>
    </row>
    <row r="43" spans="1:19" ht="13.15" x14ac:dyDescent="0.25">
      <c r="A43" s="142" t="s">
        <v>132</v>
      </c>
      <c r="C43" s="312"/>
      <c r="E43" s="322">
        <f>E41*(1+C43)</f>
        <v>2416651.6760049509</v>
      </c>
      <c r="F43" s="208"/>
      <c r="H43" s="149"/>
      <c r="I43" s="325"/>
      <c r="J43" s="149"/>
      <c r="K43" s="149"/>
      <c r="L43" s="202"/>
      <c r="M43" s="202"/>
      <c r="N43" s="89"/>
      <c r="P43" s="25" t="s">
        <v>25</v>
      </c>
      <c r="Q43" s="157"/>
      <c r="R43" s="166">
        <f>'[4]Rate Options'!K42</f>
        <v>20.05</v>
      </c>
      <c r="S43" s="314"/>
    </row>
    <row r="44" spans="1:19" ht="13.15" x14ac:dyDescent="0.25">
      <c r="F44" s="208"/>
      <c r="I44" s="331"/>
      <c r="J44" s="205"/>
      <c r="K44" s="205"/>
      <c r="L44" s="326"/>
      <c r="M44" s="326"/>
      <c r="N44" s="89"/>
      <c r="P44" s="47" t="s">
        <v>27</v>
      </c>
      <c r="Q44" s="157"/>
      <c r="R44" s="166">
        <f>R43*$R$10</f>
        <v>2.9303846153846158</v>
      </c>
      <c r="S44" s="314"/>
    </row>
    <row r="45" spans="1:19" ht="13.15" x14ac:dyDescent="0.25">
      <c r="E45" s="323" t="s">
        <v>59</v>
      </c>
      <c r="F45" s="208"/>
      <c r="I45" s="331"/>
      <c r="J45" s="205"/>
      <c r="K45" s="205"/>
      <c r="L45" s="333"/>
      <c r="M45" s="326"/>
      <c r="N45" s="89"/>
      <c r="P45" s="17" t="s">
        <v>28</v>
      </c>
      <c r="Q45" s="157"/>
      <c r="R45" s="166"/>
      <c r="S45" s="314"/>
    </row>
    <row r="46" spans="1:19" ht="13.15" x14ac:dyDescent="0.25">
      <c r="A46" s="142" t="s">
        <v>133</v>
      </c>
      <c r="D46" s="324">
        <f>E41/E8</f>
        <v>551.74695799199787</v>
      </c>
      <c r="E46" s="324">
        <f>D46*(1+C43)</f>
        <v>551.74695799199787</v>
      </c>
      <c r="F46" s="208"/>
      <c r="I46" s="331"/>
      <c r="J46" s="205"/>
      <c r="K46" s="205"/>
      <c r="L46" s="333"/>
      <c r="M46" s="326"/>
      <c r="N46" s="326"/>
      <c r="P46" s="25" t="s">
        <v>29</v>
      </c>
      <c r="Q46" s="157"/>
      <c r="R46" s="166">
        <f>'[4]Rate Options'!K45</f>
        <v>1.5</v>
      </c>
      <c r="S46" s="314"/>
    </row>
    <row r="47" spans="1:19" ht="13.9" thickBot="1" x14ac:dyDescent="0.3">
      <c r="A47" s="327" t="s">
        <v>134</v>
      </c>
      <c r="B47" s="327"/>
      <c r="C47" s="328"/>
      <c r="D47" s="329"/>
      <c r="E47" s="329"/>
      <c r="F47" s="330">
        <f>E46*(1+C47)</f>
        <v>551.74695799199787</v>
      </c>
      <c r="L47" s="206"/>
      <c r="N47" s="326"/>
      <c r="P47" s="261" t="s">
        <v>130</v>
      </c>
      <c r="Q47" s="157"/>
      <c r="R47" s="166">
        <f>'[4]Rate Options'!K46</f>
        <v>2</v>
      </c>
      <c r="S47" s="314"/>
    </row>
    <row r="48" spans="1:19" ht="13.9" thickBot="1" x14ac:dyDescent="0.3">
      <c r="A48" s="279" t="s">
        <v>50</v>
      </c>
      <c r="B48" s="280">
        <v>0.9</v>
      </c>
      <c r="C48" s="281"/>
      <c r="D48" s="282">
        <f>E41/(E8*B48)</f>
        <v>613.05217554666433</v>
      </c>
      <c r="E48" s="283">
        <f>D48*(1+C43)</f>
        <v>613.05217554666433</v>
      </c>
      <c r="F48" s="332">
        <f>F47/B48</f>
        <v>613.05217554666433</v>
      </c>
      <c r="J48" s="206"/>
      <c r="N48" s="326"/>
      <c r="P48" s="261" t="s">
        <v>131</v>
      </c>
      <c r="Q48" s="157"/>
      <c r="R48" s="166">
        <f>'[4]Rate Options'!K47</f>
        <v>2</v>
      </c>
      <c r="S48" s="314"/>
    </row>
    <row r="49" spans="1:20" ht="13.15" x14ac:dyDescent="0.25">
      <c r="A49" s="285"/>
      <c r="B49" s="286">
        <v>0.85</v>
      </c>
      <c r="C49" s="287"/>
      <c r="D49" s="288">
        <f>E41/(E8*B49)</f>
        <v>649.11406822587992</v>
      </c>
      <c r="E49" s="289">
        <f>D49*(1+C43)</f>
        <v>649.11406822587992</v>
      </c>
      <c r="F49" s="330"/>
      <c r="J49" s="338"/>
      <c r="N49" s="326"/>
      <c r="P49" s="150"/>
      <c r="Q49" s="147"/>
      <c r="R49" s="147"/>
      <c r="S49" s="148"/>
    </row>
    <row r="50" spans="1:20" ht="13.15" x14ac:dyDescent="0.25">
      <c r="A50" s="334"/>
      <c r="B50" s="335">
        <v>0.8</v>
      </c>
      <c r="C50" s="336"/>
      <c r="D50" s="293">
        <f>E41/(E8*B50)</f>
        <v>689.68369748999737</v>
      </c>
      <c r="E50" s="294">
        <f>D50*(1+C43)</f>
        <v>689.68369748999737</v>
      </c>
      <c r="F50" s="337"/>
      <c r="P50" s="150"/>
      <c r="Q50" s="147"/>
      <c r="R50" s="177" t="s">
        <v>135</v>
      </c>
      <c r="S50" s="148"/>
    </row>
    <row r="51" spans="1:20" ht="13.15" x14ac:dyDescent="0.25">
      <c r="P51" s="150" t="s">
        <v>35</v>
      </c>
      <c r="Q51" s="147"/>
      <c r="R51" s="435">
        <f>'[3]STARR (rebased)'!T39</f>
        <v>0.22309999999999999</v>
      </c>
      <c r="S51" s="148"/>
    </row>
    <row r="52" spans="1:20" ht="13.15" x14ac:dyDescent="0.25">
      <c r="P52" s="150" t="s">
        <v>140</v>
      </c>
      <c r="Q52" s="147"/>
      <c r="R52" s="191">
        <v>3.7000000000000002E-3</v>
      </c>
      <c r="S52" s="148"/>
    </row>
    <row r="53" spans="1:20" x14ac:dyDescent="0.2">
      <c r="P53" s="150" t="s">
        <v>38</v>
      </c>
      <c r="Q53" s="147"/>
      <c r="R53" s="211">
        <f>'[3]Master Data '!F89</f>
        <v>25.7254875</v>
      </c>
      <c r="S53" s="339" t="s">
        <v>55</v>
      </c>
    </row>
    <row r="54" spans="1:20" ht="13.15" x14ac:dyDescent="0.25">
      <c r="P54" s="150" t="s">
        <v>39</v>
      </c>
      <c r="Q54" s="147"/>
      <c r="R54" s="211">
        <v>23.103999999999999</v>
      </c>
      <c r="S54" s="148"/>
      <c r="T54" s="142" t="s">
        <v>136</v>
      </c>
    </row>
    <row r="55" spans="1:20" ht="13.15" x14ac:dyDescent="0.25">
      <c r="P55" s="212" t="s">
        <v>40</v>
      </c>
      <c r="Q55" s="213"/>
      <c r="R55" s="214">
        <f>SUM(R53:R54)</f>
        <v>48.829487499999999</v>
      </c>
      <c r="S55" s="146"/>
    </row>
    <row r="56" spans="1:20" ht="13.15" x14ac:dyDescent="0.25">
      <c r="G56" s="206"/>
      <c r="P56" s="150"/>
      <c r="Q56" s="147"/>
      <c r="R56" s="147"/>
      <c r="S56" s="148"/>
    </row>
    <row r="57" spans="1:20" ht="13.15" x14ac:dyDescent="0.25">
      <c r="P57" s="150" t="s">
        <v>47</v>
      </c>
      <c r="Q57" s="147"/>
      <c r="R57" s="209">
        <f>'[3]Master Data '!D131</f>
        <v>9.4700000000000006E-2</v>
      </c>
      <c r="S57" s="148"/>
    </row>
    <row r="58" spans="1:20" ht="13.15" x14ac:dyDescent="0.25">
      <c r="P58" s="150"/>
      <c r="Q58" s="147"/>
      <c r="R58" s="147"/>
      <c r="S58" s="148"/>
    </row>
    <row r="59" spans="1:20" ht="13.5" thickBot="1" x14ac:dyDescent="0.25">
      <c r="P59" s="215" t="str">
        <f>'[3]Master Data '!B126</f>
        <v>CAF (Rate review FY21)</v>
      </c>
      <c r="Q59" s="216"/>
      <c r="R59" s="445">
        <f>'[3]Master Data '!D126</f>
        <v>1.78E-2</v>
      </c>
      <c r="S59" s="219"/>
    </row>
    <row r="61" spans="1:20" x14ac:dyDescent="0.2">
      <c r="P61" s="221"/>
    </row>
    <row r="62" spans="1:20" x14ac:dyDescent="0.2">
      <c r="P62" s="102"/>
    </row>
    <row r="64" spans="1:20" x14ac:dyDescent="0.2">
      <c r="P64" s="102"/>
    </row>
  </sheetData>
  <mergeCells count="6">
    <mergeCell ref="P1:S1"/>
    <mergeCell ref="Q3:R3"/>
    <mergeCell ref="A6:E7"/>
    <mergeCell ref="F6:F7"/>
    <mergeCell ref="H1:L2"/>
    <mergeCell ref="M1:M2"/>
  </mergeCells>
  <pageMargins left="0.7" right="0.7" top="0.75" bottom="0.75" header="0.3" footer="0.3"/>
  <pageSetup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30" zoomScale="85" zoomScaleNormal="85" workbookViewId="0">
      <selection activeCell="F56" sqref="F56"/>
    </sheetView>
  </sheetViews>
  <sheetFormatPr defaultColWidth="9.140625" defaultRowHeight="12.75" x14ac:dyDescent="0.2"/>
  <cols>
    <col min="1" max="1" width="32.42578125" style="3" customWidth="1"/>
    <col min="2" max="2" width="8.28515625" style="3" customWidth="1"/>
    <col min="3" max="3" width="12.85546875" style="3" customWidth="1"/>
    <col min="4" max="4" width="10.85546875" style="3" customWidth="1"/>
    <col min="5" max="5" width="14.140625" style="3" customWidth="1"/>
    <col min="6" max="6" width="14.140625" style="90" customWidth="1"/>
    <col min="7" max="7" width="9.140625" style="3"/>
    <col min="8" max="8" width="31.85546875" style="3" bestFit="1" customWidth="1"/>
    <col min="9" max="11" width="10.140625" style="3" customWidth="1"/>
    <col min="12" max="12" width="5" style="3" customWidth="1"/>
    <col min="13" max="16384" width="9.140625" style="3"/>
  </cols>
  <sheetData>
    <row r="1" spans="1:13" ht="13.9" thickBot="1" x14ac:dyDescent="0.3">
      <c r="H1" s="759" t="s">
        <v>2</v>
      </c>
      <c r="I1" s="759"/>
      <c r="J1" s="759"/>
      <c r="K1" s="759"/>
    </row>
    <row r="2" spans="1:13" ht="13.9" thickBot="1" x14ac:dyDescent="0.3"/>
    <row r="3" spans="1:13" ht="13.15" x14ac:dyDescent="0.25">
      <c r="H3" s="13" t="s">
        <v>6</v>
      </c>
      <c r="I3" s="760" t="s">
        <v>7</v>
      </c>
      <c r="J3" s="760"/>
      <c r="K3" s="14"/>
      <c r="L3" s="15"/>
      <c r="M3" s="15"/>
    </row>
    <row r="4" spans="1:13" ht="13.15" x14ac:dyDescent="0.25">
      <c r="A4" s="104"/>
      <c r="B4" s="104"/>
      <c r="C4" s="104"/>
      <c r="D4" s="104"/>
      <c r="E4" s="104"/>
      <c r="F4" s="388"/>
      <c r="H4" s="17"/>
      <c r="I4" s="18" t="s">
        <v>8</v>
      </c>
      <c r="J4" s="19" t="s">
        <v>9</v>
      </c>
      <c r="K4" s="20"/>
      <c r="L4" s="15"/>
      <c r="M4" s="15"/>
    </row>
    <row r="5" spans="1:13" ht="13.15" x14ac:dyDescent="0.25">
      <c r="H5" s="25" t="s">
        <v>13</v>
      </c>
      <c r="I5" s="26">
        <v>15</v>
      </c>
      <c r="J5" s="27">
        <f>I5*8</f>
        <v>120</v>
      </c>
      <c r="K5" s="20"/>
      <c r="L5" s="15"/>
      <c r="M5" s="15"/>
    </row>
    <row r="6" spans="1:13" ht="13.15" x14ac:dyDescent="0.25">
      <c r="H6" s="25" t="s">
        <v>15</v>
      </c>
      <c r="I6" s="26">
        <v>8</v>
      </c>
      <c r="J6" s="27">
        <f>I6*8</f>
        <v>64</v>
      </c>
      <c r="K6" s="20"/>
      <c r="L6" s="15"/>
      <c r="M6" s="15"/>
    </row>
    <row r="7" spans="1:13" ht="13.9" customHeight="1" thickBot="1" x14ac:dyDescent="0.3">
      <c r="A7" s="827" t="s">
        <v>276</v>
      </c>
      <c r="B7" s="827"/>
      <c r="C7" s="827"/>
      <c r="D7" s="827"/>
      <c r="E7" s="827"/>
      <c r="F7" s="250"/>
      <c r="H7" s="25" t="s">
        <v>17</v>
      </c>
      <c r="I7" s="26">
        <v>10</v>
      </c>
      <c r="J7" s="27">
        <f>I7*8</f>
        <v>80</v>
      </c>
      <c r="K7" s="20"/>
      <c r="L7" s="15"/>
      <c r="M7" s="15"/>
    </row>
    <row r="8" spans="1:13" ht="13.15" x14ac:dyDescent="0.25">
      <c r="A8" s="246" t="s">
        <v>4</v>
      </c>
      <c r="B8" s="247">
        <f>J$23</f>
        <v>6</v>
      </c>
      <c r="C8" s="246"/>
      <c r="D8" s="246" t="s">
        <v>5</v>
      </c>
      <c r="E8" s="248">
        <f>B8*365</f>
        <v>2190</v>
      </c>
      <c r="F8" s="249"/>
      <c r="H8" s="32" t="s">
        <v>19</v>
      </c>
      <c r="I8" s="33">
        <v>7</v>
      </c>
      <c r="J8" s="34">
        <f>I8*8</f>
        <v>56</v>
      </c>
      <c r="K8" s="35"/>
      <c r="L8" s="15"/>
      <c r="M8" s="15"/>
    </row>
    <row r="9" spans="1:13" ht="13.15" x14ac:dyDescent="0.25">
      <c r="H9" s="25"/>
      <c r="I9" s="36" t="s">
        <v>21</v>
      </c>
      <c r="J9" s="27">
        <f>SUM(J5:J8)</f>
        <v>320</v>
      </c>
      <c r="K9" s="37"/>
      <c r="L9" s="15"/>
      <c r="M9" s="15"/>
    </row>
    <row r="10" spans="1:13" ht="13.9" thickBot="1" x14ac:dyDescent="0.3">
      <c r="A10" s="22"/>
      <c r="B10" s="22"/>
      <c r="C10" s="23" t="s">
        <v>10</v>
      </c>
      <c r="D10" s="23" t="s">
        <v>11</v>
      </c>
      <c r="E10" s="23" t="s">
        <v>12</v>
      </c>
      <c r="F10" s="250"/>
      <c r="H10" s="38"/>
      <c r="I10" s="39" t="s">
        <v>23</v>
      </c>
      <c r="J10" s="40">
        <f>J9/(52*40)</f>
        <v>0.15384615384615385</v>
      </c>
      <c r="K10" s="41"/>
    </row>
    <row r="11" spans="1:13" ht="13.9" thickBot="1" x14ac:dyDescent="0.3">
      <c r="A11" s="251" t="s">
        <v>14</v>
      </c>
      <c r="C11" s="252">
        <f>J13</f>
        <v>57593.3511</v>
      </c>
      <c r="D11" s="253">
        <f>J24</f>
        <v>1.4299999999999997</v>
      </c>
      <c r="E11" s="254">
        <f>C11*D11</f>
        <v>82358.492072999987</v>
      </c>
      <c r="F11" s="255"/>
    </row>
    <row r="12" spans="1:13" ht="13.15" x14ac:dyDescent="0.25">
      <c r="A12" s="256" t="s">
        <v>16</v>
      </c>
      <c r="C12" s="252"/>
      <c r="D12" s="253"/>
      <c r="E12" s="254"/>
      <c r="F12" s="255"/>
      <c r="H12" s="43"/>
      <c r="I12" s="44"/>
      <c r="J12" s="45" t="s">
        <v>26</v>
      </c>
      <c r="K12" s="622"/>
    </row>
    <row r="13" spans="1:13" ht="13.15" x14ac:dyDescent="0.25">
      <c r="A13" s="257" t="s">
        <v>18</v>
      </c>
      <c r="C13" s="252">
        <f>J15</f>
        <v>86860.800000000003</v>
      </c>
      <c r="D13" s="253">
        <f>J26</f>
        <v>0.13</v>
      </c>
      <c r="E13" s="254">
        <f>C13*D13</f>
        <v>11291.904</v>
      </c>
      <c r="F13" s="255"/>
      <c r="H13" s="17" t="s">
        <v>14</v>
      </c>
      <c r="I13" s="10"/>
      <c r="J13" s="29">
        <f>'[3]Group Home (rebased)'!P13</f>
        <v>57593.3511</v>
      </c>
      <c r="K13" s="575"/>
    </row>
    <row r="14" spans="1:13" ht="13.15" x14ac:dyDescent="0.25">
      <c r="A14" s="257" t="s">
        <v>280</v>
      </c>
      <c r="C14" s="252">
        <f>J16</f>
        <v>52665.599999999999</v>
      </c>
      <c r="D14" s="253">
        <f>J27</f>
        <v>0.12</v>
      </c>
      <c r="E14" s="254">
        <f>C14*D14</f>
        <v>6319.8719999999994</v>
      </c>
      <c r="F14" s="255"/>
      <c r="H14" s="17" t="s">
        <v>16</v>
      </c>
      <c r="I14" s="10"/>
      <c r="J14" s="29"/>
      <c r="K14" s="575"/>
    </row>
    <row r="15" spans="1:13" ht="13.15" x14ac:dyDescent="0.25">
      <c r="A15" s="256" t="s">
        <v>20</v>
      </c>
      <c r="C15" s="252"/>
      <c r="D15" s="253"/>
      <c r="E15" s="254"/>
      <c r="F15" s="255"/>
      <c r="H15" s="25" t="s">
        <v>18</v>
      </c>
      <c r="I15" s="10"/>
      <c r="J15" s="29">
        <f>'Salary Bench Chart'!C20</f>
        <v>86860.800000000003</v>
      </c>
      <c r="K15" s="561"/>
    </row>
    <row r="16" spans="1:13" ht="13.15" x14ac:dyDescent="0.25">
      <c r="A16" s="257" t="s">
        <v>24</v>
      </c>
      <c r="C16" s="258">
        <f>J18</f>
        <v>52665.599999999999</v>
      </c>
      <c r="D16" s="253">
        <f>J29</f>
        <v>1.2</v>
      </c>
      <c r="E16" s="254">
        <f>C16*D16</f>
        <v>63198.719999999994</v>
      </c>
      <c r="F16" s="255"/>
      <c r="H16" s="261" t="s">
        <v>279</v>
      </c>
      <c r="I16" s="10"/>
      <c r="J16" s="29">
        <f>'Salary Bench Chart'!C12</f>
        <v>52665.599999999999</v>
      </c>
      <c r="K16" s="561"/>
    </row>
    <row r="17" spans="1:13" ht="13.15" x14ac:dyDescent="0.25">
      <c r="A17" s="257" t="s">
        <v>25</v>
      </c>
      <c r="C17" s="252">
        <f>J19</f>
        <v>32198.400000000001</v>
      </c>
      <c r="D17" s="253">
        <f>J30</f>
        <v>9.8000000000000007</v>
      </c>
      <c r="E17" s="254">
        <f>C17*D17</f>
        <v>315544.32000000007</v>
      </c>
      <c r="F17" s="255"/>
      <c r="H17" s="17" t="s">
        <v>20</v>
      </c>
      <c r="I17" s="10"/>
      <c r="J17" s="29"/>
      <c r="K17" s="561"/>
    </row>
    <row r="18" spans="1:13" ht="13.15" x14ac:dyDescent="0.25">
      <c r="A18" s="259" t="s">
        <v>27</v>
      </c>
      <c r="C18" s="252">
        <f>J20</f>
        <v>32198.400000000001</v>
      </c>
      <c r="D18" s="354">
        <f>J31</f>
        <v>1.5076923076923079</v>
      </c>
      <c r="E18" s="254">
        <f>C18*D18</f>
        <v>48545.280000000006</v>
      </c>
      <c r="F18" s="255"/>
      <c r="H18" s="25" t="s">
        <v>24</v>
      </c>
      <c r="I18" s="10"/>
      <c r="J18" s="42">
        <f>'Salary Bench Chart'!C12</f>
        <v>52665.599999999999</v>
      </c>
      <c r="K18" s="561"/>
    </row>
    <row r="19" spans="1:13" ht="13.15" x14ac:dyDescent="0.25">
      <c r="A19" s="50" t="s">
        <v>30</v>
      </c>
      <c r="B19" s="50"/>
      <c r="C19" s="50"/>
      <c r="D19" s="51">
        <f>SUM(D11:D18)</f>
        <v>14.187692307692307</v>
      </c>
      <c r="E19" s="264">
        <f>SUM(E11:E18)</f>
        <v>527258.58807300008</v>
      </c>
      <c r="F19" s="105"/>
      <c r="H19" s="25" t="s">
        <v>25</v>
      </c>
      <c r="I19" s="10"/>
      <c r="J19" s="29">
        <f>'Salary Bench Chart'!C4</f>
        <v>32198.400000000001</v>
      </c>
      <c r="K19" s="561"/>
    </row>
    <row r="20" spans="1:13" ht="13.15" x14ac:dyDescent="0.25">
      <c r="H20" s="47" t="s">
        <v>27</v>
      </c>
      <c r="I20" s="10"/>
      <c r="J20" s="29">
        <f>'Salary Bench Chart'!C4</f>
        <v>32198.400000000001</v>
      </c>
      <c r="K20" s="561"/>
    </row>
    <row r="21" spans="1:13" ht="13.15" x14ac:dyDescent="0.25">
      <c r="A21" s="246" t="s">
        <v>32</v>
      </c>
      <c r="D21" s="246" t="s">
        <v>33</v>
      </c>
      <c r="H21" s="25"/>
      <c r="I21" s="10"/>
      <c r="J21" s="29"/>
      <c r="K21" s="575"/>
    </row>
    <row r="22" spans="1:13" ht="13.15" x14ac:dyDescent="0.25">
      <c r="A22" s="3" t="s">
        <v>35</v>
      </c>
      <c r="C22" s="265">
        <f>$J$34</f>
        <v>0.22309999999999999</v>
      </c>
      <c r="E22" s="254">
        <f>C22*E19</f>
        <v>117631.39099908632</v>
      </c>
      <c r="F22" s="255"/>
      <c r="H22" s="16"/>
      <c r="I22" s="10"/>
      <c r="J22" s="59" t="s">
        <v>41</v>
      </c>
      <c r="K22" s="576"/>
    </row>
    <row r="23" spans="1:13" ht="13.15" x14ac:dyDescent="0.25">
      <c r="A23" s="50" t="s">
        <v>36</v>
      </c>
      <c r="B23" s="50"/>
      <c r="C23" s="50"/>
      <c r="D23" s="54">
        <f>E23/E8</f>
        <v>294.47031007857828</v>
      </c>
      <c r="E23" s="264">
        <f>E22+E19</f>
        <v>644889.9790720864</v>
      </c>
      <c r="F23" s="105"/>
      <c r="H23" s="16" t="s">
        <v>48</v>
      </c>
      <c r="I23" s="292"/>
      <c r="J23" s="623">
        <f>'[11]Seven Hills'!$J$23</f>
        <v>6</v>
      </c>
      <c r="K23" s="63"/>
    </row>
    <row r="24" spans="1:13" x14ac:dyDescent="0.2">
      <c r="H24" s="17" t="s">
        <v>14</v>
      </c>
      <c r="J24" s="611">
        <f>'[11]Seven Hills'!$J$25</f>
        <v>1.4299999999999997</v>
      </c>
      <c r="K24" s="641"/>
    </row>
    <row r="25" spans="1:13" ht="13.15" x14ac:dyDescent="0.25">
      <c r="H25" s="17" t="s">
        <v>16</v>
      </c>
      <c r="J25" s="611"/>
      <c r="K25" s="612"/>
    </row>
    <row r="26" spans="1:13" ht="13.15" x14ac:dyDescent="0.25">
      <c r="A26" s="3" t="s">
        <v>278</v>
      </c>
      <c r="C26" s="252">
        <f>J36</f>
        <v>12830</v>
      </c>
      <c r="E26" s="254">
        <f>C26</f>
        <v>12830</v>
      </c>
      <c r="F26" s="255"/>
      <c r="H26" s="25" t="s">
        <v>18</v>
      </c>
      <c r="J26" s="611">
        <f>'[11]Seven Hills'!$J$27</f>
        <v>0.13</v>
      </c>
      <c r="K26" s="612"/>
    </row>
    <row r="27" spans="1:13" ht="13.15" x14ac:dyDescent="0.25">
      <c r="A27" s="3" t="str">
        <f>'[3]Master Data '!B128</f>
        <v>PFMLA Trust Contribution</v>
      </c>
      <c r="B27" s="344">
        <f>J35</f>
        <v>3.7000000000000002E-3</v>
      </c>
      <c r="E27" s="91">
        <f>E19*B27</f>
        <v>1950.8567758701004</v>
      </c>
      <c r="H27" s="261" t="s">
        <v>277</v>
      </c>
      <c r="J27" s="611">
        <f>'[11]Seven Hills'!$J$28</f>
        <v>0.12</v>
      </c>
      <c r="K27" s="612"/>
    </row>
    <row r="28" spans="1:13" ht="13.15" x14ac:dyDescent="0.25">
      <c r="A28" s="3" t="s">
        <v>38</v>
      </c>
      <c r="D28" s="91">
        <f>$J$38</f>
        <v>22.6302378</v>
      </c>
      <c r="E28" s="267">
        <f>D28*(365*(4+4))</f>
        <v>66080.294376000005</v>
      </c>
      <c r="F28" s="296"/>
      <c r="H28" s="17" t="s">
        <v>20</v>
      </c>
      <c r="J28" s="611"/>
      <c r="K28" s="612"/>
    </row>
    <row r="29" spans="1:13" x14ac:dyDescent="0.2">
      <c r="A29" s="10" t="s">
        <v>39</v>
      </c>
      <c r="D29" s="91">
        <f>$J$39</f>
        <v>17.654</v>
      </c>
      <c r="E29" s="267">
        <f>D29*E8</f>
        <v>38662.26</v>
      </c>
      <c r="F29" s="296"/>
      <c r="H29" s="25" t="s">
        <v>24</v>
      </c>
      <c r="I29" s="10"/>
      <c r="J29" s="611">
        <f>'[11]Seven Hills'!$J$30</f>
        <v>1.2</v>
      </c>
      <c r="K29" s="641"/>
    </row>
    <row r="30" spans="1:13" ht="13.15" x14ac:dyDescent="0.25">
      <c r="A30" s="10" t="s">
        <v>174</v>
      </c>
      <c r="D30" s="91">
        <f>$J$40</f>
        <v>-1.9951315068493152</v>
      </c>
      <c r="E30" s="267">
        <f>D30*E8</f>
        <v>-4369.3380000000006</v>
      </c>
      <c r="F30" s="296"/>
      <c r="H30" s="25" t="s">
        <v>25</v>
      </c>
      <c r="J30" s="611">
        <v>9.8000000000000007</v>
      </c>
      <c r="K30" s="612"/>
      <c r="M30" s="642"/>
    </row>
    <row r="31" spans="1:13" ht="13.15" x14ac:dyDescent="0.25">
      <c r="D31" s="58">
        <f>SUM(D28:D30)</f>
        <v>38.289106293150681</v>
      </c>
      <c r="H31" s="47" t="s">
        <v>27</v>
      </c>
      <c r="J31" s="614">
        <f>J30*J10</f>
        <v>1.5076923076923079</v>
      </c>
      <c r="K31" s="591"/>
    </row>
    <row r="32" spans="1:13" ht="13.15" x14ac:dyDescent="0.25">
      <c r="H32" s="16"/>
      <c r="I32" s="10"/>
      <c r="J32" s="10"/>
      <c r="K32" s="11"/>
    </row>
    <row r="33" spans="1:12" ht="13.15" x14ac:dyDescent="0.25">
      <c r="A33" s="50" t="s">
        <v>40</v>
      </c>
      <c r="B33" s="50"/>
      <c r="C33" s="50"/>
      <c r="D33" s="50"/>
      <c r="E33" s="264">
        <f>SUM(E23:E30)</f>
        <v>760044.05222395645</v>
      </c>
      <c r="F33" s="105"/>
      <c r="H33" s="16"/>
      <c r="I33" s="10"/>
      <c r="J33" s="59" t="s">
        <v>53</v>
      </c>
      <c r="K33" s="576"/>
    </row>
    <row r="34" spans="1:12" ht="13.15" x14ac:dyDescent="0.25">
      <c r="H34" s="16" t="s">
        <v>35</v>
      </c>
      <c r="I34" s="10"/>
      <c r="J34" s="92">
        <f>'Salary Bench Chart'!C30</f>
        <v>0.22309999999999999</v>
      </c>
      <c r="K34" s="600"/>
    </row>
    <row r="35" spans="1:12" ht="13.15" x14ac:dyDescent="0.25">
      <c r="A35" s="3" t="s">
        <v>47</v>
      </c>
      <c r="C35" s="265">
        <f>$J$43</f>
        <v>0.11849999999999999</v>
      </c>
      <c r="E35" s="254">
        <f>C35*E33</f>
        <v>90065.220188538835</v>
      </c>
      <c r="F35" s="255"/>
      <c r="H35" s="16" t="s">
        <v>184</v>
      </c>
      <c r="I35" s="10"/>
      <c r="J35" s="53">
        <f>'Salary Bench Chart'!C32</f>
        <v>3.7000000000000002E-3</v>
      </c>
      <c r="K35" s="577"/>
    </row>
    <row r="36" spans="1:12" ht="13.15" x14ac:dyDescent="0.25">
      <c r="H36" s="16" t="s">
        <v>278</v>
      </c>
      <c r="I36" s="10"/>
      <c r="J36" s="29">
        <v>12830</v>
      </c>
      <c r="K36" s="577"/>
    </row>
    <row r="37" spans="1:12" ht="13.9" thickBot="1" x14ac:dyDescent="0.3">
      <c r="A37" s="268" t="s">
        <v>49</v>
      </c>
      <c r="B37" s="65"/>
      <c r="C37" s="65"/>
      <c r="D37" s="65"/>
      <c r="E37" s="269">
        <f>SUM(E33:E35)</f>
        <v>850109.27241249522</v>
      </c>
      <c r="F37" s="105"/>
      <c r="H37" s="16"/>
      <c r="I37" s="10"/>
      <c r="J37" s="29"/>
      <c r="K37" s="577"/>
    </row>
    <row r="38" spans="1:12" ht="14.45" thickTop="1" thickBot="1" x14ac:dyDescent="0.3">
      <c r="A38" s="3" t="str">
        <f>H45</f>
        <v>CAF (FY19)</v>
      </c>
      <c r="B38" s="344">
        <f>J45</f>
        <v>1.78E-2</v>
      </c>
      <c r="E38" s="624">
        <f>(E37*B38)-(E19*B38)</f>
        <v>5746.742181243013</v>
      </c>
      <c r="H38" s="16" t="s">
        <v>38</v>
      </c>
      <c r="I38" s="10"/>
      <c r="J38" s="93">
        <f>'[3]Group Home (rebased)'!P49</f>
        <v>22.6302378</v>
      </c>
      <c r="K38" s="297"/>
    </row>
    <row r="39" spans="1:12" ht="13.9" thickTop="1" x14ac:dyDescent="0.25">
      <c r="C39" s="270"/>
      <c r="E39" s="271">
        <f>E38+E37</f>
        <v>855856.01459373825</v>
      </c>
      <c r="F39" s="273"/>
      <c r="H39" s="16" t="s">
        <v>39</v>
      </c>
      <c r="I39" s="10"/>
      <c r="J39" s="93">
        <f>'[3]Group Home (rebased)'!P50</f>
        <v>17.654</v>
      </c>
      <c r="K39" s="619"/>
    </row>
    <row r="40" spans="1:12" ht="13.9" x14ac:dyDescent="0.3">
      <c r="H40" s="16" t="s">
        <v>174</v>
      </c>
      <c r="I40" s="10"/>
      <c r="J40" s="93">
        <f>'[3]Group Home'!Q52</f>
        <v>-1.9951315068493152</v>
      </c>
      <c r="K40" s="619"/>
      <c r="L40" s="81"/>
    </row>
    <row r="41" spans="1:12" ht="13.15" x14ac:dyDescent="0.25">
      <c r="E41" s="274" t="s">
        <v>119</v>
      </c>
      <c r="F41" s="275"/>
      <c r="H41" s="94" t="s">
        <v>40</v>
      </c>
      <c r="I41" s="95"/>
      <c r="J41" s="96">
        <f>SUM(J38:J40)</f>
        <v>38.289106293150681</v>
      </c>
      <c r="K41" s="578"/>
    </row>
    <row r="42" spans="1:12" ht="13.15" x14ac:dyDescent="0.25">
      <c r="A42" s="3" t="s">
        <v>133</v>
      </c>
      <c r="D42" s="276"/>
      <c r="E42" s="276">
        <f>E39/E8</f>
        <v>390.80183314782568</v>
      </c>
      <c r="F42" s="278"/>
      <c r="H42" s="16"/>
      <c r="I42" s="10"/>
      <c r="J42" s="10"/>
      <c r="K42" s="11"/>
    </row>
    <row r="43" spans="1:12" ht="13.9" thickBot="1" x14ac:dyDescent="0.3">
      <c r="A43" s="72"/>
      <c r="B43" s="90"/>
      <c r="C43" s="370"/>
      <c r="D43" s="278"/>
      <c r="E43" s="278"/>
      <c r="F43" s="278"/>
      <c r="H43" s="16" t="s">
        <v>47</v>
      </c>
      <c r="I43" s="10"/>
      <c r="J43" s="92">
        <f>'[3]Group Home'!Q55</f>
        <v>0.11849999999999999</v>
      </c>
      <c r="K43" s="600"/>
    </row>
    <row r="44" spans="1:12" ht="13.9" thickBot="1" x14ac:dyDescent="0.3">
      <c r="A44" s="371" t="s">
        <v>50</v>
      </c>
      <c r="B44" s="372">
        <v>0.9</v>
      </c>
      <c r="C44" s="373"/>
      <c r="D44" s="374"/>
      <c r="E44" s="643">
        <f>E42/B44</f>
        <v>434.22425905313963</v>
      </c>
      <c r="F44" s="521"/>
      <c r="H44" s="16"/>
      <c r="I44" s="10"/>
      <c r="J44" s="10"/>
      <c r="K44" s="11"/>
    </row>
    <row r="45" spans="1:12" ht="13.5" thickBot="1" x14ac:dyDescent="0.25">
      <c r="A45" s="82"/>
      <c r="B45" s="83"/>
      <c r="C45" s="84"/>
      <c r="D45" s="79"/>
      <c r="E45" s="617">
        <f>E44*(C45+1)</f>
        <v>434.22425905313963</v>
      </c>
      <c r="F45" s="89"/>
      <c r="H45" s="97" t="s">
        <v>273</v>
      </c>
      <c r="I45" s="98"/>
      <c r="J45" s="99">
        <f>'Salary Bench Chart'!C31</f>
        <v>1.78E-2</v>
      </c>
      <c r="K45" s="626"/>
    </row>
    <row r="46" spans="1:12" ht="13.15" x14ac:dyDescent="0.25">
      <c r="A46" s="376"/>
      <c r="B46" s="377"/>
      <c r="C46" s="378"/>
      <c r="D46" s="379"/>
      <c r="E46" s="379"/>
      <c r="F46" s="89"/>
      <c r="H46" s="100"/>
      <c r="I46" s="101"/>
    </row>
    <row r="47" spans="1:12" x14ac:dyDescent="0.2">
      <c r="H47" s="15"/>
    </row>
    <row r="48" spans="1:12" x14ac:dyDescent="0.2">
      <c r="D48" s="254"/>
      <c r="E48" s="267"/>
      <c r="F48" s="296"/>
    </row>
    <row r="49" spans="4:8" x14ac:dyDescent="0.2">
      <c r="D49" s="91"/>
      <c r="E49" s="644"/>
      <c r="F49" s="645"/>
      <c r="H49" s="102"/>
    </row>
    <row r="50" spans="4:8" x14ac:dyDescent="0.2">
      <c r="D50" s="91"/>
      <c r="E50" s="644"/>
      <c r="F50" s="645"/>
    </row>
    <row r="51" spans="4:8" x14ac:dyDescent="0.2">
      <c r="D51" s="91"/>
      <c r="E51" s="91"/>
      <c r="F51" s="295"/>
      <c r="H51" s="103"/>
    </row>
    <row r="53" spans="4:8" x14ac:dyDescent="0.2">
      <c r="H53" s="15"/>
    </row>
    <row r="54" spans="4:8" x14ac:dyDescent="0.2">
      <c r="H54" s="102"/>
    </row>
    <row r="56" spans="4:8" x14ac:dyDescent="0.2">
      <c r="H56" s="102"/>
    </row>
  </sheetData>
  <mergeCells count="3">
    <mergeCell ref="H1:K1"/>
    <mergeCell ref="I3:J3"/>
    <mergeCell ref="A7:E7"/>
  </mergeCells>
  <pageMargins left="0.7" right="0.7" top="0.75" bottom="0.75" header="0.3" footer="0.3"/>
  <pageSetup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8"/>
  <sheetViews>
    <sheetView topLeftCell="A55" zoomScale="80" zoomScaleNormal="80" workbookViewId="0">
      <selection activeCell="H74" sqref="H74"/>
    </sheetView>
  </sheetViews>
  <sheetFormatPr defaultRowHeight="15" x14ac:dyDescent="0.25"/>
  <cols>
    <col min="1" max="1" width="30.42578125" customWidth="1"/>
    <col min="3" max="3" width="18.5703125" customWidth="1"/>
    <col min="4" max="4" width="11.85546875" customWidth="1"/>
    <col min="5" max="5" width="12" customWidth="1"/>
    <col min="6" max="6" width="12" style="245" customWidth="1"/>
    <col min="8" max="8" width="31.5703125" customWidth="1"/>
    <col min="10" max="10" width="12" customWidth="1"/>
  </cols>
  <sheetData>
    <row r="2" spans="1:13" thickBot="1" x14ac:dyDescent="0.35">
      <c r="H2" s="759" t="s">
        <v>2</v>
      </c>
      <c r="I2" s="759"/>
      <c r="J2" s="759"/>
      <c r="K2" s="759"/>
      <c r="L2" s="3"/>
      <c r="M2" s="3"/>
    </row>
    <row r="3" spans="1:13" thickBot="1" x14ac:dyDescent="0.35">
      <c r="H3" s="3"/>
      <c r="I3" s="3"/>
      <c r="J3" s="3"/>
      <c r="K3" s="3"/>
      <c r="L3" s="3"/>
      <c r="M3" s="3"/>
    </row>
    <row r="4" spans="1:13" ht="14.45" x14ac:dyDescent="0.3">
      <c r="H4" s="13" t="s">
        <v>6</v>
      </c>
      <c r="I4" s="760" t="s">
        <v>7</v>
      </c>
      <c r="J4" s="760"/>
      <c r="K4" s="14"/>
      <c r="L4" s="15"/>
      <c r="M4" s="15"/>
    </row>
    <row r="5" spans="1:13" ht="14.45" x14ac:dyDescent="0.3">
      <c r="H5" s="17"/>
      <c r="I5" s="18" t="s">
        <v>8</v>
      </c>
      <c r="J5" s="19" t="s">
        <v>9</v>
      </c>
      <c r="K5" s="20"/>
      <c r="L5" s="15"/>
      <c r="M5" s="15"/>
    </row>
    <row r="6" spans="1:13" thickBot="1" x14ac:dyDescent="0.35">
      <c r="H6" s="25" t="s">
        <v>13</v>
      </c>
      <c r="I6" s="26">
        <v>15</v>
      </c>
      <c r="J6" s="27">
        <f>I6*8</f>
        <v>120</v>
      </c>
      <c r="K6" s="20"/>
      <c r="L6" s="15"/>
      <c r="M6" s="15"/>
    </row>
    <row r="7" spans="1:13" ht="15" customHeight="1" thickBot="1" x14ac:dyDescent="0.35">
      <c r="A7" s="824" t="s">
        <v>281</v>
      </c>
      <c r="B7" s="825"/>
      <c r="C7" s="825"/>
      <c r="D7" s="825"/>
      <c r="E7" s="826"/>
      <c r="F7" s="250"/>
      <c r="H7" s="25" t="s">
        <v>15</v>
      </c>
      <c r="I7" s="26">
        <v>8</v>
      </c>
      <c r="J7" s="27">
        <f>I7*8</f>
        <v>64</v>
      </c>
      <c r="K7" s="20"/>
      <c r="L7" s="15"/>
      <c r="M7" s="15"/>
    </row>
    <row r="8" spans="1:13" ht="14.45" x14ac:dyDescent="0.3">
      <c r="A8" s="5" t="s">
        <v>4</v>
      </c>
      <c r="B8" s="6">
        <f>J34</f>
        <v>12</v>
      </c>
      <c r="C8" s="7"/>
      <c r="D8" s="7" t="s">
        <v>5</v>
      </c>
      <c r="E8" s="8">
        <f>B8*365</f>
        <v>4380</v>
      </c>
      <c r="F8" s="249"/>
      <c r="H8" s="25" t="s">
        <v>17</v>
      </c>
      <c r="I8" s="26">
        <v>10</v>
      </c>
      <c r="J8" s="27">
        <f>I8*8</f>
        <v>80</v>
      </c>
      <c r="K8" s="20"/>
      <c r="L8" s="15"/>
      <c r="M8" s="15"/>
    </row>
    <row r="9" spans="1:13" ht="14.45" x14ac:dyDescent="0.3">
      <c r="A9" s="16"/>
      <c r="B9" s="10"/>
      <c r="C9" s="10"/>
      <c r="D9" s="10"/>
      <c r="E9" s="11"/>
      <c r="F9" s="90"/>
      <c r="H9" s="351" t="s">
        <v>19</v>
      </c>
      <c r="I9" s="33">
        <v>7</v>
      </c>
      <c r="J9" s="34">
        <f>I9*8</f>
        <v>56</v>
      </c>
      <c r="K9" s="35"/>
      <c r="L9" s="15"/>
      <c r="M9" s="15"/>
    </row>
    <row r="10" spans="1:13" ht="14.45" x14ac:dyDescent="0.3">
      <c r="A10" s="21"/>
      <c r="B10" s="22"/>
      <c r="C10" s="23" t="s">
        <v>10</v>
      </c>
      <c r="D10" s="23" t="s">
        <v>11</v>
      </c>
      <c r="E10" s="24" t="s">
        <v>12</v>
      </c>
      <c r="F10" s="250"/>
      <c r="H10" s="348"/>
      <c r="I10" s="36" t="s">
        <v>21</v>
      </c>
      <c r="J10" s="27">
        <f>SUM(J6:J9)</f>
        <v>320</v>
      </c>
      <c r="K10" s="37"/>
      <c r="L10" s="15"/>
      <c r="M10" s="15"/>
    </row>
    <row r="11" spans="1:13" thickBot="1" x14ac:dyDescent="0.35">
      <c r="A11" s="28" t="s">
        <v>14</v>
      </c>
      <c r="B11" s="10"/>
      <c r="C11" s="29">
        <f>J14</f>
        <v>57593.3511</v>
      </c>
      <c r="D11" s="30">
        <f>J35</f>
        <v>1.75</v>
      </c>
      <c r="E11" s="31">
        <f>C11*D11</f>
        <v>100788.36442500001</v>
      </c>
      <c r="F11" s="255"/>
      <c r="H11" s="352"/>
      <c r="I11" s="39" t="s">
        <v>23</v>
      </c>
      <c r="J11" s="40">
        <f>J10/(52*40)</f>
        <v>0.15384615384615385</v>
      </c>
      <c r="K11" s="41"/>
      <c r="L11" s="3"/>
      <c r="M11" s="3"/>
    </row>
    <row r="12" spans="1:13" thickBot="1" x14ac:dyDescent="0.35">
      <c r="A12" s="17" t="s">
        <v>16</v>
      </c>
      <c r="B12" s="10"/>
      <c r="C12" s="29"/>
      <c r="D12" s="30"/>
      <c r="E12" s="31"/>
      <c r="F12" s="255"/>
      <c r="H12" s="90"/>
      <c r="I12" s="90"/>
      <c r="J12" s="90"/>
      <c r="K12" s="90"/>
      <c r="L12" s="3"/>
      <c r="M12" s="3"/>
    </row>
    <row r="13" spans="1:13" ht="14.45" x14ac:dyDescent="0.3">
      <c r="A13" s="25" t="s">
        <v>124</v>
      </c>
      <c r="B13" s="10"/>
      <c r="C13" s="42">
        <f>J16</f>
        <v>220355.5668</v>
      </c>
      <c r="D13" s="30">
        <f>J37</f>
        <v>0.1</v>
      </c>
      <c r="E13" s="31">
        <f t="shared" ref="E13:E23" si="0">C13*D13</f>
        <v>22035.556680000002</v>
      </c>
      <c r="F13" s="255"/>
      <c r="H13" s="356"/>
      <c r="I13" s="357"/>
      <c r="J13" s="358" t="s">
        <v>26</v>
      </c>
      <c r="K13" s="573"/>
      <c r="L13" s="3"/>
    </row>
    <row r="14" spans="1:13" ht="14.45" x14ac:dyDescent="0.3">
      <c r="A14" s="25" t="s">
        <v>18</v>
      </c>
      <c r="B14" s="10"/>
      <c r="C14" s="42">
        <f>J17</f>
        <v>86860.800000000003</v>
      </c>
      <c r="D14" s="30">
        <f>J38</f>
        <v>1</v>
      </c>
      <c r="E14" s="31">
        <f t="shared" si="0"/>
        <v>86860.800000000003</v>
      </c>
      <c r="F14" s="255"/>
      <c r="H14" s="346" t="s">
        <v>14</v>
      </c>
      <c r="I14" s="12"/>
      <c r="J14" s="42">
        <f>'[3]Group Home (rebased)'!P13</f>
        <v>57593.3511</v>
      </c>
      <c r="K14" s="559"/>
      <c r="L14" s="3"/>
    </row>
    <row r="15" spans="1:13" ht="14.45" x14ac:dyDescent="0.3">
      <c r="A15" s="348" t="s">
        <v>282</v>
      </c>
      <c r="B15" s="12"/>
      <c r="C15" s="42">
        <f>J18</f>
        <v>57449.599999999999</v>
      </c>
      <c r="D15" s="48">
        <f>J39</f>
        <v>1.5</v>
      </c>
      <c r="E15" s="471">
        <f>C15*D15</f>
        <v>86174.399999999994</v>
      </c>
      <c r="F15" s="255"/>
      <c r="H15" s="346" t="s">
        <v>16</v>
      </c>
      <c r="I15" s="12"/>
      <c r="J15" s="42"/>
      <c r="K15" s="559"/>
      <c r="L15" s="3"/>
    </row>
    <row r="16" spans="1:13" ht="14.45" x14ac:dyDescent="0.3">
      <c r="A16" s="348" t="s">
        <v>125</v>
      </c>
      <c r="B16" s="12"/>
      <c r="C16" s="42">
        <f>J19</f>
        <v>66085.577700000009</v>
      </c>
      <c r="D16" s="48">
        <f>J40</f>
        <v>0.5</v>
      </c>
      <c r="E16" s="471">
        <f t="shared" si="0"/>
        <v>33042.788850000004</v>
      </c>
      <c r="F16" s="255"/>
      <c r="H16" s="348" t="s">
        <v>124</v>
      </c>
      <c r="I16" s="12"/>
      <c r="J16" s="42">
        <f>'[3]Master Data '!D18</f>
        <v>220355.5668</v>
      </c>
      <c r="K16" s="560"/>
      <c r="L16" s="3"/>
    </row>
    <row r="17" spans="1:12" ht="14.45" x14ac:dyDescent="0.3">
      <c r="A17" s="348" t="s">
        <v>31</v>
      </c>
      <c r="B17" s="12"/>
      <c r="C17" s="42">
        <f>J20</f>
        <v>60923.199999999997</v>
      </c>
      <c r="D17" s="48">
        <f>J41</f>
        <v>1</v>
      </c>
      <c r="E17" s="471">
        <f t="shared" si="0"/>
        <v>60923.199999999997</v>
      </c>
      <c r="F17" s="255"/>
      <c r="H17" s="348" t="s">
        <v>18</v>
      </c>
      <c r="I17" s="12"/>
      <c r="J17" s="42">
        <f>'Salary Bench Chart'!C20</f>
        <v>86860.800000000003</v>
      </c>
      <c r="K17" s="560"/>
      <c r="L17" s="3"/>
    </row>
    <row r="18" spans="1:12" ht="14.45" x14ac:dyDescent="0.3">
      <c r="A18" s="346" t="s">
        <v>20</v>
      </c>
      <c r="B18" s="12"/>
      <c r="C18" s="42"/>
      <c r="D18" s="48"/>
      <c r="E18" s="471"/>
      <c r="F18" s="255"/>
      <c r="H18" s="348" t="s">
        <v>282</v>
      </c>
      <c r="I18" s="12"/>
      <c r="J18" s="42">
        <f>'Salary Bench Chart'!C18</f>
        <v>57449.599999999999</v>
      </c>
      <c r="K18" s="560"/>
      <c r="L18" s="3"/>
    </row>
    <row r="19" spans="1:12" ht="14.45" x14ac:dyDescent="0.3">
      <c r="A19" s="348" t="s">
        <v>24</v>
      </c>
      <c r="B19" s="12"/>
      <c r="C19" s="42">
        <f>J23</f>
        <v>60923.199999999997</v>
      </c>
      <c r="D19" s="48">
        <f>J44</f>
        <v>1</v>
      </c>
      <c r="E19" s="471">
        <f t="shared" si="0"/>
        <v>60923.199999999997</v>
      </c>
      <c r="F19" s="255"/>
      <c r="H19" s="348" t="s">
        <v>125</v>
      </c>
      <c r="I19" s="12"/>
      <c r="J19" s="42">
        <f>'[3]CIRT (rebased)'!R17</f>
        <v>66085.577700000009</v>
      </c>
      <c r="K19" s="560"/>
      <c r="L19" s="3"/>
    </row>
    <row r="20" spans="1:12" ht="14.45" x14ac:dyDescent="0.3">
      <c r="A20" s="348" t="s">
        <v>25</v>
      </c>
      <c r="B20" s="12"/>
      <c r="C20" s="42">
        <f>J25</f>
        <v>32198.400000000001</v>
      </c>
      <c r="D20" s="48">
        <f>J46</f>
        <v>15</v>
      </c>
      <c r="E20" s="471">
        <f t="shared" si="0"/>
        <v>482976</v>
      </c>
      <c r="F20" s="255"/>
      <c r="H20" s="348" t="s">
        <v>31</v>
      </c>
      <c r="I20" s="12"/>
      <c r="J20" s="42">
        <f>'Salary Bench Chart'!C14</f>
        <v>60923.199999999997</v>
      </c>
      <c r="K20" s="561"/>
      <c r="L20" s="3"/>
    </row>
    <row r="21" spans="1:12" ht="14.45" x14ac:dyDescent="0.3">
      <c r="A21" s="362" t="s">
        <v>27</v>
      </c>
      <c r="B21" s="12"/>
      <c r="C21" s="42">
        <f>J25</f>
        <v>32198.400000000001</v>
      </c>
      <c r="D21" s="48">
        <f>J47</f>
        <v>2.3076923076923079</v>
      </c>
      <c r="E21" s="471">
        <f>C21*D21</f>
        <v>74304.000000000015</v>
      </c>
      <c r="F21" s="255"/>
      <c r="H21" s="346" t="s">
        <v>20</v>
      </c>
      <c r="I21" s="12"/>
      <c r="J21" s="42"/>
      <c r="K21" s="560"/>
      <c r="L21" s="3"/>
    </row>
    <row r="22" spans="1:12" ht="14.45" x14ac:dyDescent="0.3">
      <c r="A22" s="346" t="s">
        <v>28</v>
      </c>
      <c r="B22" s="12"/>
      <c r="C22" s="42"/>
      <c r="D22" s="48"/>
      <c r="E22" s="471"/>
      <c r="F22" s="255"/>
      <c r="H22" s="348" t="s">
        <v>34</v>
      </c>
      <c r="I22" s="12"/>
      <c r="J22" s="42">
        <f>'Salary Bench Chart'!C4</f>
        <v>32198.400000000001</v>
      </c>
      <c r="K22" s="560"/>
      <c r="L22" s="3"/>
    </row>
    <row r="23" spans="1:12" ht="14.45" x14ac:dyDescent="0.3">
      <c r="A23" s="348" t="s">
        <v>29</v>
      </c>
      <c r="B23" s="12"/>
      <c r="C23" s="42">
        <f>J28</f>
        <v>32198.400000000001</v>
      </c>
      <c r="D23" s="48">
        <f>J49</f>
        <v>0.25</v>
      </c>
      <c r="E23" s="471">
        <f t="shared" si="0"/>
        <v>8049.6</v>
      </c>
      <c r="F23" s="255"/>
      <c r="H23" s="348" t="s">
        <v>24</v>
      </c>
      <c r="I23" s="12"/>
      <c r="J23" s="42">
        <f>'Salary Bench Chart'!C14</f>
        <v>60923.199999999997</v>
      </c>
      <c r="K23" s="561"/>
      <c r="L23" s="3"/>
    </row>
    <row r="24" spans="1:12" ht="14.45" x14ac:dyDescent="0.3">
      <c r="A24" s="348" t="s">
        <v>283</v>
      </c>
      <c r="B24" s="12"/>
      <c r="C24" s="646">
        <f>J29</f>
        <v>32198.400000000001</v>
      </c>
      <c r="D24" s="48">
        <f>J50</f>
        <v>0.5</v>
      </c>
      <c r="E24" s="471">
        <f>C24*D24</f>
        <v>16099.2</v>
      </c>
      <c r="F24" s="255"/>
      <c r="H24" s="348" t="s">
        <v>114</v>
      </c>
      <c r="I24" s="12"/>
      <c r="J24" s="42">
        <f>'Salary Bench Chart'!C10</f>
        <v>43971.200000000004</v>
      </c>
      <c r="K24" s="560"/>
      <c r="L24" s="3"/>
    </row>
    <row r="25" spans="1:12" ht="14.45" x14ac:dyDescent="0.3">
      <c r="A25" s="348" t="s">
        <v>284</v>
      </c>
      <c r="B25" s="12"/>
      <c r="C25" s="647">
        <f>J30</f>
        <v>32198.400000000001</v>
      </c>
      <c r="D25" s="48">
        <f>J51</f>
        <v>0.5</v>
      </c>
      <c r="E25" s="471">
        <f>C25*D25</f>
        <v>16099.2</v>
      </c>
      <c r="F25" s="255"/>
      <c r="H25" s="348" t="s">
        <v>25</v>
      </c>
      <c r="I25" s="12"/>
      <c r="J25" s="42">
        <f>'Salary Bench Chart'!C4</f>
        <v>32198.400000000001</v>
      </c>
      <c r="K25" s="560"/>
      <c r="L25" s="3"/>
    </row>
    <row r="26" spans="1:12" ht="14.45" x14ac:dyDescent="0.3">
      <c r="A26" s="49" t="s">
        <v>30</v>
      </c>
      <c r="B26" s="50"/>
      <c r="C26" s="50"/>
      <c r="D26" s="51">
        <f>SUM(D11:D25)</f>
        <v>25.407692307692308</v>
      </c>
      <c r="E26" s="52">
        <f>SUM(E11:E25)</f>
        <v>1048276.3099549999</v>
      </c>
      <c r="F26" s="105"/>
      <c r="H26" s="362" t="s">
        <v>27</v>
      </c>
      <c r="I26" s="12"/>
      <c r="J26" s="42">
        <f>'Salary Bench Chart'!C4</f>
        <v>32198.400000000001</v>
      </c>
      <c r="K26" s="560"/>
      <c r="L26" s="3"/>
    </row>
    <row r="27" spans="1:12" ht="14.45" x14ac:dyDescent="0.3">
      <c r="A27" s="16"/>
      <c r="B27" s="10"/>
      <c r="C27" s="10"/>
      <c r="D27" s="10"/>
      <c r="E27" s="11"/>
      <c r="F27" s="90"/>
      <c r="H27" s="346" t="s">
        <v>28</v>
      </c>
      <c r="I27" s="12"/>
      <c r="J27" s="42"/>
      <c r="K27" s="560"/>
      <c r="L27" s="3"/>
    </row>
    <row r="28" spans="1:12" ht="14.45" x14ac:dyDescent="0.3">
      <c r="A28" s="5" t="s">
        <v>32</v>
      </c>
      <c r="B28" s="10"/>
      <c r="C28" s="10"/>
      <c r="D28" s="7" t="s">
        <v>33</v>
      </c>
      <c r="E28" s="11"/>
      <c r="F28" s="90"/>
      <c r="H28" s="348" t="s">
        <v>29</v>
      </c>
      <c r="I28" s="12"/>
      <c r="J28" s="42">
        <f>'Salary Bench Chart'!C4</f>
        <v>32198.400000000001</v>
      </c>
      <c r="K28" s="560"/>
      <c r="L28" s="3"/>
    </row>
    <row r="29" spans="1:12" ht="15.6" x14ac:dyDescent="0.3">
      <c r="A29" s="16" t="s">
        <v>35</v>
      </c>
      <c r="B29" s="10"/>
      <c r="C29" s="53">
        <f>J54</f>
        <v>0.22309999999999999</v>
      </c>
      <c r="D29" s="10"/>
      <c r="E29" s="31">
        <f>C29*E26</f>
        <v>233870.44475096048</v>
      </c>
      <c r="F29" s="255"/>
      <c r="H29" s="648" t="s">
        <v>283</v>
      </c>
      <c r="I29" s="472"/>
      <c r="J29" s="744">
        <f>'Salary Bench Chart'!C4</f>
        <v>32198.400000000001</v>
      </c>
      <c r="K29" s="649"/>
      <c r="L29" s="3"/>
    </row>
    <row r="30" spans="1:12" ht="15.6" x14ac:dyDescent="0.3">
      <c r="A30" s="49" t="s">
        <v>36</v>
      </c>
      <c r="B30" s="50"/>
      <c r="C30" s="50"/>
      <c r="D30" s="54">
        <f>E30/E8</f>
        <v>292.72756956757087</v>
      </c>
      <c r="E30" s="52">
        <f>E29+E26</f>
        <v>1282146.7547059604</v>
      </c>
      <c r="F30" s="105"/>
      <c r="H30" s="648" t="s">
        <v>284</v>
      </c>
      <c r="I30" s="472"/>
      <c r="J30" s="744">
        <f>'Salary Bench Chart'!C4</f>
        <v>32198.400000000001</v>
      </c>
      <c r="K30" s="649"/>
      <c r="L30" s="3"/>
    </row>
    <row r="31" spans="1:12" ht="14.45" x14ac:dyDescent="0.3">
      <c r="A31" s="16" t="str">
        <f>'[3]Master Data '!B128</f>
        <v>PFMLA Trust Contribution</v>
      </c>
      <c r="B31" s="16">
        <f>'[3]Master Data '!D128</f>
        <v>3.7000000000000002E-3</v>
      </c>
      <c r="C31" s="10"/>
      <c r="D31" s="10"/>
      <c r="E31" s="55">
        <f>E26*B31</f>
        <v>3878.6223468335002</v>
      </c>
      <c r="F31" s="90"/>
      <c r="H31" s="348"/>
      <c r="I31" s="12"/>
      <c r="J31" s="42"/>
      <c r="K31" s="559"/>
      <c r="L31" s="3"/>
    </row>
    <row r="32" spans="1:12" ht="14.45" x14ac:dyDescent="0.3">
      <c r="A32" s="16" t="s">
        <v>38</v>
      </c>
      <c r="B32" s="10"/>
      <c r="C32" s="10"/>
      <c r="D32" s="56">
        <f>J56</f>
        <v>23.416593000000002</v>
      </c>
      <c r="E32" s="57">
        <f>D32*E8</f>
        <v>102564.67734000001</v>
      </c>
      <c r="F32" s="296"/>
      <c r="H32" s="72"/>
      <c r="I32" s="12"/>
      <c r="J32" s="364" t="s">
        <v>41</v>
      </c>
      <c r="K32" s="574"/>
      <c r="L32" s="3"/>
    </row>
    <row r="33" spans="1:12" ht="14.45" x14ac:dyDescent="0.3">
      <c r="A33" s="16" t="s">
        <v>39</v>
      </c>
      <c r="B33" s="10"/>
      <c r="C33" s="10"/>
      <c r="D33" s="56">
        <f>J57</f>
        <v>17.654</v>
      </c>
      <c r="E33" s="57">
        <f>D33*E8</f>
        <v>77324.52</v>
      </c>
      <c r="F33" s="296"/>
      <c r="H33" s="72" t="s">
        <v>42</v>
      </c>
      <c r="I33" s="365"/>
      <c r="J33" s="365" t="s">
        <v>169</v>
      </c>
      <c r="K33" s="366"/>
      <c r="L33" s="3"/>
    </row>
    <row r="34" spans="1:12" ht="14.45" x14ac:dyDescent="0.3">
      <c r="A34" s="16" t="s">
        <v>173</v>
      </c>
      <c r="B34" s="10"/>
      <c r="C34" s="10"/>
      <c r="D34" s="56">
        <f>J58</f>
        <v>0.75</v>
      </c>
      <c r="E34" s="57">
        <f>D34*E8</f>
        <v>3285</v>
      </c>
      <c r="F34" s="296"/>
      <c r="H34" s="72" t="s">
        <v>48</v>
      </c>
      <c r="I34" s="367"/>
      <c r="J34" s="367">
        <v>12</v>
      </c>
      <c r="K34" s="368"/>
      <c r="L34" s="3"/>
    </row>
    <row r="35" spans="1:12" ht="14.45" x14ac:dyDescent="0.3">
      <c r="A35" s="16" t="s">
        <v>174</v>
      </c>
      <c r="B35" s="10"/>
      <c r="C35" s="10"/>
      <c r="D35" s="56">
        <f>J59</f>
        <v>-1.9951315068493152</v>
      </c>
      <c r="E35" s="57">
        <f>D35*E8</f>
        <v>-8738.6760000000013</v>
      </c>
      <c r="F35" s="296"/>
      <c r="H35" s="346" t="s">
        <v>14</v>
      </c>
      <c r="I35" s="472"/>
      <c r="J35" s="472">
        <f>'[3]Group Home'!P31</f>
        <v>1.75</v>
      </c>
      <c r="K35" s="473"/>
      <c r="L35" s="3"/>
    </row>
    <row r="36" spans="1:12" ht="14.45" x14ac:dyDescent="0.3">
      <c r="A36" s="16"/>
      <c r="B36" s="10"/>
      <c r="C36" s="10"/>
      <c r="D36" s="58">
        <f>SUM(D32:D35)</f>
        <v>39.825461493150684</v>
      </c>
      <c r="E36" s="11"/>
      <c r="F36" s="90"/>
      <c r="H36" s="346" t="s">
        <v>16</v>
      </c>
      <c r="I36" s="472"/>
      <c r="J36" s="472"/>
      <c r="K36" s="473"/>
      <c r="L36" s="3"/>
    </row>
    <row r="37" spans="1:12" ht="14.45" x14ac:dyDescent="0.3">
      <c r="A37" s="16"/>
      <c r="B37" s="10"/>
      <c r="C37" s="10"/>
      <c r="D37" s="10"/>
      <c r="E37" s="11"/>
      <c r="F37" s="90"/>
      <c r="H37" s="348" t="s">
        <v>124</v>
      </c>
      <c r="I37" s="472"/>
      <c r="J37" s="472">
        <f>'[3]Group Home'!P33</f>
        <v>0.1</v>
      </c>
      <c r="K37" s="473"/>
      <c r="L37" s="3"/>
    </row>
    <row r="38" spans="1:12" ht="14.45" x14ac:dyDescent="0.3">
      <c r="A38" s="49" t="s">
        <v>40</v>
      </c>
      <c r="B38" s="50"/>
      <c r="C38" s="50"/>
      <c r="D38" s="50"/>
      <c r="E38" s="52">
        <f>SUM(E30:E35)</f>
        <v>1460460.898392794</v>
      </c>
      <c r="F38" s="105"/>
      <c r="H38" s="348" t="s">
        <v>18</v>
      </c>
      <c r="I38" s="472"/>
      <c r="J38" s="472">
        <f>[11]Farr!$J$21</f>
        <v>1</v>
      </c>
      <c r="K38" s="473"/>
      <c r="L38" s="3"/>
    </row>
    <row r="39" spans="1:12" x14ac:dyDescent="0.25">
      <c r="A39" s="16"/>
      <c r="B39" s="10"/>
      <c r="C39" s="10"/>
      <c r="D39" s="10"/>
      <c r="E39" s="11"/>
      <c r="F39" s="90"/>
      <c r="H39" s="348" t="s">
        <v>282</v>
      </c>
      <c r="I39" s="472"/>
      <c r="J39" s="472">
        <f>[11]Farr!$J$22</f>
        <v>1.5</v>
      </c>
      <c r="K39" s="473"/>
      <c r="L39" s="3"/>
    </row>
    <row r="40" spans="1:12" x14ac:dyDescent="0.25">
      <c r="A40" s="16" t="s">
        <v>47</v>
      </c>
      <c r="B40" s="10"/>
      <c r="C40" s="53">
        <f>J62</f>
        <v>0.11849999999999999</v>
      </c>
      <c r="D40" s="10"/>
      <c r="E40" s="31">
        <f>C40*E38</f>
        <v>173064.61645954609</v>
      </c>
      <c r="F40" s="255"/>
      <c r="H40" s="348" t="s">
        <v>125</v>
      </c>
      <c r="I40" s="472"/>
      <c r="J40" s="472">
        <f>'[6]Rate Options'!J35</f>
        <v>0.5</v>
      </c>
      <c r="K40" s="473"/>
      <c r="L40" s="3"/>
    </row>
    <row r="41" spans="1:12" x14ac:dyDescent="0.25">
      <c r="A41" s="16"/>
      <c r="B41" s="10"/>
      <c r="C41" s="10"/>
      <c r="D41" s="10"/>
      <c r="E41" s="11"/>
      <c r="F41" s="90"/>
      <c r="H41" s="348" t="s">
        <v>31</v>
      </c>
      <c r="I41" s="472"/>
      <c r="J41" s="472">
        <f>'[3]Group Home'!P36</f>
        <v>1</v>
      </c>
      <c r="K41" s="473"/>
      <c r="L41" s="3"/>
    </row>
    <row r="42" spans="1:12" ht="15.75" thickBot="1" x14ac:dyDescent="0.3">
      <c r="A42" s="64" t="s">
        <v>49</v>
      </c>
      <c r="B42" s="65"/>
      <c r="C42" s="65"/>
      <c r="D42" s="65"/>
      <c r="E42" s="66">
        <f>SUM(E38:E40)</f>
        <v>1633525.5148523401</v>
      </c>
      <c r="F42" s="105"/>
      <c r="H42" s="346" t="s">
        <v>20</v>
      </c>
      <c r="I42" s="472"/>
      <c r="J42" s="472"/>
      <c r="K42" s="473"/>
      <c r="L42" s="81"/>
    </row>
    <row r="43" spans="1:12" ht="16.5" thickTop="1" thickBot="1" x14ac:dyDescent="0.3">
      <c r="A43" s="16" t="str">
        <f>H64</f>
        <v>CAF (FY19)</v>
      </c>
      <c r="B43" s="272">
        <f>J64</f>
        <v>1.78E-2</v>
      </c>
      <c r="C43" s="10"/>
      <c r="D43" s="10"/>
      <c r="E43" s="650">
        <f>(E42*B43)-(E26*B43)</f>
        <v>10417.435847172655</v>
      </c>
      <c r="F43" s="90"/>
      <c r="H43" s="348" t="s">
        <v>34</v>
      </c>
      <c r="I43" s="472"/>
      <c r="J43" s="472"/>
      <c r="K43" s="473"/>
      <c r="L43" s="3"/>
    </row>
    <row r="44" spans="1:12" ht="15.75" thickTop="1" x14ac:dyDescent="0.25">
      <c r="A44" s="16"/>
      <c r="B44" s="10"/>
      <c r="C44" s="67"/>
      <c r="D44" s="10"/>
      <c r="E44" s="68">
        <f>E43+E42</f>
        <v>1643942.9506995128</v>
      </c>
      <c r="F44" s="273"/>
      <c r="H44" s="348" t="s">
        <v>24</v>
      </c>
      <c r="I44" s="472"/>
      <c r="J44" s="472">
        <f>'[3]Group Home'!P39</f>
        <v>1</v>
      </c>
      <c r="K44" s="473"/>
      <c r="L44" s="3"/>
    </row>
    <row r="45" spans="1:12" x14ac:dyDescent="0.25">
      <c r="A45" s="16"/>
      <c r="B45" s="10"/>
      <c r="C45" s="10"/>
      <c r="D45" s="10"/>
      <c r="E45" s="11"/>
      <c r="F45" s="90"/>
      <c r="H45" s="348" t="s">
        <v>37</v>
      </c>
      <c r="I45" s="472"/>
      <c r="J45" s="472"/>
      <c r="K45" s="473"/>
      <c r="L45" s="3"/>
    </row>
    <row r="46" spans="1:12" x14ac:dyDescent="0.25">
      <c r="A46" s="16"/>
      <c r="B46" s="10"/>
      <c r="C46" s="10"/>
      <c r="D46" s="10"/>
      <c r="E46" s="69" t="s">
        <v>119</v>
      </c>
      <c r="F46" s="275"/>
      <c r="H46" s="348" t="s">
        <v>25</v>
      </c>
      <c r="I46" s="472"/>
      <c r="J46" s="472">
        <f>'[3]Group Home'!P41</f>
        <v>15</v>
      </c>
      <c r="K46" s="473"/>
      <c r="L46" s="3"/>
    </row>
    <row r="47" spans="1:12" x14ac:dyDescent="0.25">
      <c r="A47" s="16" t="s">
        <v>133</v>
      </c>
      <c r="B47" s="10"/>
      <c r="C47" s="10"/>
      <c r="D47" s="70"/>
      <c r="E47" s="71">
        <f>E44/E8</f>
        <v>375.32944079897555</v>
      </c>
      <c r="F47" s="278"/>
      <c r="H47" s="362" t="s">
        <v>27</v>
      </c>
      <c r="I47" s="87"/>
      <c r="J47" s="87">
        <f>J46*J11</f>
        <v>2.3076923076923079</v>
      </c>
      <c r="K47" s="88"/>
      <c r="L47" s="3"/>
    </row>
    <row r="48" spans="1:12" x14ac:dyDescent="0.25">
      <c r="A48" s="72"/>
      <c r="B48" s="12"/>
      <c r="C48" s="73"/>
      <c r="D48" s="74"/>
      <c r="E48" s="75"/>
      <c r="F48" s="278"/>
      <c r="H48" s="346" t="s">
        <v>28</v>
      </c>
      <c r="I48" s="472"/>
      <c r="J48" s="472"/>
      <c r="K48" s="473"/>
      <c r="L48" s="3"/>
    </row>
    <row r="49" spans="1:13" ht="15.75" thickBot="1" x14ac:dyDescent="0.3">
      <c r="A49" s="651" t="s">
        <v>50</v>
      </c>
      <c r="B49" s="280">
        <v>0.9</v>
      </c>
      <c r="C49" s="373"/>
      <c r="D49" s="374"/>
      <c r="E49" s="652">
        <f>E47/B49</f>
        <v>417.03271199886171</v>
      </c>
      <c r="F49" s="89"/>
      <c r="H49" s="348" t="s">
        <v>29</v>
      </c>
      <c r="I49" s="472"/>
      <c r="J49" s="472">
        <f>'[3]Group Home'!P44</f>
        <v>0.25</v>
      </c>
      <c r="K49" s="473"/>
      <c r="L49" s="3"/>
    </row>
    <row r="50" spans="1:13" ht="15.75" thickBot="1" x14ac:dyDescent="0.3">
      <c r="A50" s="82"/>
      <c r="B50" s="83"/>
      <c r="C50" s="84"/>
      <c r="D50" s="625"/>
      <c r="E50" s="617">
        <f>E49*(C50+1)</f>
        <v>417.03271199886171</v>
      </c>
      <c r="F50" s="89"/>
      <c r="H50" s="648" t="s">
        <v>283</v>
      </c>
      <c r="I50" s="472"/>
      <c r="J50" s="472">
        <v>0.5</v>
      </c>
      <c r="K50" s="473"/>
      <c r="L50" s="3"/>
    </row>
    <row r="51" spans="1:13" ht="15.75" thickBot="1" x14ac:dyDescent="0.3">
      <c r="A51" s="97"/>
      <c r="B51" s="653"/>
      <c r="C51" s="98"/>
      <c r="D51" s="654"/>
      <c r="E51" s="655"/>
      <c r="F51" s="89"/>
      <c r="H51" s="648" t="s">
        <v>284</v>
      </c>
      <c r="I51" s="472"/>
      <c r="J51" s="472">
        <v>0.5</v>
      </c>
      <c r="K51" s="473"/>
      <c r="L51" s="3"/>
    </row>
    <row r="52" spans="1:13" x14ac:dyDescent="0.25">
      <c r="A52" s="3"/>
      <c r="B52" s="3"/>
      <c r="C52" s="3"/>
      <c r="D52" s="3"/>
      <c r="E52" s="3"/>
      <c r="F52" s="90"/>
      <c r="H52" s="72"/>
      <c r="I52" s="12"/>
      <c r="J52" s="12"/>
      <c r="K52" s="363"/>
      <c r="L52" s="3"/>
    </row>
    <row r="53" spans="1:13" x14ac:dyDescent="0.25">
      <c r="H53" s="72"/>
      <c r="I53" s="12"/>
      <c r="J53" s="364" t="s">
        <v>135</v>
      </c>
      <c r="K53" s="574"/>
      <c r="L53" s="3"/>
    </row>
    <row r="54" spans="1:13" x14ac:dyDescent="0.25">
      <c r="A54" s="656"/>
      <c r="H54" s="72" t="s">
        <v>35</v>
      </c>
      <c r="I54" s="12"/>
      <c r="J54" s="380">
        <f>'Salary Bench Chart'!C30</f>
        <v>0.22309999999999999</v>
      </c>
      <c r="K54" s="628"/>
      <c r="L54" s="3"/>
    </row>
    <row r="55" spans="1:13" x14ac:dyDescent="0.25">
      <c r="A55" s="657"/>
      <c r="B55" s="120"/>
      <c r="H55" s="72" t="s">
        <v>120</v>
      </c>
      <c r="I55" s="12"/>
      <c r="J55" s="737">
        <f>'Salary Bench Chart'!C32</f>
        <v>3.7000000000000002E-3</v>
      </c>
      <c r="K55" s="629"/>
      <c r="L55" s="3"/>
    </row>
    <row r="56" spans="1:13" x14ac:dyDescent="0.25">
      <c r="A56" s="657"/>
      <c r="B56" s="120"/>
      <c r="H56" s="72" t="s">
        <v>38</v>
      </c>
      <c r="I56" s="12"/>
      <c r="J56" s="381">
        <f>'[3]Master Data '!F98</f>
        <v>23.416593000000002</v>
      </c>
      <c r="K56" s="630"/>
      <c r="L56" s="3"/>
    </row>
    <row r="57" spans="1:13" x14ac:dyDescent="0.25">
      <c r="A57" s="657"/>
      <c r="B57" s="120"/>
      <c r="H57" s="72" t="s">
        <v>39</v>
      </c>
      <c r="I57" s="12"/>
      <c r="J57" s="381">
        <f>'[3]SpecPgm-1t2 GH (rebased)'!J39</f>
        <v>17.654</v>
      </c>
      <c r="K57" s="630"/>
      <c r="L57" s="3"/>
    </row>
    <row r="58" spans="1:13" x14ac:dyDescent="0.25">
      <c r="A58" s="657"/>
      <c r="B58" s="120"/>
      <c r="H58" s="72" t="s">
        <v>173</v>
      </c>
      <c r="I58" s="12"/>
      <c r="J58" s="381">
        <v>0.75</v>
      </c>
      <c r="K58" s="630"/>
      <c r="L58" s="3"/>
    </row>
    <row r="59" spans="1:13" x14ac:dyDescent="0.25">
      <c r="A59" s="657"/>
      <c r="B59" s="120"/>
      <c r="H59" s="72" t="s">
        <v>174</v>
      </c>
      <c r="I59" s="12"/>
      <c r="J59" s="381">
        <f>-1*[7]Sheet1!$F$26</f>
        <v>-1.9951315068493152</v>
      </c>
      <c r="K59" s="630"/>
      <c r="L59" s="3"/>
      <c r="M59" s="3"/>
    </row>
    <row r="60" spans="1:13" x14ac:dyDescent="0.25">
      <c r="H60" s="382" t="s">
        <v>40</v>
      </c>
      <c r="I60" s="383"/>
      <c r="J60" s="384">
        <f>SUM(J56:J59)</f>
        <v>39.825461493150684</v>
      </c>
      <c r="K60" s="631"/>
      <c r="L60" s="3"/>
      <c r="M60" s="3"/>
    </row>
    <row r="61" spans="1:13" x14ac:dyDescent="0.25">
      <c r="H61" s="72"/>
      <c r="I61" s="12"/>
      <c r="J61" s="12"/>
      <c r="K61" s="363"/>
      <c r="L61" s="3"/>
      <c r="M61" s="3"/>
    </row>
    <row r="62" spans="1:13" x14ac:dyDescent="0.25">
      <c r="H62" s="72" t="s">
        <v>47</v>
      </c>
      <c r="I62" s="12"/>
      <c r="J62" s="380">
        <f>'[3]Group Home'!Q55</f>
        <v>0.11849999999999999</v>
      </c>
      <c r="K62" s="628"/>
      <c r="L62" s="3"/>
      <c r="M62" s="3"/>
    </row>
    <row r="63" spans="1:13" x14ac:dyDescent="0.25">
      <c r="H63" s="16"/>
      <c r="I63" s="10"/>
      <c r="J63" s="12"/>
      <c r="K63" s="11"/>
      <c r="L63" s="3"/>
      <c r="M63" s="3"/>
    </row>
    <row r="64" spans="1:13" ht="15.75" thickBot="1" x14ac:dyDescent="0.3">
      <c r="H64" s="97" t="s">
        <v>273</v>
      </c>
      <c r="I64" s="98"/>
      <c r="J64" s="741">
        <f>'Salary Bench Chart'!C31</f>
        <v>1.78E-2</v>
      </c>
      <c r="K64" s="579"/>
      <c r="L64" s="3"/>
      <c r="M64" s="3"/>
    </row>
    <row r="65" spans="8:13" x14ac:dyDescent="0.25">
      <c r="H65" s="100"/>
      <c r="I65" s="101"/>
      <c r="J65" s="3"/>
      <c r="K65" s="3"/>
      <c r="L65" s="3"/>
      <c r="M65" s="3"/>
    </row>
    <row r="66" spans="8:13" x14ac:dyDescent="0.25">
      <c r="H66" s="15"/>
      <c r="I66" s="3"/>
      <c r="J66" s="3"/>
      <c r="K66" s="3"/>
      <c r="L66" s="3"/>
      <c r="M66" s="3"/>
    </row>
    <row r="67" spans="8:13" x14ac:dyDescent="0.25">
      <c r="H67" s="3"/>
      <c r="I67" s="3"/>
      <c r="J67" s="3"/>
      <c r="K67" s="3"/>
      <c r="L67" s="3"/>
      <c r="M67" s="3"/>
    </row>
    <row r="68" spans="8:13" x14ac:dyDescent="0.25">
      <c r="H68" s="102"/>
      <c r="I68" s="3"/>
      <c r="J68" s="3"/>
      <c r="K68" s="3"/>
      <c r="L68" s="3"/>
      <c r="M68" s="3"/>
    </row>
    <row r="69" spans="8:13" x14ac:dyDescent="0.25">
      <c r="H69" s="3"/>
      <c r="I69" s="3"/>
      <c r="J69" s="3"/>
      <c r="K69" s="3"/>
      <c r="L69" s="3"/>
      <c r="M69" s="3"/>
    </row>
    <row r="70" spans="8:13" x14ac:dyDescent="0.25">
      <c r="H70" s="103"/>
      <c r="I70" s="3"/>
      <c r="J70" s="3"/>
      <c r="K70" s="3"/>
      <c r="L70" s="3"/>
      <c r="M70" s="3"/>
    </row>
    <row r="71" spans="8:13" x14ac:dyDescent="0.25">
      <c r="H71" s="3"/>
      <c r="I71" s="3"/>
      <c r="J71" s="3"/>
      <c r="K71" s="3"/>
      <c r="L71" s="3"/>
      <c r="M71" s="3"/>
    </row>
    <row r="72" spans="8:13" x14ac:dyDescent="0.25">
      <c r="H72" s="3"/>
      <c r="I72" s="3"/>
      <c r="J72" s="3"/>
      <c r="K72" s="3"/>
      <c r="L72" s="3"/>
      <c r="M72" s="3"/>
    </row>
    <row r="73" spans="8:13" x14ac:dyDescent="0.25">
      <c r="H73" s="3"/>
      <c r="I73" s="3"/>
      <c r="J73" s="3"/>
      <c r="K73" s="3"/>
    </row>
    <row r="74" spans="8:13" x14ac:dyDescent="0.25">
      <c r="H74" s="298"/>
      <c r="I74" s="3"/>
      <c r="J74" s="3"/>
      <c r="K74" s="3"/>
    </row>
    <row r="75" spans="8:13" x14ac:dyDescent="0.25">
      <c r="H75" s="563"/>
      <c r="I75" s="3"/>
      <c r="J75" s="3"/>
      <c r="K75" s="3"/>
    </row>
    <row r="76" spans="8:13" x14ac:dyDescent="0.25">
      <c r="H76" s="104"/>
      <c r="I76" s="3"/>
      <c r="J76" s="3"/>
      <c r="K76" s="3"/>
    </row>
    <row r="77" spans="8:13" x14ac:dyDescent="0.25">
      <c r="H77" s="658"/>
      <c r="I77" s="3"/>
      <c r="J77" s="3"/>
      <c r="K77" s="3"/>
    </row>
    <row r="78" spans="8:13" x14ac:dyDescent="0.25">
      <c r="H78" s="104"/>
      <c r="I78" s="3"/>
      <c r="J78" s="3"/>
      <c r="K78" s="3"/>
    </row>
  </sheetData>
  <mergeCells count="3">
    <mergeCell ref="H2:K2"/>
    <mergeCell ref="I4:J4"/>
    <mergeCell ref="A7:E7"/>
  </mergeCells>
  <pageMargins left="0.7" right="0.7" top="0.75" bottom="0.75" header="0.3" footer="0.3"/>
  <pageSetup fitToHeight="0" orientation="portrait" r:id="rId1"/>
  <ignoredErrors>
    <ignoredError sqref="C20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2"/>
  <sheetViews>
    <sheetView topLeftCell="G106" zoomScale="83" zoomScaleNormal="83" zoomScalePageLayoutView="70" workbookViewId="0">
      <selection activeCell="R58" sqref="R58"/>
    </sheetView>
  </sheetViews>
  <sheetFormatPr defaultColWidth="9.140625" defaultRowHeight="15" x14ac:dyDescent="0.25"/>
  <cols>
    <col min="1" max="1" width="26.7109375" style="698" hidden="1" customWidth="1"/>
    <col min="2" max="2" width="8.7109375" style="698" hidden="1" customWidth="1"/>
    <col min="3" max="3" width="11.7109375" style="698" hidden="1" customWidth="1"/>
    <col min="4" max="4" width="9.7109375" style="698" hidden="1" customWidth="1"/>
    <col min="5" max="6" width="11.7109375" style="698" hidden="1" customWidth="1"/>
    <col min="7" max="7" width="9.7109375" style="698" customWidth="1"/>
    <col min="8" max="8" width="26.7109375" style="698" customWidth="1"/>
    <col min="9" max="9" width="8.7109375" style="698" customWidth="1"/>
    <col min="10" max="10" width="11.7109375" style="698" customWidth="1"/>
    <col min="11" max="11" width="9.7109375" style="698" customWidth="1"/>
    <col min="12" max="12" width="11.7109375" style="698" customWidth="1"/>
    <col min="13" max="13" width="9.7109375" style="698" customWidth="1"/>
    <col min="14" max="16" width="11.7109375" style="698" customWidth="1"/>
    <col min="17" max="17" width="9.7109375" style="698" customWidth="1"/>
    <col min="18" max="18" width="11.7109375" style="698" customWidth="1"/>
    <col min="19" max="19" width="9.7109375" style="698" customWidth="1"/>
    <col min="20" max="20" width="11.7109375" style="698" customWidth="1"/>
    <col min="21" max="21" width="9.7109375" style="698" customWidth="1"/>
    <col min="22" max="22" width="11.7109375" style="698" customWidth="1"/>
    <col min="23" max="23" width="9.7109375" style="698" customWidth="1"/>
    <col min="24" max="24" width="11.7109375" style="698" customWidth="1"/>
    <col min="25" max="25" width="9.7109375" style="698" customWidth="1"/>
    <col min="26" max="29" width="11.7109375" style="698" customWidth="1"/>
    <col min="30" max="30" width="9.140625" style="698"/>
    <col min="31" max="31" width="31.85546875" style="698" bestFit="1" customWidth="1"/>
    <col min="32" max="34" width="10.140625" style="698" customWidth="1"/>
    <col min="35" max="35" width="5" style="698" customWidth="1"/>
    <col min="36" max="16384" width="9.140625" style="698"/>
  </cols>
  <sheetData>
    <row r="1" spans="1:22" s="142" customFormat="1" ht="13.9" thickBot="1" x14ac:dyDescent="0.3">
      <c r="D1" s="307"/>
      <c r="E1" s="307"/>
      <c r="G1" s="149"/>
      <c r="O1" s="205"/>
      <c r="P1" s="149"/>
      <c r="Q1" s="759" t="s">
        <v>2</v>
      </c>
      <c r="R1" s="759"/>
      <c r="S1" s="759"/>
      <c r="T1" s="759"/>
    </row>
    <row r="2" spans="1:22" s="142" customFormat="1" ht="13.9" thickBot="1" x14ac:dyDescent="0.3">
      <c r="E2" s="206"/>
      <c r="G2" s="149"/>
      <c r="O2" s="205"/>
      <c r="P2" s="149"/>
    </row>
    <row r="3" spans="1:22" s="142" customFormat="1" ht="13.15" x14ac:dyDescent="0.25">
      <c r="G3" s="149"/>
      <c r="O3" s="205"/>
      <c r="P3" s="149"/>
      <c r="Q3" s="13" t="s">
        <v>6</v>
      </c>
      <c r="R3" s="760" t="s">
        <v>7</v>
      </c>
      <c r="S3" s="760"/>
      <c r="T3" s="14"/>
      <c r="U3" s="102"/>
      <c r="V3" s="102"/>
    </row>
    <row r="4" spans="1:22" s="142" customFormat="1" ht="13.15" customHeight="1" x14ac:dyDescent="0.2">
      <c r="A4" s="839" t="s">
        <v>285</v>
      </c>
      <c r="B4" s="839"/>
      <c r="C4" s="839"/>
      <c r="D4" s="839"/>
      <c r="E4" s="839"/>
      <c r="F4" s="764" t="s">
        <v>186</v>
      </c>
      <c r="G4" s="149"/>
      <c r="H4" s="829" t="s">
        <v>285</v>
      </c>
      <c r="I4" s="830"/>
      <c r="J4" s="830"/>
      <c r="K4" s="830"/>
      <c r="L4" s="831"/>
      <c r="M4" s="835" t="s">
        <v>286</v>
      </c>
      <c r="N4" s="836"/>
      <c r="O4" s="389"/>
      <c r="P4" s="149"/>
      <c r="Q4" s="17"/>
      <c r="R4" s="4" t="s">
        <v>8</v>
      </c>
      <c r="S4" s="19" t="s">
        <v>9</v>
      </c>
      <c r="T4" s="151"/>
      <c r="U4" s="102"/>
      <c r="V4" s="102"/>
    </row>
    <row r="5" spans="1:22" s="142" customFormat="1" ht="14.45" customHeight="1" thickBot="1" x14ac:dyDescent="0.25">
      <c r="A5" s="833"/>
      <c r="B5" s="833"/>
      <c r="C5" s="833"/>
      <c r="D5" s="833"/>
      <c r="E5" s="833"/>
      <c r="F5" s="791"/>
      <c r="H5" s="832"/>
      <c r="I5" s="833"/>
      <c r="J5" s="833"/>
      <c r="K5" s="833"/>
      <c r="L5" s="834"/>
      <c r="M5" s="837"/>
      <c r="N5" s="838"/>
      <c r="O5" s="205"/>
      <c r="P5" s="2"/>
      <c r="Q5" s="25" t="s">
        <v>13</v>
      </c>
      <c r="R5" s="27">
        <v>15</v>
      </c>
      <c r="S5" s="27">
        <f>R5*8</f>
        <v>120</v>
      </c>
      <c r="T5" s="151"/>
      <c r="U5" s="102"/>
      <c r="V5" s="102"/>
    </row>
    <row r="6" spans="1:22" s="142" customFormat="1" ht="13.15" customHeight="1" x14ac:dyDescent="0.25">
      <c r="A6" s="304" t="s">
        <v>4</v>
      </c>
      <c r="B6" s="247">
        <f>S$25</f>
        <v>9</v>
      </c>
      <c r="C6" s="304"/>
      <c r="D6" s="304" t="s">
        <v>5</v>
      </c>
      <c r="E6" s="305">
        <f>B6*365</f>
        <v>3285</v>
      </c>
      <c r="F6" s="208"/>
      <c r="H6" s="450" t="s">
        <v>4</v>
      </c>
      <c r="I6" s="659">
        <v>9</v>
      </c>
      <c r="J6" s="660"/>
      <c r="K6" s="660" t="s">
        <v>5</v>
      </c>
      <c r="L6" s="686">
        <f>I6*365</f>
        <v>3285</v>
      </c>
      <c r="M6" s="660" t="s">
        <v>5</v>
      </c>
      <c r="N6" s="661">
        <f>I6*365</f>
        <v>3285</v>
      </c>
      <c r="O6" s="2"/>
      <c r="P6" s="2"/>
      <c r="Q6" s="25" t="s">
        <v>15</v>
      </c>
      <c r="R6" s="27">
        <v>8</v>
      </c>
      <c r="S6" s="27">
        <f>R6*8</f>
        <v>64</v>
      </c>
      <c r="T6" s="151"/>
      <c r="U6" s="102"/>
      <c r="V6" s="102"/>
    </row>
    <row r="7" spans="1:22" s="142" customFormat="1" ht="15" customHeight="1" x14ac:dyDescent="0.25">
      <c r="F7" s="208"/>
      <c r="H7" s="190"/>
      <c r="I7" s="149"/>
      <c r="J7" s="149"/>
      <c r="K7" s="149"/>
      <c r="L7" s="525"/>
      <c r="M7" s="149"/>
      <c r="N7" s="402"/>
      <c r="O7" s="2"/>
      <c r="P7" s="2"/>
      <c r="Q7" s="25" t="s">
        <v>17</v>
      </c>
      <c r="R7" s="27">
        <v>10</v>
      </c>
      <c r="S7" s="27">
        <f>R7*8</f>
        <v>80</v>
      </c>
      <c r="T7" s="151"/>
      <c r="U7" s="102"/>
      <c r="V7" s="102"/>
    </row>
    <row r="8" spans="1:22" s="142" customFormat="1" ht="13.15" x14ac:dyDescent="0.25">
      <c r="A8" s="153"/>
      <c r="B8" s="153"/>
      <c r="C8" s="154" t="s">
        <v>10</v>
      </c>
      <c r="D8" s="154" t="s">
        <v>11</v>
      </c>
      <c r="E8" s="154" t="s">
        <v>12</v>
      </c>
      <c r="F8" s="208"/>
      <c r="H8" s="453"/>
      <c r="I8" s="394"/>
      <c r="J8" s="395" t="s">
        <v>10</v>
      </c>
      <c r="K8" s="4" t="s">
        <v>11</v>
      </c>
      <c r="L8" s="687" t="s">
        <v>12</v>
      </c>
      <c r="M8" s="4" t="s">
        <v>11</v>
      </c>
      <c r="N8" s="486" t="s">
        <v>12</v>
      </c>
      <c r="O8" s="451"/>
      <c r="P8" s="149"/>
      <c r="Q8" s="32" t="s">
        <v>19</v>
      </c>
      <c r="R8" s="34">
        <v>7</v>
      </c>
      <c r="S8" s="34">
        <f>R8*8</f>
        <v>56</v>
      </c>
      <c r="T8" s="159"/>
      <c r="U8" s="102"/>
      <c r="V8" s="102"/>
    </row>
    <row r="9" spans="1:22" s="142" customFormat="1" ht="13.15" x14ac:dyDescent="0.25">
      <c r="A9" s="251" t="s">
        <v>14</v>
      </c>
      <c r="C9" s="307">
        <f>S13</f>
        <v>57593.3511</v>
      </c>
      <c r="D9" s="308">
        <f>S26</f>
        <v>1</v>
      </c>
      <c r="E9" s="307">
        <f>C9*D9</f>
        <v>57593.3511</v>
      </c>
      <c r="F9" s="208"/>
      <c r="H9" s="455" t="s">
        <v>14</v>
      </c>
      <c r="I9" s="149"/>
      <c r="J9" s="161">
        <f>S13</f>
        <v>57593.3511</v>
      </c>
      <c r="K9" s="662">
        <f>S26</f>
        <v>1</v>
      </c>
      <c r="L9" s="527">
        <f>J9*K9</f>
        <v>57593.3511</v>
      </c>
      <c r="M9" s="663">
        <f>K9</f>
        <v>1</v>
      </c>
      <c r="N9" s="488">
        <f>J9*M9</f>
        <v>57593.3511</v>
      </c>
      <c r="O9" s="149"/>
      <c r="P9" s="149"/>
      <c r="Q9" s="25"/>
      <c r="R9" s="36" t="s">
        <v>21</v>
      </c>
      <c r="S9" s="27">
        <f>SUM(S5:S8)</f>
        <v>320</v>
      </c>
      <c r="T9" s="160"/>
      <c r="U9" s="102"/>
      <c r="V9" s="102"/>
    </row>
    <row r="10" spans="1:22" s="142" customFormat="1" ht="13.9" thickBot="1" x14ac:dyDescent="0.3">
      <c r="A10" s="256" t="s">
        <v>16</v>
      </c>
      <c r="C10" s="307"/>
      <c r="D10" s="308"/>
      <c r="E10" s="307"/>
      <c r="F10" s="208"/>
      <c r="H10" s="346" t="s">
        <v>16</v>
      </c>
      <c r="I10" s="149"/>
      <c r="J10" s="161"/>
      <c r="K10" s="166"/>
      <c r="L10" s="527"/>
      <c r="M10" s="664"/>
      <c r="N10" s="488"/>
      <c r="O10" s="688"/>
      <c r="P10" s="4"/>
      <c r="Q10" s="38"/>
      <c r="R10" s="39" t="s">
        <v>23</v>
      </c>
      <c r="S10" s="40">
        <f>S9/(52*40)</f>
        <v>0.15384615384615385</v>
      </c>
      <c r="T10" s="41"/>
    </row>
    <row r="11" spans="1:22" s="142" customFormat="1" ht="13.9" thickBot="1" x14ac:dyDescent="0.3">
      <c r="A11" s="257" t="s">
        <v>18</v>
      </c>
      <c r="C11" s="307">
        <f>S15</f>
        <v>86860.800000000003</v>
      </c>
      <c r="D11" s="396">
        <f>S28</f>
        <v>1</v>
      </c>
      <c r="E11" s="307">
        <f>C11*D11</f>
        <v>86860.800000000003</v>
      </c>
      <c r="F11" s="208"/>
      <c r="H11" s="348" t="s">
        <v>18</v>
      </c>
      <c r="I11" s="149"/>
      <c r="J11" s="161">
        <f t="shared" ref="J11:J18" si="0">S15</f>
        <v>86860.800000000003</v>
      </c>
      <c r="K11" s="166">
        <f>S28</f>
        <v>1</v>
      </c>
      <c r="L11" s="527">
        <f>J11*K11</f>
        <v>86860.800000000003</v>
      </c>
      <c r="M11" s="664">
        <v>1.004</v>
      </c>
      <c r="N11" s="488">
        <f>J11*M11</f>
        <v>87208.243199999997</v>
      </c>
      <c r="O11" s="161"/>
      <c r="P11" s="161"/>
    </row>
    <row r="12" spans="1:22" s="142" customFormat="1" ht="13.15" x14ac:dyDescent="0.25">
      <c r="A12" s="257" t="s">
        <v>282</v>
      </c>
      <c r="C12" s="307">
        <f>S16</f>
        <v>57449.599999999999</v>
      </c>
      <c r="D12" s="396">
        <f>S29</f>
        <v>1</v>
      </c>
      <c r="E12" s="307">
        <f>C12*D12</f>
        <v>57449.599999999999</v>
      </c>
      <c r="F12" s="208"/>
      <c r="H12" s="348" t="s">
        <v>282</v>
      </c>
      <c r="I12" s="149"/>
      <c r="J12" s="161">
        <f t="shared" si="0"/>
        <v>57449.599999999999</v>
      </c>
      <c r="K12" s="166">
        <f>S29</f>
        <v>1</v>
      </c>
      <c r="L12" s="527">
        <f>J12*K12</f>
        <v>57449.599999999999</v>
      </c>
      <c r="M12" s="664">
        <v>4.2039999999999997</v>
      </c>
      <c r="N12" s="488">
        <f>J12*M12</f>
        <v>241518.11839999998</v>
      </c>
      <c r="O12" s="161"/>
      <c r="P12" s="161"/>
      <c r="Q12" s="162"/>
      <c r="R12" s="163"/>
      <c r="S12" s="164" t="s">
        <v>112</v>
      </c>
      <c r="T12" s="689"/>
    </row>
    <row r="13" spans="1:22" s="142" customFormat="1" ht="13.15" x14ac:dyDescent="0.25">
      <c r="A13" s="256" t="s">
        <v>20</v>
      </c>
      <c r="C13" s="307"/>
      <c r="D13" s="396"/>
      <c r="E13" s="307"/>
      <c r="F13" s="208"/>
      <c r="H13" s="346" t="s">
        <v>20</v>
      </c>
      <c r="I13" s="149"/>
      <c r="J13" s="161">
        <f t="shared" si="0"/>
        <v>0</v>
      </c>
      <c r="K13" s="166"/>
      <c r="L13" s="527"/>
      <c r="M13" s="664"/>
      <c r="N13" s="488"/>
      <c r="O13" s="161"/>
      <c r="P13" s="161"/>
      <c r="Q13" s="17" t="s">
        <v>14</v>
      </c>
      <c r="R13" s="147"/>
      <c r="S13" s="156">
        <f>'[3]Group Home (rebased)'!P13</f>
        <v>57593.3511</v>
      </c>
      <c r="T13" s="158"/>
    </row>
    <row r="14" spans="1:22" s="142" customFormat="1" ht="13.15" x14ac:dyDescent="0.25">
      <c r="A14" s="257" t="s">
        <v>24</v>
      </c>
      <c r="C14" s="307">
        <f>S18</f>
        <v>60923.199999999997</v>
      </c>
      <c r="D14" s="396">
        <f>S31</f>
        <v>0.75</v>
      </c>
      <c r="E14" s="307">
        <f>C14*D14</f>
        <v>45692.399999999994</v>
      </c>
      <c r="F14" s="208"/>
      <c r="H14" s="348" t="s">
        <v>24</v>
      </c>
      <c r="I14" s="149"/>
      <c r="J14" s="161">
        <f t="shared" si="0"/>
        <v>60923.199999999997</v>
      </c>
      <c r="K14" s="166">
        <f>S31</f>
        <v>0.75</v>
      </c>
      <c r="L14" s="527">
        <f>J14*K14</f>
        <v>45692.399999999994</v>
      </c>
      <c r="M14" s="664">
        <v>0.754</v>
      </c>
      <c r="N14" s="488">
        <f>J14*M14</f>
        <v>45936.092799999999</v>
      </c>
      <c r="O14" s="161"/>
      <c r="P14" s="161"/>
      <c r="Q14" s="17" t="s">
        <v>16</v>
      </c>
      <c r="R14" s="147"/>
      <c r="S14" s="156"/>
      <c r="T14" s="158"/>
    </row>
    <row r="15" spans="1:22" s="142" customFormat="1" ht="13.15" x14ac:dyDescent="0.25">
      <c r="A15" s="257" t="s">
        <v>25</v>
      </c>
      <c r="C15" s="307">
        <f>S19</f>
        <v>32198.400000000001</v>
      </c>
      <c r="D15" s="396">
        <f>S32</f>
        <v>8.5</v>
      </c>
      <c r="E15" s="307">
        <f>C15*D15</f>
        <v>273686.40000000002</v>
      </c>
      <c r="F15" s="208"/>
      <c r="H15" s="348" t="s">
        <v>25</v>
      </c>
      <c r="I15" s="149"/>
      <c r="J15" s="161">
        <f t="shared" si="0"/>
        <v>32198.400000000001</v>
      </c>
      <c r="K15" s="665">
        <f>H149</f>
        <v>18.2</v>
      </c>
      <c r="L15" s="527">
        <f>J15*K15</f>
        <v>586010.88</v>
      </c>
      <c r="M15" s="664">
        <f>K15</f>
        <v>18.2</v>
      </c>
      <c r="N15" s="488">
        <f>J15*M15</f>
        <v>586010.88</v>
      </c>
      <c r="O15" s="161"/>
      <c r="P15" s="161"/>
      <c r="Q15" s="25" t="s">
        <v>18</v>
      </c>
      <c r="R15" s="147"/>
      <c r="S15" s="161">
        <f>'Salary Bench Chart'!C20</f>
        <v>86860.800000000003</v>
      </c>
      <c r="T15" s="585"/>
    </row>
    <row r="16" spans="1:22" s="142" customFormat="1" ht="13.15" x14ac:dyDescent="0.25">
      <c r="A16" s="259" t="s">
        <v>27</v>
      </c>
      <c r="C16" s="307">
        <f>S20</f>
        <v>32198.400000000001</v>
      </c>
      <c r="D16" s="396">
        <f>S33</f>
        <v>1.3076923076923077</v>
      </c>
      <c r="E16" s="307">
        <f>C16*D16</f>
        <v>42105.600000000006</v>
      </c>
      <c r="F16" s="208"/>
      <c r="H16" s="362" t="s">
        <v>27</v>
      </c>
      <c r="I16" s="149"/>
      <c r="J16" s="527">
        <f t="shared" si="0"/>
        <v>32198.400000000001</v>
      </c>
      <c r="K16" s="166">
        <f>K15*S10</f>
        <v>2.8000000000000003</v>
      </c>
      <c r="L16" s="516">
        <f>J16*K16</f>
        <v>90155.520000000019</v>
      </c>
      <c r="M16" s="664">
        <f>K16</f>
        <v>2.8000000000000003</v>
      </c>
      <c r="N16" s="488">
        <f>J16*M16</f>
        <v>90155.520000000019</v>
      </c>
      <c r="O16" s="161"/>
      <c r="P16" s="161"/>
      <c r="Q16" s="25" t="s">
        <v>282</v>
      </c>
      <c r="R16" s="147"/>
      <c r="S16" s="161">
        <f>'Salary Bench Chart'!C18</f>
        <v>57449.599999999999</v>
      </c>
      <c r="T16" s="585"/>
    </row>
    <row r="17" spans="1:23" s="142" customFormat="1" ht="13.15" x14ac:dyDescent="0.25">
      <c r="A17" s="256" t="s">
        <v>28</v>
      </c>
      <c r="C17" s="307"/>
      <c r="D17" s="308"/>
      <c r="E17" s="307"/>
      <c r="F17" s="208"/>
      <c r="H17" s="346" t="s">
        <v>28</v>
      </c>
      <c r="I17" s="149"/>
      <c r="J17" s="161"/>
      <c r="K17" s="662"/>
      <c r="L17" s="527"/>
      <c r="M17" s="664"/>
      <c r="N17" s="488"/>
      <c r="O17" s="161"/>
      <c r="Q17" s="17" t="s">
        <v>20</v>
      </c>
      <c r="R17" s="147"/>
      <c r="S17" s="161"/>
      <c r="T17" s="585"/>
    </row>
    <row r="18" spans="1:23" s="142" customFormat="1" ht="13.15" x14ac:dyDescent="0.25">
      <c r="A18" s="257" t="s">
        <v>29</v>
      </c>
      <c r="C18" s="307">
        <f>S22</f>
        <v>32198.400000000001</v>
      </c>
      <c r="D18" s="308">
        <f>S35</f>
        <v>0.5</v>
      </c>
      <c r="E18" s="307">
        <f>C18*D18</f>
        <v>16099.2</v>
      </c>
      <c r="F18" s="208"/>
      <c r="H18" s="348" t="s">
        <v>29</v>
      </c>
      <c r="I18" s="149"/>
      <c r="J18" s="161">
        <f t="shared" si="0"/>
        <v>32198.400000000001</v>
      </c>
      <c r="K18" s="166">
        <f>S35</f>
        <v>0.5</v>
      </c>
      <c r="L18" s="527">
        <f>J18*K18</f>
        <v>16099.2</v>
      </c>
      <c r="M18" s="666">
        <f>K18</f>
        <v>0.5</v>
      </c>
      <c r="N18" s="488">
        <f>J18*M18</f>
        <v>16099.2</v>
      </c>
      <c r="O18" s="161"/>
      <c r="P18" s="161"/>
      <c r="Q18" s="25" t="s">
        <v>24</v>
      </c>
      <c r="R18" s="147"/>
      <c r="S18" s="161">
        <f>'Salary Bench Chart'!C14</f>
        <v>60923.199999999997</v>
      </c>
      <c r="T18" s="745"/>
    </row>
    <row r="19" spans="1:23" s="142" customFormat="1" ht="13.15" x14ac:dyDescent="0.25">
      <c r="A19" s="168" t="s">
        <v>30</v>
      </c>
      <c r="B19" s="168"/>
      <c r="C19" s="168"/>
      <c r="D19" s="169">
        <f>SUM(D9:D18)</f>
        <v>14.057692307692308</v>
      </c>
      <c r="E19" s="309">
        <f>SUM(E9:E18)</f>
        <v>579487.35109999997</v>
      </c>
      <c r="F19" s="208"/>
      <c r="H19" s="457" t="s">
        <v>30</v>
      </c>
      <c r="I19" s="404"/>
      <c r="J19" s="404"/>
      <c r="K19" s="405">
        <f>SUM(K9:K18)</f>
        <v>25.25</v>
      </c>
      <c r="L19" s="667">
        <f>SUM(L9:L18)</f>
        <v>939861.75109999999</v>
      </c>
      <c r="M19" s="668">
        <f>SUM(M9:M18)</f>
        <v>28.462</v>
      </c>
      <c r="N19" s="489">
        <f>SUM(N9:N18)</f>
        <v>1124521.4054999999</v>
      </c>
      <c r="O19" s="161"/>
      <c r="P19" s="161"/>
      <c r="Q19" s="25" t="s">
        <v>25</v>
      </c>
      <c r="R19" s="147"/>
      <c r="S19" s="161">
        <f>'Salary Bench Chart'!C4</f>
        <v>32198.400000000001</v>
      </c>
      <c r="T19" s="585"/>
    </row>
    <row r="20" spans="1:23" s="142" customFormat="1" ht="13.15" x14ac:dyDescent="0.25">
      <c r="F20" s="208"/>
      <c r="H20" s="190"/>
      <c r="I20" s="149"/>
      <c r="J20" s="149"/>
      <c r="K20" s="149"/>
      <c r="L20" s="525"/>
      <c r="M20" s="149"/>
      <c r="N20" s="402"/>
      <c r="O20" s="161"/>
      <c r="P20" s="161"/>
      <c r="Q20" s="47" t="s">
        <v>27</v>
      </c>
      <c r="R20" s="147"/>
      <c r="S20" s="161">
        <f>S19</f>
        <v>32198.400000000001</v>
      </c>
      <c r="T20" s="585"/>
    </row>
    <row r="21" spans="1:23" s="142" customFormat="1" ht="13.15" x14ac:dyDescent="0.25">
      <c r="A21" s="304" t="s">
        <v>32</v>
      </c>
      <c r="D21" s="304" t="s">
        <v>33</v>
      </c>
      <c r="F21" s="208"/>
      <c r="H21" s="458" t="s">
        <v>32</v>
      </c>
      <c r="I21" s="149"/>
      <c r="J21" s="149"/>
      <c r="K21" s="418" t="s">
        <v>33</v>
      </c>
      <c r="L21" s="525"/>
      <c r="M21" s="418" t="s">
        <v>33</v>
      </c>
      <c r="N21" s="402"/>
      <c r="O21" s="224"/>
      <c r="P21" s="224"/>
      <c r="Q21" s="17" t="s">
        <v>28</v>
      </c>
      <c r="R21" s="147"/>
      <c r="S21" s="161"/>
      <c r="T21" s="585"/>
    </row>
    <row r="22" spans="1:23" s="142" customFormat="1" ht="13.15" x14ac:dyDescent="0.25">
      <c r="A22" s="142" t="s">
        <v>35</v>
      </c>
      <c r="C22" s="312">
        <f>$S$38</f>
        <v>0.22309999999999999</v>
      </c>
      <c r="E22" s="307">
        <f>C22*E19</f>
        <v>129283.62803040999</v>
      </c>
      <c r="F22" s="208"/>
      <c r="H22" s="190" t="s">
        <v>35</v>
      </c>
      <c r="I22" s="149"/>
      <c r="J22" s="191">
        <f>S38</f>
        <v>0.22309999999999999</v>
      </c>
      <c r="K22" s="149"/>
      <c r="L22" s="527">
        <f>J22*L19</f>
        <v>209683.15667040998</v>
      </c>
      <c r="M22" s="149"/>
      <c r="N22" s="488">
        <f>N19*J22</f>
        <v>250880.72556704996</v>
      </c>
      <c r="O22" s="149"/>
      <c r="P22" s="149"/>
      <c r="Q22" s="25" t="s">
        <v>287</v>
      </c>
      <c r="R22" s="147"/>
      <c r="S22" s="161">
        <f>S20</f>
        <v>32198.400000000001</v>
      </c>
      <c r="T22" s="585"/>
    </row>
    <row r="23" spans="1:23" s="142" customFormat="1" ht="13.15" x14ac:dyDescent="0.25">
      <c r="A23" s="168" t="s">
        <v>36</v>
      </c>
      <c r="B23" s="168"/>
      <c r="C23" s="168"/>
      <c r="D23" s="172">
        <f>E23/E6</f>
        <v>215.75981099860275</v>
      </c>
      <c r="E23" s="309">
        <f>E22+E19</f>
        <v>708770.97913041001</v>
      </c>
      <c r="F23" s="208"/>
      <c r="H23" s="457" t="s">
        <v>36</v>
      </c>
      <c r="I23" s="404"/>
      <c r="J23" s="404"/>
      <c r="K23" s="413">
        <f>L23/L6</f>
        <v>349.93756705339723</v>
      </c>
      <c r="L23" s="667">
        <f>L22+L19</f>
        <v>1149544.9077704099</v>
      </c>
      <c r="M23" s="413">
        <f>N23/N6</f>
        <v>418.69166851356164</v>
      </c>
      <c r="N23" s="489">
        <f>N22+N19</f>
        <v>1375402.1310670499</v>
      </c>
      <c r="O23" s="149"/>
      <c r="P23" s="149"/>
      <c r="Q23" s="25"/>
      <c r="R23" s="147"/>
      <c r="S23" s="161"/>
      <c r="T23" s="488"/>
      <c r="W23" s="206"/>
    </row>
    <row r="24" spans="1:23" s="142" customFormat="1" ht="13.15" x14ac:dyDescent="0.25">
      <c r="F24" s="208"/>
      <c r="H24" s="190"/>
      <c r="I24" s="149"/>
      <c r="J24" s="149"/>
      <c r="K24" s="149"/>
      <c r="L24" s="525"/>
      <c r="M24" s="149"/>
      <c r="N24" s="402"/>
      <c r="O24" s="161"/>
      <c r="P24" s="226"/>
      <c r="Q24" s="150"/>
      <c r="R24" s="147"/>
      <c r="S24" s="411" t="s">
        <v>41</v>
      </c>
      <c r="T24" s="464"/>
    </row>
    <row r="25" spans="1:23" s="142" customFormat="1" ht="13.15" x14ac:dyDescent="0.25">
      <c r="F25" s="208"/>
      <c r="H25" s="190" t="str">
        <f>'[3]Master Data '!B128</f>
        <v>PFMLA Trust Contribution</v>
      </c>
      <c r="I25" s="503">
        <f>S39</f>
        <v>3.7000000000000002E-3</v>
      </c>
      <c r="J25" s="149"/>
      <c r="K25" s="149"/>
      <c r="L25" s="531">
        <f>L19*I25</f>
        <v>3477.4884790700003</v>
      </c>
      <c r="M25" s="149"/>
      <c r="N25" s="490">
        <f>N19*I25</f>
        <v>4160.7292003499997</v>
      </c>
      <c r="O25" s="224"/>
      <c r="P25" s="224"/>
      <c r="Q25" s="150" t="s">
        <v>48</v>
      </c>
      <c r="R25" s="336"/>
      <c r="S25" s="34">
        <f>'[11]Sunshine Haven'!$J$25</f>
        <v>9</v>
      </c>
      <c r="T25" s="416"/>
    </row>
    <row r="26" spans="1:23" s="142" customFormat="1" ht="13.15" x14ac:dyDescent="0.25">
      <c r="A26" s="142" t="s">
        <v>38</v>
      </c>
      <c r="D26" s="206">
        <f>$S$40</f>
        <v>31.13</v>
      </c>
      <c r="E26" s="313">
        <f>D26*(365*(4+4))</f>
        <v>90899.599999999991</v>
      </c>
      <c r="F26" s="208"/>
      <c r="H26" s="190" t="s">
        <v>38</v>
      </c>
      <c r="I26" s="149"/>
      <c r="J26" s="149"/>
      <c r="K26" s="202">
        <f>$S$40</f>
        <v>31.13</v>
      </c>
      <c r="L26" s="532">
        <f>K26*(365*(4+4))</f>
        <v>90899.599999999991</v>
      </c>
      <c r="M26" s="202">
        <f>$S$40</f>
        <v>31.13</v>
      </c>
      <c r="N26" s="491">
        <f>M26*(365*(4+4))</f>
        <v>90899.599999999991</v>
      </c>
      <c r="O26" s="149"/>
      <c r="P26" s="149"/>
      <c r="Q26" s="17" t="s">
        <v>14</v>
      </c>
      <c r="S26" s="627">
        <f>'[11]Sunshine Haven'!$J27</f>
        <v>1</v>
      </c>
      <c r="T26" s="88"/>
    </row>
    <row r="27" spans="1:23" s="142" customFormat="1" ht="13.15" x14ac:dyDescent="0.25">
      <c r="A27" s="147" t="s">
        <v>39</v>
      </c>
      <c r="D27" s="206">
        <f>$S$41</f>
        <v>18.149999999999999</v>
      </c>
      <c r="E27" s="313">
        <f>D27*E6</f>
        <v>59622.749999999993</v>
      </c>
      <c r="F27" s="208"/>
      <c r="H27" s="190" t="s">
        <v>39</v>
      </c>
      <c r="I27" s="149"/>
      <c r="J27" s="149"/>
      <c r="K27" s="202">
        <f>$S$41</f>
        <v>18.149999999999999</v>
      </c>
      <c r="L27" s="532">
        <f>K27*L6</f>
        <v>59622.749999999993</v>
      </c>
      <c r="M27" s="202">
        <f>$S$41</f>
        <v>18.149999999999999</v>
      </c>
      <c r="N27" s="491">
        <f>M27*N6</f>
        <v>59622.749999999993</v>
      </c>
      <c r="O27" s="149"/>
      <c r="P27" s="149"/>
      <c r="Q27" s="17" t="s">
        <v>16</v>
      </c>
      <c r="S27" s="627"/>
      <c r="T27" s="88"/>
    </row>
    <row r="28" spans="1:23" s="142" customFormat="1" ht="13.15" x14ac:dyDescent="0.25">
      <c r="A28" s="147" t="s">
        <v>174</v>
      </c>
      <c r="D28" s="206">
        <f>$S$42</f>
        <v>-1.9951315068493152</v>
      </c>
      <c r="E28" s="313">
        <f>D28*E6</f>
        <v>-6554.0070000000005</v>
      </c>
      <c r="F28" s="208"/>
      <c r="H28" s="190" t="s">
        <v>174</v>
      </c>
      <c r="I28" s="149"/>
      <c r="J28" s="149"/>
      <c r="K28" s="202">
        <f>$S$42</f>
        <v>-1.9951315068493152</v>
      </c>
      <c r="L28" s="532">
        <f>K28*L6</f>
        <v>-6554.0070000000005</v>
      </c>
      <c r="M28" s="202">
        <f>$S$42</f>
        <v>-1.9951315068493152</v>
      </c>
      <c r="N28" s="491">
        <f>M28*N6</f>
        <v>-6554.0070000000005</v>
      </c>
      <c r="O28" s="226"/>
      <c r="P28" s="226"/>
      <c r="Q28" s="25" t="s">
        <v>18</v>
      </c>
      <c r="S28" s="627">
        <f>'[11]Sunshine Haven'!$J29</f>
        <v>1</v>
      </c>
      <c r="T28" s="88"/>
    </row>
    <row r="29" spans="1:23" s="142" customFormat="1" ht="13.15" x14ac:dyDescent="0.25">
      <c r="D29" s="176">
        <f>SUM(D26:D28)</f>
        <v>47.284868493150682</v>
      </c>
      <c r="F29" s="208"/>
      <c r="H29" s="190"/>
      <c r="I29" s="149"/>
      <c r="J29" s="149"/>
      <c r="K29" s="420">
        <f>SUM(K26:K28)</f>
        <v>47.284868493150682</v>
      </c>
      <c r="L29" s="525"/>
      <c r="M29" s="420">
        <f>SUM(M26:M28)</f>
        <v>47.284868493150682</v>
      </c>
      <c r="N29" s="402"/>
      <c r="O29" s="226"/>
      <c r="P29" s="226"/>
      <c r="Q29" s="25" t="s">
        <v>282</v>
      </c>
      <c r="S29" s="627">
        <f>'[11]Sunshine Haven'!$J30</f>
        <v>1</v>
      </c>
      <c r="T29" s="88"/>
    </row>
    <row r="30" spans="1:23" s="142" customFormat="1" ht="13.15" x14ac:dyDescent="0.25">
      <c r="F30" s="208"/>
      <c r="H30" s="190"/>
      <c r="I30" s="149"/>
      <c r="J30" s="149"/>
      <c r="K30" s="149"/>
      <c r="L30" s="525"/>
      <c r="M30" s="149"/>
      <c r="N30" s="402"/>
      <c r="O30" s="226"/>
      <c r="P30" s="226"/>
      <c r="Q30" s="17" t="s">
        <v>20</v>
      </c>
      <c r="S30" s="627"/>
      <c r="T30" s="88"/>
    </row>
    <row r="31" spans="1:23" s="142" customFormat="1" ht="13.15" x14ac:dyDescent="0.25">
      <c r="A31" s="168" t="s">
        <v>40</v>
      </c>
      <c r="B31" s="168"/>
      <c r="C31" s="168"/>
      <c r="D31" s="168"/>
      <c r="E31" s="309">
        <f>SUM(E23:E28)</f>
        <v>852739.32213041</v>
      </c>
      <c r="F31" s="208"/>
      <c r="H31" s="457" t="s">
        <v>40</v>
      </c>
      <c r="I31" s="404"/>
      <c r="J31" s="404"/>
      <c r="K31" s="404"/>
      <c r="L31" s="667">
        <f>SUM(L23:L28)</f>
        <v>1296990.73924948</v>
      </c>
      <c r="M31" s="404"/>
      <c r="N31" s="489">
        <f>SUM(N23:N28)</f>
        <v>1523531.2032673999</v>
      </c>
      <c r="O31" s="149"/>
      <c r="P31" s="149"/>
      <c r="Q31" s="25" t="s">
        <v>24</v>
      </c>
      <c r="R31" s="147"/>
      <c r="S31" s="627">
        <f>'[11]Sunshine Haven'!$J32</f>
        <v>0.75</v>
      </c>
      <c r="T31" s="88"/>
    </row>
    <row r="32" spans="1:23" s="142" customFormat="1" ht="13.15" x14ac:dyDescent="0.25">
      <c r="F32" s="208"/>
      <c r="H32" s="190"/>
      <c r="I32" s="149"/>
      <c r="J32" s="149"/>
      <c r="K32" s="149"/>
      <c r="L32" s="525"/>
      <c r="M32" s="149"/>
      <c r="N32" s="402"/>
      <c r="O32" s="149"/>
      <c r="P32" s="149"/>
      <c r="Q32" s="25" t="s">
        <v>25</v>
      </c>
      <c r="S32" s="627">
        <v>8.5</v>
      </c>
      <c r="T32" s="88"/>
    </row>
    <row r="33" spans="1:24" s="142" customFormat="1" ht="13.15" x14ac:dyDescent="0.25">
      <c r="A33" s="142" t="s">
        <v>47</v>
      </c>
      <c r="C33" s="312">
        <f>$S$45</f>
        <v>0.11849999999999999</v>
      </c>
      <c r="E33" s="307">
        <f>C33*E31</f>
        <v>101049.60967245357</v>
      </c>
      <c r="F33" s="208"/>
      <c r="H33" s="190" t="s">
        <v>47</v>
      </c>
      <c r="I33" s="149"/>
      <c r="J33" s="191">
        <f>$S$45</f>
        <v>0.11849999999999999</v>
      </c>
      <c r="K33" s="149"/>
      <c r="L33" s="527">
        <f>J33*L31</f>
        <v>153693.40260106337</v>
      </c>
      <c r="M33" s="149"/>
      <c r="N33" s="488">
        <f>N31*J33</f>
        <v>180538.44758718688</v>
      </c>
      <c r="O33" s="224"/>
      <c r="P33" s="224"/>
      <c r="Q33" s="47" t="s">
        <v>27</v>
      </c>
      <c r="S33" s="627">
        <f>S32*S10</f>
        <v>1.3076923076923077</v>
      </c>
      <c r="T33" s="88"/>
    </row>
    <row r="34" spans="1:24" s="142" customFormat="1" ht="13.15" x14ac:dyDescent="0.25">
      <c r="F34" s="208"/>
      <c r="H34" s="190"/>
      <c r="I34" s="149"/>
      <c r="J34" s="149"/>
      <c r="K34" s="149"/>
      <c r="L34" s="525"/>
      <c r="M34" s="149"/>
      <c r="N34" s="402"/>
      <c r="O34" s="149"/>
      <c r="P34" s="149"/>
      <c r="Q34" s="17" t="s">
        <v>28</v>
      </c>
      <c r="S34" s="627"/>
      <c r="T34" s="88"/>
    </row>
    <row r="35" spans="1:24" s="142" customFormat="1" ht="13.9" thickBot="1" x14ac:dyDescent="0.3">
      <c r="A35" s="320" t="s">
        <v>49</v>
      </c>
      <c r="B35" s="183"/>
      <c r="C35" s="183"/>
      <c r="D35" s="183"/>
      <c r="E35" s="315">
        <f>SUM(E31:E33)</f>
        <v>953788.9318028636</v>
      </c>
      <c r="F35" s="208"/>
      <c r="H35" s="460" t="s">
        <v>49</v>
      </c>
      <c r="I35" s="423"/>
      <c r="J35" s="423"/>
      <c r="K35" s="423"/>
      <c r="L35" s="533">
        <f>SUM(L31:L33)</f>
        <v>1450684.1418505432</v>
      </c>
      <c r="M35" s="423"/>
      <c r="N35" s="492">
        <f>SUM(N31:N33)</f>
        <v>1704069.6508545869</v>
      </c>
      <c r="O35" s="161"/>
      <c r="P35" s="226"/>
      <c r="Q35" s="25" t="s">
        <v>287</v>
      </c>
      <c r="S35" s="627">
        <f>'[11]Sunshine Haven'!$J36</f>
        <v>0.5</v>
      </c>
      <c r="T35" s="88"/>
    </row>
    <row r="36" spans="1:24" s="142" customFormat="1" ht="14.45" thickTop="1" thickBot="1" x14ac:dyDescent="0.3">
      <c r="F36" s="208"/>
      <c r="H36" s="190" t="str">
        <f>Q47</f>
        <v>CAF (FY19)</v>
      </c>
      <c r="I36" s="191">
        <f>S47</f>
        <v>1.78E-2</v>
      </c>
      <c r="J36" s="149"/>
      <c r="K36" s="149"/>
      <c r="L36" s="669">
        <f>(L35*I36)-(L19*I36)</f>
        <v>9092.6385553596701</v>
      </c>
      <c r="M36" s="149"/>
      <c r="N36" s="670">
        <f>(N35*I36)-(N19*I36)</f>
        <v>10315.958767311648</v>
      </c>
      <c r="O36" s="149"/>
      <c r="P36" s="149"/>
      <c r="Q36" s="150"/>
      <c r="R36" s="147"/>
      <c r="S36" s="149"/>
      <c r="T36" s="402"/>
    </row>
    <row r="37" spans="1:24" s="142" customFormat="1" ht="13.9" thickTop="1" x14ac:dyDescent="0.25">
      <c r="A37" s="142" t="s">
        <v>132</v>
      </c>
      <c r="C37" s="312">
        <f>$S$47</f>
        <v>1.78E-2</v>
      </c>
      <c r="E37" s="322">
        <f>E35*(1+C37)</f>
        <v>970766.37478895462</v>
      </c>
      <c r="F37" s="208"/>
      <c r="H37" s="190"/>
      <c r="I37" s="149"/>
      <c r="J37" s="191"/>
      <c r="K37" s="149"/>
      <c r="L37" s="511">
        <f>L36+L35</f>
        <v>1459776.7804059028</v>
      </c>
      <c r="M37" s="149"/>
      <c r="N37" s="277">
        <f>N36+N35</f>
        <v>1714385.6096218985</v>
      </c>
      <c r="O37" s="224"/>
      <c r="P37" s="224"/>
      <c r="Q37" s="150"/>
      <c r="R37" s="147"/>
      <c r="S37" s="411" t="s">
        <v>113</v>
      </c>
      <c r="T37" s="464"/>
    </row>
    <row r="38" spans="1:24" s="142" customFormat="1" ht="13.15" x14ac:dyDescent="0.25">
      <c r="F38" s="208"/>
      <c r="H38" s="190"/>
      <c r="I38" s="149"/>
      <c r="J38" s="149"/>
      <c r="K38" s="149"/>
      <c r="L38" s="525"/>
      <c r="M38" s="149"/>
      <c r="N38" s="402"/>
      <c r="O38" s="149"/>
      <c r="P38" s="149"/>
      <c r="Q38" s="150" t="s">
        <v>35</v>
      </c>
      <c r="R38" s="147"/>
      <c r="S38" s="435">
        <f>'[3]Master Data '!D140</f>
        <v>0.22309999999999999</v>
      </c>
      <c r="T38" s="635"/>
    </row>
    <row r="39" spans="1:24" s="142" customFormat="1" ht="13.15" x14ac:dyDescent="0.25">
      <c r="E39" s="323" t="s">
        <v>59</v>
      </c>
      <c r="F39" s="208"/>
      <c r="H39" s="190"/>
      <c r="I39" s="149"/>
      <c r="J39" s="149"/>
      <c r="K39" s="149"/>
      <c r="L39" s="671" t="s">
        <v>119</v>
      </c>
      <c r="M39" s="149"/>
      <c r="N39" s="493" t="s">
        <v>119</v>
      </c>
      <c r="O39" s="462"/>
      <c r="P39" s="226"/>
      <c r="Q39" s="150" t="s">
        <v>299</v>
      </c>
      <c r="R39" s="147"/>
      <c r="S39" s="191">
        <f>'Salary Bench Chart'!C32</f>
        <v>3.7000000000000002E-3</v>
      </c>
      <c r="T39" s="402"/>
    </row>
    <row r="40" spans="1:24" s="142" customFormat="1" ht="12.75" x14ac:dyDescent="0.2">
      <c r="A40" s="142" t="s">
        <v>133</v>
      </c>
      <c r="D40" s="324">
        <f>E35/E6</f>
        <v>290.34670678930399</v>
      </c>
      <c r="E40" s="324">
        <f>D40*(1+C37)</f>
        <v>295.51487817015362</v>
      </c>
      <c r="F40" s="208"/>
      <c r="H40" s="190" t="s">
        <v>133</v>
      </c>
      <c r="I40" s="149"/>
      <c r="J40" s="149"/>
      <c r="K40" s="192"/>
      <c r="L40" s="690">
        <f>L37/L6</f>
        <v>444.37649327424742</v>
      </c>
      <c r="M40" s="192"/>
      <c r="N40" s="193">
        <f>N37/N6</f>
        <v>521.8829861862705</v>
      </c>
      <c r="O40" s="149"/>
      <c r="P40" s="149"/>
      <c r="Q40" s="150" t="s">
        <v>38</v>
      </c>
      <c r="R40" s="147"/>
      <c r="S40" s="438">
        <v>31.13</v>
      </c>
      <c r="T40" s="637"/>
      <c r="U40" s="198"/>
    </row>
    <row r="41" spans="1:24" s="142" customFormat="1" ht="13.15" x14ac:dyDescent="0.25">
      <c r="A41" s="327" t="s">
        <v>134</v>
      </c>
      <c r="B41" s="327"/>
      <c r="C41" s="328">
        <f>'[3]CAF Spring 2015'!BC24</f>
        <v>2.0354406130268236E-2</v>
      </c>
      <c r="D41" s="329"/>
      <c r="E41" s="329"/>
      <c r="F41" s="330">
        <f>E40*(1+C41)</f>
        <v>301.52990801796568</v>
      </c>
      <c r="H41" s="190"/>
      <c r="I41" s="149"/>
      <c r="J41" s="191"/>
      <c r="K41" s="192"/>
      <c r="L41" s="690">
        <f>L40*(1+J41)</f>
        <v>444.37649327424742</v>
      </c>
      <c r="M41" s="192"/>
      <c r="N41" s="193">
        <f>N40*(1+J41)</f>
        <v>521.8829861862705</v>
      </c>
      <c r="O41" s="228"/>
      <c r="P41" s="228"/>
      <c r="Q41" s="150" t="s">
        <v>39</v>
      </c>
      <c r="R41" s="147"/>
      <c r="S41" s="438">
        <v>18.149999999999999</v>
      </c>
      <c r="T41" s="637"/>
    </row>
    <row r="42" spans="1:24" s="142" customFormat="1" ht="13.5" thickBot="1" x14ac:dyDescent="0.25">
      <c r="A42" s="279" t="s">
        <v>50</v>
      </c>
      <c r="B42" s="280">
        <v>0.9</v>
      </c>
      <c r="C42" s="281"/>
      <c r="D42" s="282">
        <f>E35/(E6*B42)</f>
        <v>322.60745198811554</v>
      </c>
      <c r="E42" s="342">
        <f>D42*(1+C37)</f>
        <v>328.34986463350401</v>
      </c>
      <c r="F42" s="691">
        <f>$F$41/B42</f>
        <v>335.03323113107297</v>
      </c>
      <c r="H42" s="371" t="s">
        <v>50</v>
      </c>
      <c r="I42" s="372">
        <v>0.9</v>
      </c>
      <c r="J42" s="373"/>
      <c r="K42" s="374"/>
      <c r="L42" s="621">
        <f>L41/I42</f>
        <v>493.75165919360825</v>
      </c>
      <c r="M42" s="374"/>
      <c r="N42" s="672">
        <f>N41/I42+4.78</f>
        <v>584.64998465141161</v>
      </c>
      <c r="O42" s="474"/>
      <c r="P42" s="202"/>
      <c r="Q42" s="150" t="s">
        <v>174</v>
      </c>
      <c r="R42" s="147"/>
      <c r="S42" s="211">
        <f>'[3]Group Home'!Q52</f>
        <v>-1.9951315068493152</v>
      </c>
      <c r="T42" s="339"/>
    </row>
    <row r="43" spans="1:24" s="142" customFormat="1" ht="13.5" thickBot="1" x14ac:dyDescent="0.25">
      <c r="A43" s="285"/>
      <c r="B43" s="286">
        <v>0.85</v>
      </c>
      <c r="C43" s="287"/>
      <c r="D43" s="288">
        <f>E35/(E6*B43)</f>
        <v>341.5843609285929</v>
      </c>
      <c r="E43" s="288">
        <f>D43*(1+C37)</f>
        <v>347.66456255312187</v>
      </c>
      <c r="F43" s="330"/>
      <c r="H43" s="199"/>
      <c r="I43" s="200"/>
      <c r="J43" s="201"/>
      <c r="K43" s="79"/>
      <c r="L43" s="617">
        <f>L42</f>
        <v>493.75165919360825</v>
      </c>
      <c r="M43" s="79"/>
      <c r="N43" s="617">
        <f>N42</f>
        <v>584.64998465141161</v>
      </c>
      <c r="O43" s="474"/>
      <c r="P43" s="192"/>
      <c r="Q43" s="212" t="s">
        <v>40</v>
      </c>
      <c r="R43" s="213"/>
      <c r="S43" s="214">
        <f>SUM(S40:S42)</f>
        <v>47.284868493150682</v>
      </c>
      <c r="T43" s="594"/>
    </row>
    <row r="44" spans="1:24" s="142" customFormat="1" ht="13.5" thickBot="1" x14ac:dyDescent="0.25">
      <c r="A44" s="334"/>
      <c r="B44" s="335">
        <v>0.8</v>
      </c>
      <c r="C44" s="336"/>
      <c r="D44" s="293">
        <f>E35/(E6*B44)</f>
        <v>362.93338348662996</v>
      </c>
      <c r="E44" s="293">
        <f>D44*(1+C37)</f>
        <v>369.39359771269199</v>
      </c>
      <c r="F44" s="337"/>
      <c r="H44" s="443"/>
      <c r="I44" s="692"/>
      <c r="J44" s="444"/>
      <c r="K44" s="673"/>
      <c r="L44" s="674" t="s">
        <v>129</v>
      </c>
      <c r="M44" s="673"/>
      <c r="N44" s="680"/>
      <c r="O44" s="205"/>
      <c r="P44" s="192"/>
      <c r="Q44" s="150"/>
      <c r="R44" s="147"/>
      <c r="S44" s="147"/>
      <c r="T44" s="148"/>
    </row>
    <row r="45" spans="1:24" s="142" customFormat="1" ht="12.75" x14ac:dyDescent="0.2">
      <c r="O45" s="89"/>
      <c r="P45" s="192"/>
      <c r="Q45" s="150" t="s">
        <v>47</v>
      </c>
      <c r="R45" s="147"/>
      <c r="S45" s="209">
        <f>'[3]Group Home'!Q55</f>
        <v>0.11849999999999999</v>
      </c>
      <c r="T45" s="592"/>
    </row>
    <row r="46" spans="1:24" s="142" customFormat="1" ht="12.75" x14ac:dyDescent="0.2">
      <c r="G46" s="2"/>
      <c r="O46" s="89"/>
      <c r="P46" s="192"/>
      <c r="Q46" s="150"/>
      <c r="R46" s="147"/>
      <c r="S46" s="147"/>
      <c r="T46" s="148"/>
      <c r="X46" s="308"/>
    </row>
    <row r="47" spans="1:24" s="142" customFormat="1" ht="13.9" customHeight="1" thickBot="1" x14ac:dyDescent="0.25">
      <c r="G47" s="2"/>
      <c r="H47" s="829" t="s">
        <v>285</v>
      </c>
      <c r="I47" s="830"/>
      <c r="J47" s="830"/>
      <c r="K47" s="830"/>
      <c r="L47" s="831"/>
      <c r="M47" s="835" t="s">
        <v>286</v>
      </c>
      <c r="N47" s="836"/>
      <c r="O47" s="389"/>
      <c r="P47" s="149"/>
      <c r="Q47" s="215" t="s">
        <v>273</v>
      </c>
      <c r="R47" s="216"/>
      <c r="S47" s="445">
        <f>'[3]Master Data '!D126</f>
        <v>1.78E-2</v>
      </c>
      <c r="T47" s="693"/>
    </row>
    <row r="48" spans="1:24" s="142" customFormat="1" ht="14.45" customHeight="1" thickBot="1" x14ac:dyDescent="0.25">
      <c r="G48" s="2"/>
      <c r="H48" s="832"/>
      <c r="I48" s="833"/>
      <c r="J48" s="833"/>
      <c r="K48" s="833"/>
      <c r="L48" s="834"/>
      <c r="M48" s="837"/>
      <c r="N48" s="838"/>
      <c r="O48" s="205"/>
      <c r="P48" s="149"/>
      <c r="Q48" s="147"/>
      <c r="R48" s="147"/>
      <c r="S48" s="209"/>
      <c r="T48" s="694"/>
    </row>
    <row r="49" spans="7:29" s="142" customFormat="1" ht="12.75" x14ac:dyDescent="0.2">
      <c r="G49" s="149"/>
      <c r="H49" s="450" t="s">
        <v>4</v>
      </c>
      <c r="I49" s="659">
        <v>12</v>
      </c>
      <c r="J49" s="660"/>
      <c r="K49" s="660" t="s">
        <v>5</v>
      </c>
      <c r="L49" s="686">
        <f>I49*365</f>
        <v>4380</v>
      </c>
      <c r="M49" s="660" t="s">
        <v>5</v>
      </c>
      <c r="N49" s="661">
        <f>I49*365</f>
        <v>4380</v>
      </c>
      <c r="O49" s="2"/>
      <c r="AA49" s="149"/>
      <c r="AB49" s="149"/>
      <c r="AC49" s="149"/>
    </row>
    <row r="50" spans="7:29" s="142" customFormat="1" ht="12.75" x14ac:dyDescent="0.2">
      <c r="G50" s="149"/>
      <c r="H50" s="190"/>
      <c r="I50" s="149"/>
      <c r="J50" s="149"/>
      <c r="K50" s="149"/>
      <c r="L50" s="525"/>
      <c r="M50" s="149"/>
      <c r="N50" s="402"/>
      <c r="O50" s="2"/>
      <c r="AA50" s="149"/>
      <c r="AB50" s="149"/>
      <c r="AC50" s="149"/>
    </row>
    <row r="51" spans="7:29" s="142" customFormat="1" ht="12.75" x14ac:dyDescent="0.2">
      <c r="G51" s="4"/>
      <c r="H51" s="453"/>
      <c r="I51" s="394"/>
      <c r="J51" s="395" t="s">
        <v>10</v>
      </c>
      <c r="K51" s="4" t="s">
        <v>11</v>
      </c>
      <c r="L51" s="687" t="s">
        <v>12</v>
      </c>
      <c r="M51" s="4" t="s">
        <v>11</v>
      </c>
      <c r="N51" s="486" t="s">
        <v>12</v>
      </c>
      <c r="O51" s="451"/>
    </row>
    <row r="52" spans="7:29" s="142" customFormat="1" ht="12.75" x14ac:dyDescent="0.2">
      <c r="G52" s="161"/>
      <c r="H52" s="455" t="s">
        <v>14</v>
      </c>
      <c r="I52" s="149"/>
      <c r="J52" s="161">
        <f>S13</f>
        <v>57593.3511</v>
      </c>
      <c r="K52" s="665">
        <v>1.75</v>
      </c>
      <c r="L52" s="527">
        <f>J52*K52</f>
        <v>100788.36442500001</v>
      </c>
      <c r="M52" s="663">
        <v>1.75</v>
      </c>
      <c r="N52" s="488">
        <f>J52*M52</f>
        <v>100788.36442500001</v>
      </c>
      <c r="O52" s="149"/>
      <c r="AA52" s="149"/>
      <c r="AB52" s="149"/>
      <c r="AC52" s="149"/>
    </row>
    <row r="53" spans="7:29" s="142" customFormat="1" ht="12.75" x14ac:dyDescent="0.2">
      <c r="G53" s="161"/>
      <c r="H53" s="346" t="s">
        <v>16</v>
      </c>
      <c r="I53" s="149"/>
      <c r="J53" s="161"/>
      <c r="K53" s="665"/>
      <c r="L53" s="527"/>
      <c r="M53" s="664"/>
      <c r="N53" s="488"/>
      <c r="O53" s="688"/>
      <c r="AA53" s="149"/>
      <c r="AB53" s="149"/>
      <c r="AC53" s="149"/>
    </row>
    <row r="54" spans="7:29" s="142" customFormat="1" ht="12.75" x14ac:dyDescent="0.2">
      <c r="G54" s="161"/>
      <c r="H54" s="348" t="s">
        <v>18</v>
      </c>
      <c r="I54" s="149"/>
      <c r="J54" s="161">
        <f>S15</f>
        <v>86860.800000000003</v>
      </c>
      <c r="K54" s="675">
        <f>S28*(12/9)</f>
        <v>1.3333333333333333</v>
      </c>
      <c r="L54" s="527">
        <f>J54*K54</f>
        <v>115814.39999999999</v>
      </c>
      <c r="M54" s="664">
        <f>K54</f>
        <v>1.3333333333333333</v>
      </c>
      <c r="N54" s="488">
        <f>J54*M54</f>
        <v>115814.39999999999</v>
      </c>
      <c r="O54" s="161"/>
      <c r="AA54" s="149"/>
      <c r="AB54" s="149"/>
      <c r="AC54" s="149"/>
    </row>
    <row r="55" spans="7:29" s="142" customFormat="1" ht="12.75" x14ac:dyDescent="0.2">
      <c r="G55" s="161"/>
      <c r="H55" s="348" t="s">
        <v>282</v>
      </c>
      <c r="I55" s="149"/>
      <c r="J55" s="161">
        <f>S16</f>
        <v>57449.599999999999</v>
      </c>
      <c r="K55" s="665">
        <f>S28*(12/9)</f>
        <v>1.3333333333333333</v>
      </c>
      <c r="L55" s="527">
        <f>J55*K55</f>
        <v>76599.46666666666</v>
      </c>
      <c r="M55" s="665">
        <v>4.2</v>
      </c>
      <c r="N55" s="488">
        <f>J55*M55</f>
        <v>241288.32000000001</v>
      </c>
      <c r="O55" s="161"/>
      <c r="AA55" s="149"/>
      <c r="AB55" s="149"/>
      <c r="AC55" s="149"/>
    </row>
    <row r="56" spans="7:29" s="142" customFormat="1" ht="12.75" x14ac:dyDescent="0.2">
      <c r="G56" s="161"/>
      <c r="H56" s="346" t="s">
        <v>20</v>
      </c>
      <c r="I56" s="149"/>
      <c r="J56" s="161"/>
      <c r="K56" s="675"/>
      <c r="L56" s="527"/>
      <c r="M56" s="664"/>
      <c r="N56" s="488"/>
      <c r="O56" s="161"/>
      <c r="AA56" s="149"/>
      <c r="AB56" s="149"/>
      <c r="AC56" s="149"/>
    </row>
    <row r="57" spans="7:29" s="142" customFormat="1" ht="12.75" x14ac:dyDescent="0.2">
      <c r="G57" s="161"/>
      <c r="H57" s="348" t="s">
        <v>24</v>
      </c>
      <c r="I57" s="149"/>
      <c r="J57" s="161">
        <f>S18</f>
        <v>60923.199999999997</v>
      </c>
      <c r="K57" s="675">
        <f>S31</f>
        <v>0.75</v>
      </c>
      <c r="L57" s="527">
        <f>J57*K57</f>
        <v>45692.399999999994</v>
      </c>
      <c r="M57" s="664">
        <f>K57</f>
        <v>0.75</v>
      </c>
      <c r="N57" s="488">
        <f>J57*M57</f>
        <v>45692.399999999994</v>
      </c>
      <c r="O57" s="161"/>
      <c r="AA57" s="149"/>
      <c r="AB57" s="149"/>
      <c r="AC57" s="149"/>
    </row>
    <row r="58" spans="7:29" s="142" customFormat="1" ht="12.75" x14ac:dyDescent="0.2">
      <c r="G58" s="161"/>
      <c r="H58" s="348" t="s">
        <v>25</v>
      </c>
      <c r="I58" s="149"/>
      <c r="J58" s="161">
        <f>S19</f>
        <v>32198.400000000001</v>
      </c>
      <c r="K58" s="665">
        <f>H140</f>
        <v>22.4</v>
      </c>
      <c r="L58" s="527">
        <f>J58*K58</f>
        <v>721244.16000000003</v>
      </c>
      <c r="M58" s="664">
        <f>K58</f>
        <v>22.4</v>
      </c>
      <c r="N58" s="488">
        <f>J58*M58</f>
        <v>721244.16000000003</v>
      </c>
      <c r="O58" s="161"/>
      <c r="AA58" s="149"/>
      <c r="AB58" s="149"/>
      <c r="AC58" s="149"/>
    </row>
    <row r="59" spans="7:29" s="142" customFormat="1" ht="12.75" x14ac:dyDescent="0.2">
      <c r="G59" s="161"/>
      <c r="H59" s="362" t="s">
        <v>27</v>
      </c>
      <c r="I59" s="149"/>
      <c r="J59" s="161">
        <f>S20</f>
        <v>32198.400000000001</v>
      </c>
      <c r="K59" s="676">
        <f>K58*S10</f>
        <v>3.4461538461538463</v>
      </c>
      <c r="L59" s="527">
        <f>J59*K59</f>
        <v>110960.64000000001</v>
      </c>
      <c r="M59" s="664">
        <f>K59</f>
        <v>3.4461538461538463</v>
      </c>
      <c r="N59" s="488">
        <f>J59*M59</f>
        <v>110960.64000000001</v>
      </c>
      <c r="O59" s="161"/>
      <c r="AA59" s="149"/>
      <c r="AB59" s="149"/>
      <c r="AC59" s="149"/>
    </row>
    <row r="60" spans="7:29" s="142" customFormat="1" ht="12.75" x14ac:dyDescent="0.2">
      <c r="G60" s="161"/>
      <c r="H60" s="346" t="s">
        <v>28</v>
      </c>
      <c r="I60" s="149"/>
      <c r="J60" s="161"/>
      <c r="K60" s="166"/>
      <c r="L60" s="527"/>
      <c r="M60" s="664"/>
      <c r="N60" s="488"/>
      <c r="O60" s="161"/>
      <c r="AA60" s="149"/>
      <c r="AB60" s="149"/>
      <c r="AC60" s="149"/>
    </row>
    <row r="61" spans="7:29" s="142" customFormat="1" ht="12.75" x14ac:dyDescent="0.2">
      <c r="G61" s="161"/>
      <c r="H61" s="348" t="s">
        <v>29</v>
      </c>
      <c r="I61" s="149"/>
      <c r="J61" s="161">
        <f>S22</f>
        <v>32198.400000000001</v>
      </c>
      <c r="K61" s="166">
        <f>S35</f>
        <v>0.5</v>
      </c>
      <c r="L61" s="527">
        <f>J61*K61</f>
        <v>16099.2</v>
      </c>
      <c r="M61" s="666">
        <f>K61</f>
        <v>0.5</v>
      </c>
      <c r="N61" s="488">
        <f>J61*M61</f>
        <v>16099.2</v>
      </c>
      <c r="O61" s="161"/>
      <c r="AA61" s="149"/>
      <c r="AB61" s="149"/>
      <c r="AC61" s="149"/>
    </row>
    <row r="62" spans="7:29" s="142" customFormat="1" ht="12.75" x14ac:dyDescent="0.2">
      <c r="G62" s="224"/>
      <c r="H62" s="457" t="s">
        <v>30</v>
      </c>
      <c r="I62" s="404"/>
      <c r="J62" s="404"/>
      <c r="K62" s="405">
        <f>SUM(K52:K61)</f>
        <v>31.512820512820511</v>
      </c>
      <c r="L62" s="667">
        <f>SUM(L52:L61)</f>
        <v>1187198.6310916666</v>
      </c>
      <c r="M62" s="668">
        <f>SUM(M52:M61)</f>
        <v>34.379487179487178</v>
      </c>
      <c r="N62" s="489">
        <f>SUM(N52:N61)</f>
        <v>1351887.4844250001</v>
      </c>
      <c r="O62" s="161"/>
      <c r="AA62" s="149"/>
      <c r="AB62" s="149"/>
      <c r="AC62" s="149"/>
    </row>
    <row r="63" spans="7:29" s="142" customFormat="1" ht="12.75" x14ac:dyDescent="0.2">
      <c r="G63" s="149"/>
      <c r="H63" s="190"/>
      <c r="I63" s="149"/>
      <c r="J63" s="149"/>
      <c r="K63" s="149"/>
      <c r="L63" s="525"/>
      <c r="M63" s="149"/>
      <c r="N63" s="402"/>
      <c r="O63" s="161"/>
      <c r="AA63" s="149"/>
      <c r="AB63" s="149"/>
      <c r="AC63" s="149"/>
    </row>
    <row r="64" spans="7:29" s="142" customFormat="1" ht="12.75" x14ac:dyDescent="0.2">
      <c r="G64" s="149"/>
      <c r="H64" s="458" t="s">
        <v>32</v>
      </c>
      <c r="I64" s="149"/>
      <c r="J64" s="149"/>
      <c r="K64" s="418" t="s">
        <v>33</v>
      </c>
      <c r="L64" s="525"/>
      <c r="M64" s="418" t="s">
        <v>33</v>
      </c>
      <c r="N64" s="402"/>
      <c r="O64" s="224"/>
      <c r="AA64" s="149"/>
      <c r="AB64" s="149"/>
      <c r="AC64" s="149"/>
    </row>
    <row r="65" spans="7:15" s="142" customFormat="1" ht="12.75" x14ac:dyDescent="0.2">
      <c r="G65" s="226"/>
      <c r="H65" s="190" t="s">
        <v>35</v>
      </c>
      <c r="I65" s="149"/>
      <c r="J65" s="191">
        <f>$S$38</f>
        <v>0.22309999999999999</v>
      </c>
      <c r="K65" s="149"/>
      <c r="L65" s="527">
        <f>J65*L62</f>
        <v>264864.01459655084</v>
      </c>
      <c r="M65" s="149"/>
      <c r="N65" s="488">
        <f>N62*J65</f>
        <v>301606.09777521749</v>
      </c>
      <c r="O65" s="149"/>
    </row>
    <row r="66" spans="7:15" s="142" customFormat="1" ht="12.75" x14ac:dyDescent="0.2">
      <c r="G66" s="224"/>
      <c r="H66" s="457" t="s">
        <v>36</v>
      </c>
      <c r="I66" s="404"/>
      <c r="J66" s="404"/>
      <c r="K66" s="413">
        <f>L66/L49</f>
        <v>331.52115198361133</v>
      </c>
      <c r="L66" s="667">
        <f>L65+L62</f>
        <v>1452062.6456882176</v>
      </c>
      <c r="M66" s="413">
        <f>N66/N49</f>
        <v>377.50995027402229</v>
      </c>
      <c r="N66" s="489">
        <f>N65+N62</f>
        <v>1653493.5822002175</v>
      </c>
      <c r="O66" s="149"/>
    </row>
    <row r="67" spans="7:15" s="142" customFormat="1" ht="12.75" x14ac:dyDescent="0.2">
      <c r="G67" s="149"/>
      <c r="H67" s="190"/>
      <c r="I67" s="149"/>
      <c r="J67" s="149"/>
      <c r="K67" s="149"/>
      <c r="L67" s="525"/>
      <c r="M67" s="149"/>
      <c r="N67" s="402"/>
      <c r="O67" s="161"/>
    </row>
    <row r="68" spans="7:15" s="142" customFormat="1" ht="12.75" x14ac:dyDescent="0.2">
      <c r="G68" s="149"/>
      <c r="H68" s="190" t="str">
        <f>'[3]Master Data '!B128</f>
        <v>PFMLA Trust Contribution</v>
      </c>
      <c r="I68" s="503">
        <f>S39</f>
        <v>3.7000000000000002E-3</v>
      </c>
      <c r="J68" s="149"/>
      <c r="K68" s="149"/>
      <c r="L68" s="531">
        <f>L62*I68</f>
        <v>4392.6349350391665</v>
      </c>
      <c r="M68" s="149"/>
      <c r="N68" s="490">
        <f>N62*I68</f>
        <v>5001.9836923725006</v>
      </c>
      <c r="O68" s="224"/>
    </row>
    <row r="69" spans="7:15" s="142" customFormat="1" ht="12.75" x14ac:dyDescent="0.2">
      <c r="G69" s="226"/>
      <c r="H69" s="190" t="s">
        <v>38</v>
      </c>
      <c r="I69" s="149"/>
      <c r="J69" s="149"/>
      <c r="K69" s="202">
        <f>$S$40</f>
        <v>31.13</v>
      </c>
      <c r="L69" s="532">
        <f>K69*(365*(4+4))</f>
        <v>90899.599999999991</v>
      </c>
      <c r="M69" s="202">
        <f>$S$40</f>
        <v>31.13</v>
      </c>
      <c r="N69" s="491">
        <f>M69*(365*(4+4))</f>
        <v>90899.599999999991</v>
      </c>
      <c r="O69" s="149"/>
    </row>
    <row r="70" spans="7:15" s="142" customFormat="1" ht="12.75" x14ac:dyDescent="0.2">
      <c r="G70" s="226"/>
      <c r="H70" s="190" t="s">
        <v>39</v>
      </c>
      <c r="I70" s="149"/>
      <c r="J70" s="149"/>
      <c r="K70" s="202">
        <f>$S$41</f>
        <v>18.149999999999999</v>
      </c>
      <c r="L70" s="532">
        <f>K70*L49</f>
        <v>79497</v>
      </c>
      <c r="M70" s="202">
        <f>$S$41</f>
        <v>18.149999999999999</v>
      </c>
      <c r="N70" s="491">
        <f>M70*N49</f>
        <v>79497</v>
      </c>
      <c r="O70" s="149"/>
    </row>
    <row r="71" spans="7:15" s="142" customFormat="1" ht="12.75" x14ac:dyDescent="0.2">
      <c r="G71" s="226"/>
      <c r="H71" s="190" t="s">
        <v>174</v>
      </c>
      <c r="I71" s="149"/>
      <c r="J71" s="149"/>
      <c r="K71" s="202">
        <f>$S$42</f>
        <v>-1.9951315068493152</v>
      </c>
      <c r="L71" s="532">
        <f>K71*L49</f>
        <v>-8738.6760000000013</v>
      </c>
      <c r="M71" s="202">
        <f>$S$42</f>
        <v>-1.9951315068493152</v>
      </c>
      <c r="N71" s="491">
        <f>M71*N49</f>
        <v>-8738.6760000000013</v>
      </c>
      <c r="O71" s="226"/>
    </row>
    <row r="72" spans="7:15" s="142" customFormat="1" ht="12.75" x14ac:dyDescent="0.2">
      <c r="G72" s="149"/>
      <c r="H72" s="190"/>
      <c r="I72" s="149"/>
      <c r="J72" s="149"/>
      <c r="K72" s="420">
        <f>SUM(K69:K71)</f>
        <v>47.284868493150682</v>
      </c>
      <c r="L72" s="525"/>
      <c r="M72" s="420">
        <f>SUM(M69:M71)</f>
        <v>47.284868493150682</v>
      </c>
      <c r="N72" s="402"/>
      <c r="O72" s="226"/>
    </row>
    <row r="73" spans="7:15" s="142" customFormat="1" ht="12.75" x14ac:dyDescent="0.2">
      <c r="G73" s="149"/>
      <c r="H73" s="190"/>
      <c r="I73" s="149"/>
      <c r="J73" s="149"/>
      <c r="K73" s="149"/>
      <c r="L73" s="525"/>
      <c r="M73" s="149"/>
      <c r="N73" s="402"/>
      <c r="O73" s="226"/>
    </row>
    <row r="74" spans="7:15" s="142" customFormat="1" ht="12.75" x14ac:dyDescent="0.2">
      <c r="G74" s="224"/>
      <c r="H74" s="457" t="s">
        <v>40</v>
      </c>
      <c r="I74" s="404"/>
      <c r="J74" s="404"/>
      <c r="K74" s="404"/>
      <c r="L74" s="667">
        <f>SUM(L66:L71)</f>
        <v>1618113.2046232568</v>
      </c>
      <c r="M74" s="404"/>
      <c r="N74" s="489">
        <f>SUM(N66:N71)</f>
        <v>1820153.4898925901</v>
      </c>
      <c r="O74" s="149"/>
    </row>
    <row r="75" spans="7:15" s="142" customFormat="1" ht="12.75" x14ac:dyDescent="0.2">
      <c r="G75" s="149"/>
      <c r="H75" s="190"/>
      <c r="I75" s="149"/>
      <c r="J75" s="149"/>
      <c r="K75" s="149"/>
      <c r="L75" s="525"/>
      <c r="M75" s="149"/>
      <c r="N75" s="402"/>
      <c r="O75" s="149"/>
    </row>
    <row r="76" spans="7:15" s="142" customFormat="1" ht="12.75" x14ac:dyDescent="0.2">
      <c r="G76" s="226"/>
      <c r="H76" s="190" t="s">
        <v>47</v>
      </c>
      <c r="I76" s="149"/>
      <c r="J76" s="191">
        <f>$S$45</f>
        <v>0.11849999999999999</v>
      </c>
      <c r="K76" s="149"/>
      <c r="L76" s="527">
        <f>J76*L74</f>
        <v>191746.41474785592</v>
      </c>
      <c r="M76" s="149"/>
      <c r="N76" s="488">
        <f>N74*J76</f>
        <v>215688.18855227192</v>
      </c>
      <c r="O76" s="224"/>
    </row>
    <row r="77" spans="7:15" s="142" customFormat="1" ht="12.75" x14ac:dyDescent="0.2">
      <c r="G77" s="149"/>
      <c r="H77" s="190"/>
      <c r="I77" s="149"/>
      <c r="J77" s="149"/>
      <c r="K77" s="149"/>
      <c r="L77" s="525"/>
      <c r="M77" s="149"/>
      <c r="N77" s="402"/>
      <c r="O77" s="149"/>
    </row>
    <row r="78" spans="7:15" s="142" customFormat="1" ht="13.5" thickBot="1" x14ac:dyDescent="0.25">
      <c r="G78" s="224"/>
      <c r="H78" s="460" t="s">
        <v>49</v>
      </c>
      <c r="I78" s="423"/>
      <c r="J78" s="423"/>
      <c r="K78" s="423"/>
      <c r="L78" s="533">
        <f>SUM(L74:L76)</f>
        <v>1809859.6193711127</v>
      </c>
      <c r="M78" s="423"/>
      <c r="N78" s="492">
        <f>SUM(N74:N76)</f>
        <v>2035841.6784448619</v>
      </c>
      <c r="O78" s="161"/>
    </row>
    <row r="79" spans="7:15" s="142" customFormat="1" ht="14.25" thickTop="1" thickBot="1" x14ac:dyDescent="0.25">
      <c r="G79" s="149"/>
      <c r="H79" s="190" t="str">
        <f>Q47</f>
        <v>CAF (FY19)</v>
      </c>
      <c r="I79" s="191">
        <f>S47</f>
        <v>1.78E-2</v>
      </c>
      <c r="J79" s="149"/>
      <c r="K79" s="149"/>
      <c r="L79" s="669">
        <f>(L78*I79)-(L62*I79)</f>
        <v>11083.365591374139</v>
      </c>
      <c r="M79" s="149"/>
      <c r="N79" s="490">
        <f>(N78*I79)-(N62*I79)</f>
        <v>12174.384653553538</v>
      </c>
      <c r="O79" s="149"/>
    </row>
    <row r="80" spans="7:15" s="142" customFormat="1" ht="13.5" thickTop="1" x14ac:dyDescent="0.2">
      <c r="G80" s="226"/>
      <c r="H80" s="190"/>
      <c r="I80" s="149"/>
      <c r="J80" s="191"/>
      <c r="K80" s="149"/>
      <c r="L80" s="511">
        <f>L79+L78</f>
        <v>1820942.9849624869</v>
      </c>
      <c r="M80" s="149"/>
      <c r="N80" s="277">
        <f>N79+N78</f>
        <v>2048016.0630984155</v>
      </c>
      <c r="O80" s="224"/>
    </row>
    <row r="81" spans="1:15" s="142" customFormat="1" ht="12.75" x14ac:dyDescent="0.2">
      <c r="G81" s="149"/>
      <c r="H81" s="190"/>
      <c r="I81" s="149"/>
      <c r="J81" s="149"/>
      <c r="K81" s="149"/>
      <c r="L81" s="525"/>
      <c r="M81" s="149"/>
      <c r="N81" s="402"/>
      <c r="O81" s="149"/>
    </row>
    <row r="82" spans="1:15" s="142" customFormat="1" ht="12.75" x14ac:dyDescent="0.2">
      <c r="G82" s="228"/>
      <c r="H82" s="190"/>
      <c r="I82" s="149"/>
      <c r="J82" s="149"/>
      <c r="K82" s="149"/>
      <c r="L82" s="671" t="s">
        <v>119</v>
      </c>
      <c r="M82" s="149"/>
      <c r="N82" s="493" t="s">
        <v>119</v>
      </c>
      <c r="O82" s="462"/>
    </row>
    <row r="83" spans="1:15" s="142" customFormat="1" ht="12.75" x14ac:dyDescent="0.2">
      <c r="G83" s="202"/>
      <c r="H83" s="190" t="s">
        <v>133</v>
      </c>
      <c r="I83" s="149"/>
      <c r="J83" s="149"/>
      <c r="K83" s="192"/>
      <c r="L83" s="690">
        <f>L80/L49</f>
        <v>415.74040752568192</v>
      </c>
      <c r="M83" s="192"/>
      <c r="N83" s="193">
        <f>N80/N49+3.33</f>
        <v>470.91357604986655</v>
      </c>
      <c r="O83" s="149"/>
    </row>
    <row r="84" spans="1:15" s="142" customFormat="1" ht="12.75" x14ac:dyDescent="0.2">
      <c r="G84" s="192"/>
      <c r="H84" s="190"/>
      <c r="I84" s="149"/>
      <c r="J84" s="191"/>
      <c r="K84" s="192"/>
      <c r="L84" s="695">
        <f>L83</f>
        <v>415.74040752568192</v>
      </c>
      <c r="M84" s="192"/>
      <c r="N84" s="193">
        <f>N80/N49+3.33</f>
        <v>470.91357604986655</v>
      </c>
      <c r="O84" s="228"/>
    </row>
    <row r="85" spans="1:15" s="142" customFormat="1" ht="13.5" thickBot="1" x14ac:dyDescent="0.25">
      <c r="G85" s="192"/>
      <c r="H85" s="677" t="s">
        <v>50</v>
      </c>
      <c r="I85" s="372">
        <v>0.9</v>
      </c>
      <c r="J85" s="373"/>
      <c r="K85" s="553"/>
      <c r="L85" s="512">
        <f>L84/I85</f>
        <v>461.93378613964654</v>
      </c>
      <c r="M85" s="678"/>
      <c r="N85" s="679">
        <f>N84/I85</f>
        <v>523.23730672207398</v>
      </c>
      <c r="O85" s="474"/>
    </row>
    <row r="86" spans="1:15" s="142" customFormat="1" ht="13.5" thickBot="1" x14ac:dyDescent="0.25">
      <c r="G86" s="192"/>
      <c r="H86" s="199"/>
      <c r="I86" s="200"/>
      <c r="J86" s="201"/>
      <c r="K86" s="79"/>
      <c r="L86" s="617">
        <f>L85*(J86+1)</f>
        <v>461.93378613964654</v>
      </c>
      <c r="M86" s="79"/>
      <c r="N86" s="617">
        <f>N85*(J86+1)</f>
        <v>523.23730672207398</v>
      </c>
      <c r="O86" s="474"/>
    </row>
    <row r="87" spans="1:15" s="142" customFormat="1" ht="13.5" thickBot="1" x14ac:dyDescent="0.25">
      <c r="G87" s="192"/>
      <c r="H87" s="443"/>
      <c r="I87" s="692"/>
      <c r="J87" s="444"/>
      <c r="K87" s="673"/>
      <c r="L87" s="674"/>
      <c r="M87" s="673"/>
      <c r="N87" s="680"/>
      <c r="O87" s="205"/>
    </row>
    <row r="88" spans="1:15" s="142" customFormat="1" ht="12.75" x14ac:dyDescent="0.2">
      <c r="A88" s="519"/>
      <c r="G88" s="149"/>
      <c r="H88" s="206"/>
      <c r="O88" s="205"/>
    </row>
    <row r="89" spans="1:15" s="142" customFormat="1" ht="12.75" x14ac:dyDescent="0.2">
      <c r="G89" s="149"/>
      <c r="H89" s="206"/>
      <c r="O89" s="205"/>
    </row>
    <row r="90" spans="1:15" s="142" customFormat="1" ht="13.15" customHeight="1" x14ac:dyDescent="0.2">
      <c r="G90" s="2"/>
      <c r="H90" s="829" t="s">
        <v>285</v>
      </c>
      <c r="I90" s="830"/>
      <c r="J90" s="830"/>
      <c r="K90" s="830"/>
      <c r="L90" s="831"/>
      <c r="M90" s="835" t="s">
        <v>286</v>
      </c>
      <c r="N90" s="836"/>
      <c r="O90" s="389"/>
    </row>
    <row r="91" spans="1:15" s="142" customFormat="1" ht="13.5" thickBot="1" x14ac:dyDescent="0.25">
      <c r="G91" s="2"/>
      <c r="H91" s="832"/>
      <c r="I91" s="833"/>
      <c r="J91" s="833"/>
      <c r="K91" s="833"/>
      <c r="L91" s="834"/>
      <c r="M91" s="837"/>
      <c r="N91" s="838"/>
      <c r="O91" s="205"/>
    </row>
    <row r="92" spans="1:15" s="142" customFormat="1" ht="12.75" x14ac:dyDescent="0.2">
      <c r="G92" s="149"/>
      <c r="H92" s="450" t="s">
        <v>4</v>
      </c>
      <c r="I92" s="659">
        <v>6</v>
      </c>
      <c r="J92" s="660"/>
      <c r="K92" s="660" t="s">
        <v>5</v>
      </c>
      <c r="L92" s="686">
        <f>I92*365</f>
        <v>2190</v>
      </c>
      <c r="M92" s="660" t="s">
        <v>5</v>
      </c>
      <c r="N92" s="661">
        <f>I92*365</f>
        <v>2190</v>
      </c>
      <c r="O92" s="2"/>
    </row>
    <row r="93" spans="1:15" s="142" customFormat="1" ht="12.75" x14ac:dyDescent="0.2">
      <c r="G93" s="149"/>
      <c r="H93" s="190"/>
      <c r="I93" s="149"/>
      <c r="J93" s="149"/>
      <c r="K93" s="149"/>
      <c r="L93" s="525"/>
      <c r="M93" s="149"/>
      <c r="N93" s="402"/>
      <c r="O93" s="2"/>
    </row>
    <row r="94" spans="1:15" s="142" customFormat="1" ht="12.75" x14ac:dyDescent="0.2">
      <c r="G94" s="4"/>
      <c r="H94" s="453"/>
      <c r="I94" s="394"/>
      <c r="J94" s="395" t="s">
        <v>10</v>
      </c>
      <c r="K94" s="4" t="s">
        <v>11</v>
      </c>
      <c r="L94" s="687" t="s">
        <v>12</v>
      </c>
      <c r="M94" s="4" t="s">
        <v>11</v>
      </c>
      <c r="N94" s="486" t="s">
        <v>12</v>
      </c>
      <c r="O94" s="451"/>
    </row>
    <row r="95" spans="1:15" s="142" customFormat="1" ht="12.75" x14ac:dyDescent="0.2">
      <c r="G95" s="161"/>
      <c r="H95" s="455" t="s">
        <v>14</v>
      </c>
      <c r="I95" s="149"/>
      <c r="J95" s="161">
        <f>S13</f>
        <v>57593.3511</v>
      </c>
      <c r="K95" s="662">
        <v>1</v>
      </c>
      <c r="L95" s="527">
        <f>J95*K95</f>
        <v>57593.3511</v>
      </c>
      <c r="M95" s="663">
        <f>K95</f>
        <v>1</v>
      </c>
      <c r="N95" s="488">
        <f>J95*M95</f>
        <v>57593.3511</v>
      </c>
      <c r="O95" s="149"/>
    </row>
    <row r="96" spans="1:15" s="142" customFormat="1" ht="12.75" x14ac:dyDescent="0.2">
      <c r="G96" s="161"/>
      <c r="H96" s="346" t="s">
        <v>16</v>
      </c>
      <c r="I96" s="149"/>
      <c r="J96" s="161"/>
      <c r="K96" s="166"/>
      <c r="L96" s="527"/>
      <c r="M96" s="664"/>
      <c r="N96" s="488"/>
      <c r="O96" s="688"/>
    </row>
    <row r="97" spans="3:15" s="142" customFormat="1" ht="12.75" x14ac:dyDescent="0.2">
      <c r="G97" s="161"/>
      <c r="H97" s="348" t="s">
        <v>18</v>
      </c>
      <c r="I97" s="149"/>
      <c r="J97" s="527">
        <f t="shared" ref="J97:J104" si="1">S15</f>
        <v>86860.800000000003</v>
      </c>
      <c r="K97" s="681">
        <v>0.67</v>
      </c>
      <c r="L97" s="516">
        <f>J97*K97</f>
        <v>58196.736000000004</v>
      </c>
      <c r="M97" s="664">
        <f>K97</f>
        <v>0.67</v>
      </c>
      <c r="N97" s="488">
        <f>J97*M97</f>
        <v>58196.736000000004</v>
      </c>
      <c r="O97" s="161"/>
    </row>
    <row r="98" spans="3:15" s="142" customFormat="1" ht="12.75" x14ac:dyDescent="0.2">
      <c r="G98" s="161"/>
      <c r="H98" s="348" t="s">
        <v>282</v>
      </c>
      <c r="I98" s="149"/>
      <c r="J98" s="527">
        <f t="shared" si="1"/>
        <v>57449.599999999999</v>
      </c>
      <c r="K98" s="662">
        <v>0.67</v>
      </c>
      <c r="L98" s="516">
        <f>J98*K98</f>
        <v>38491.232000000004</v>
      </c>
      <c r="M98" s="664">
        <v>4.2</v>
      </c>
      <c r="N98" s="488">
        <f>J98*M98</f>
        <v>241288.32000000001</v>
      </c>
      <c r="O98" s="161"/>
    </row>
    <row r="99" spans="3:15" s="142" customFormat="1" ht="12.75" x14ac:dyDescent="0.2">
      <c r="G99" s="161"/>
      <c r="H99" s="346" t="s">
        <v>20</v>
      </c>
      <c r="I99" s="149"/>
      <c r="J99" s="161"/>
      <c r="K99" s="662"/>
      <c r="L99" s="527"/>
      <c r="M99" s="664"/>
      <c r="N99" s="488"/>
      <c r="O99" s="161"/>
    </row>
    <row r="100" spans="3:15" s="142" customFormat="1" ht="12.75" x14ac:dyDescent="0.2">
      <c r="G100" s="161"/>
      <c r="H100" s="348" t="s">
        <v>24</v>
      </c>
      <c r="I100" s="149"/>
      <c r="J100" s="161">
        <f t="shared" si="1"/>
        <v>60923.199999999997</v>
      </c>
      <c r="K100" s="682">
        <v>0.75</v>
      </c>
      <c r="L100" s="527">
        <f>J100*K100</f>
        <v>45692.399999999994</v>
      </c>
      <c r="M100" s="664">
        <f>K100</f>
        <v>0.75</v>
      </c>
      <c r="N100" s="488">
        <f>J100*M100</f>
        <v>45692.399999999994</v>
      </c>
      <c r="O100" s="161"/>
    </row>
    <row r="101" spans="3:15" s="142" customFormat="1" ht="12.75" x14ac:dyDescent="0.2">
      <c r="G101" s="161"/>
      <c r="H101" s="348" t="s">
        <v>25</v>
      </c>
      <c r="I101" s="149"/>
      <c r="J101" s="161">
        <f t="shared" si="1"/>
        <v>32198.400000000001</v>
      </c>
      <c r="K101" s="683">
        <v>11.2</v>
      </c>
      <c r="L101" s="516">
        <f>J101*K101</f>
        <v>360622.08000000002</v>
      </c>
      <c r="M101" s="664">
        <v>11.2</v>
      </c>
      <c r="N101" s="488">
        <f>J101*M101</f>
        <v>360622.08000000002</v>
      </c>
      <c r="O101" s="161"/>
    </row>
    <row r="102" spans="3:15" s="142" customFormat="1" ht="12.75" x14ac:dyDescent="0.2">
      <c r="G102" s="161"/>
      <c r="H102" s="362" t="s">
        <v>27</v>
      </c>
      <c r="I102" s="149"/>
      <c r="J102" s="161">
        <f t="shared" si="1"/>
        <v>32198.400000000001</v>
      </c>
      <c r="K102" s="683">
        <v>1.77</v>
      </c>
      <c r="L102" s="516">
        <f>J102*K102</f>
        <v>56991.168000000005</v>
      </c>
      <c r="M102" s="664">
        <f>K102</f>
        <v>1.77</v>
      </c>
      <c r="N102" s="488">
        <f>J102*M102</f>
        <v>56991.168000000005</v>
      </c>
      <c r="O102" s="161"/>
    </row>
    <row r="103" spans="3:15" s="142" customFormat="1" ht="12.75" x14ac:dyDescent="0.2">
      <c r="G103" s="161"/>
      <c r="H103" s="346" t="s">
        <v>28</v>
      </c>
      <c r="I103" s="149"/>
      <c r="J103" s="161"/>
      <c r="K103" s="662"/>
      <c r="L103" s="527"/>
      <c r="M103" s="664"/>
      <c r="N103" s="488"/>
      <c r="O103" s="161"/>
    </row>
    <row r="104" spans="3:15" s="142" customFormat="1" ht="12.75" x14ac:dyDescent="0.2">
      <c r="G104" s="161"/>
      <c r="H104" s="348" t="s">
        <v>29</v>
      </c>
      <c r="I104" s="149"/>
      <c r="J104" s="161">
        <f t="shared" si="1"/>
        <v>32198.400000000001</v>
      </c>
      <c r="K104" s="682">
        <v>0.5</v>
      </c>
      <c r="L104" s="527">
        <f>J104*K104</f>
        <v>16099.2</v>
      </c>
      <c r="M104" s="666">
        <f>K104</f>
        <v>0.5</v>
      </c>
      <c r="N104" s="488">
        <f>J104*M104</f>
        <v>16099.2</v>
      </c>
      <c r="O104" s="161"/>
    </row>
    <row r="105" spans="3:15" s="142" customFormat="1" ht="12.75" x14ac:dyDescent="0.2">
      <c r="C105" s="147"/>
      <c r="G105" s="224"/>
      <c r="H105" s="457" t="s">
        <v>30</v>
      </c>
      <c r="I105" s="404"/>
      <c r="J105" s="404"/>
      <c r="K105" s="668">
        <f>SUM(K95:K104)</f>
        <v>16.559999999999999</v>
      </c>
      <c r="L105" s="667">
        <f>SUM(L95:L104)</f>
        <v>633686.16709999996</v>
      </c>
      <c r="M105" s="668">
        <f>SUM(M95:M104)</f>
        <v>20.09</v>
      </c>
      <c r="N105" s="489">
        <f>SUM(N95:N104)</f>
        <v>836483.25509999995</v>
      </c>
      <c r="O105" s="161"/>
    </row>
    <row r="106" spans="3:15" s="142" customFormat="1" ht="12.75" x14ac:dyDescent="0.2">
      <c r="G106" s="149"/>
      <c r="H106" s="190"/>
      <c r="I106" s="149"/>
      <c r="J106" s="149"/>
      <c r="K106" s="149"/>
      <c r="L106" s="525"/>
      <c r="M106" s="149"/>
      <c r="N106" s="402"/>
      <c r="O106" s="161"/>
    </row>
    <row r="107" spans="3:15" s="142" customFormat="1" ht="12.75" x14ac:dyDescent="0.2">
      <c r="G107" s="149"/>
      <c r="H107" s="458" t="s">
        <v>32</v>
      </c>
      <c r="I107" s="149"/>
      <c r="J107" s="149"/>
      <c r="K107" s="418" t="s">
        <v>33</v>
      </c>
      <c r="L107" s="525"/>
      <c r="M107" s="418" t="s">
        <v>33</v>
      </c>
      <c r="N107" s="402"/>
      <c r="O107" s="224"/>
    </row>
    <row r="108" spans="3:15" s="142" customFormat="1" ht="12.75" x14ac:dyDescent="0.2">
      <c r="G108" s="226"/>
      <c r="H108" s="190" t="s">
        <v>35</v>
      </c>
      <c r="I108" s="149"/>
      <c r="J108" s="191">
        <f>$S$38</f>
        <v>0.22309999999999999</v>
      </c>
      <c r="K108" s="149"/>
      <c r="L108" s="527">
        <f>J108*L105</f>
        <v>141375.38388000999</v>
      </c>
      <c r="M108" s="149"/>
      <c r="N108" s="488">
        <f>N105*J108</f>
        <v>186619.41421280999</v>
      </c>
      <c r="O108" s="149"/>
    </row>
    <row r="109" spans="3:15" s="142" customFormat="1" ht="12.75" x14ac:dyDescent="0.2">
      <c r="G109" s="224"/>
      <c r="H109" s="457" t="s">
        <v>36</v>
      </c>
      <c r="I109" s="404"/>
      <c r="J109" s="404"/>
      <c r="K109" s="413">
        <f>L109/L92</f>
        <v>353.90938400913694</v>
      </c>
      <c r="L109" s="667">
        <f>L108+L105</f>
        <v>775061.55098000995</v>
      </c>
      <c r="M109" s="413">
        <f>N109/N92</f>
        <v>467.17016863598627</v>
      </c>
      <c r="N109" s="489">
        <f>N108+N105</f>
        <v>1023102.6693128099</v>
      </c>
      <c r="O109" s="149"/>
    </row>
    <row r="110" spans="3:15" s="142" customFormat="1" ht="12.75" x14ac:dyDescent="0.2">
      <c r="G110" s="149"/>
      <c r="H110" s="190"/>
      <c r="I110" s="149"/>
      <c r="J110" s="149"/>
      <c r="K110" s="149"/>
      <c r="L110" s="525"/>
      <c r="M110" s="149"/>
      <c r="N110" s="402"/>
      <c r="O110" s="161"/>
    </row>
    <row r="111" spans="3:15" s="142" customFormat="1" ht="12.75" x14ac:dyDescent="0.2">
      <c r="G111" s="149"/>
      <c r="H111" s="190" t="str">
        <f>'[3]Master Data '!B128</f>
        <v>PFMLA Trust Contribution</v>
      </c>
      <c r="I111" s="503">
        <f>S39</f>
        <v>3.7000000000000002E-3</v>
      </c>
      <c r="J111" s="149"/>
      <c r="K111" s="149"/>
      <c r="L111" s="531">
        <f>L105*I111</f>
        <v>2344.6388182699998</v>
      </c>
      <c r="M111" s="149"/>
      <c r="N111" s="490">
        <f>N105*I111</f>
        <v>3094.9880438700002</v>
      </c>
      <c r="O111" s="224"/>
    </row>
    <row r="112" spans="3:15" s="142" customFormat="1" ht="12.75" x14ac:dyDescent="0.2">
      <c r="G112" s="226"/>
      <c r="H112" s="190" t="s">
        <v>38</v>
      </c>
      <c r="I112" s="149"/>
      <c r="J112" s="149"/>
      <c r="K112" s="202">
        <v>31.13</v>
      </c>
      <c r="L112" s="532">
        <f>K112*(365*(4+4))</f>
        <v>90899.599999999991</v>
      </c>
      <c r="M112" s="202">
        <f>$S$40</f>
        <v>31.13</v>
      </c>
      <c r="N112" s="491">
        <f>M112*(365*(4+4))</f>
        <v>90899.599999999991</v>
      </c>
      <c r="O112" s="149"/>
    </row>
    <row r="113" spans="5:17" s="142" customFormat="1" ht="12.75" x14ac:dyDescent="0.2">
      <c r="E113" s="147"/>
      <c r="G113" s="226"/>
      <c r="H113" s="190" t="s">
        <v>39</v>
      </c>
      <c r="I113" s="149"/>
      <c r="J113" s="149"/>
      <c r="K113" s="202">
        <f>$S$41</f>
        <v>18.149999999999999</v>
      </c>
      <c r="L113" s="532">
        <f>K113*L92</f>
        <v>39748.5</v>
      </c>
      <c r="M113" s="202">
        <f>$S$41</f>
        <v>18.149999999999999</v>
      </c>
      <c r="N113" s="491">
        <f>M113*N92</f>
        <v>39748.5</v>
      </c>
      <c r="O113" s="149"/>
    </row>
    <row r="114" spans="5:17" s="142" customFormat="1" ht="12.75" x14ac:dyDescent="0.2">
      <c r="G114" s="226"/>
      <c r="H114" s="190" t="s">
        <v>174</v>
      </c>
      <c r="I114" s="149"/>
      <c r="J114" s="149"/>
      <c r="K114" s="202">
        <f>$S$42</f>
        <v>-1.9951315068493152</v>
      </c>
      <c r="L114" s="532">
        <f>K114*L92</f>
        <v>-4369.3380000000006</v>
      </c>
      <c r="M114" s="202">
        <f>$S$42</f>
        <v>-1.9951315068493152</v>
      </c>
      <c r="N114" s="491">
        <f>M114*N92</f>
        <v>-4369.3380000000006</v>
      </c>
      <c r="O114" s="226"/>
    </row>
    <row r="115" spans="5:17" s="142" customFormat="1" ht="12.75" x14ac:dyDescent="0.2">
      <c r="G115" s="149"/>
      <c r="H115" s="190"/>
      <c r="I115" s="149"/>
      <c r="J115" s="149"/>
      <c r="K115" s="420">
        <f>SUM(K112:K114)</f>
        <v>47.284868493150682</v>
      </c>
      <c r="L115" s="525"/>
      <c r="M115" s="420">
        <f>SUM(M112:M114)</f>
        <v>47.284868493150682</v>
      </c>
      <c r="N115" s="402"/>
      <c r="O115" s="226"/>
    </row>
    <row r="116" spans="5:17" s="142" customFormat="1" ht="12.75" x14ac:dyDescent="0.2">
      <c r="G116" s="149"/>
      <c r="H116" s="190"/>
      <c r="I116" s="149"/>
      <c r="J116" s="149"/>
      <c r="K116" s="149"/>
      <c r="L116" s="525"/>
      <c r="M116" s="149"/>
      <c r="N116" s="402"/>
      <c r="O116" s="226"/>
    </row>
    <row r="117" spans="5:17" s="142" customFormat="1" ht="12.75" x14ac:dyDescent="0.2">
      <c r="G117" s="224"/>
      <c r="H117" s="457" t="s">
        <v>40</v>
      </c>
      <c r="I117" s="404"/>
      <c r="J117" s="404"/>
      <c r="K117" s="404"/>
      <c r="L117" s="667">
        <f>SUM(L109:L114)</f>
        <v>903684.95179827989</v>
      </c>
      <c r="M117" s="404"/>
      <c r="N117" s="489">
        <f>SUM(N109:N114)</f>
        <v>1152476.41935668</v>
      </c>
      <c r="O117" s="149"/>
    </row>
    <row r="118" spans="5:17" s="142" customFormat="1" ht="12.75" x14ac:dyDescent="0.2">
      <c r="G118" s="149"/>
      <c r="H118" s="190"/>
      <c r="I118" s="149"/>
      <c r="J118" s="149"/>
      <c r="K118" s="149"/>
      <c r="L118" s="525"/>
      <c r="M118" s="149"/>
      <c r="N118" s="402"/>
      <c r="O118" s="149"/>
    </row>
    <row r="119" spans="5:17" s="142" customFormat="1" ht="12.75" x14ac:dyDescent="0.2">
      <c r="G119" s="226"/>
      <c r="H119" s="190" t="s">
        <v>47</v>
      </c>
      <c r="I119" s="149"/>
      <c r="J119" s="191">
        <f>$S$45</f>
        <v>0.11849999999999999</v>
      </c>
      <c r="K119" s="149"/>
      <c r="L119" s="527">
        <f>J119*L117</f>
        <v>107086.66678809616</v>
      </c>
      <c r="M119" s="149"/>
      <c r="N119" s="488">
        <f>N117*J119</f>
        <v>136568.45569376656</v>
      </c>
      <c r="O119" s="224"/>
    </row>
    <row r="120" spans="5:17" s="142" customFormat="1" ht="12.75" x14ac:dyDescent="0.2">
      <c r="G120" s="149"/>
      <c r="H120" s="190"/>
      <c r="I120" s="149"/>
      <c r="J120" s="149"/>
      <c r="K120" s="149"/>
      <c r="L120" s="525"/>
      <c r="M120" s="149"/>
      <c r="N120" s="402"/>
      <c r="O120" s="149"/>
      <c r="Q120" s="206"/>
    </row>
    <row r="121" spans="5:17" s="142" customFormat="1" ht="13.5" thickBot="1" x14ac:dyDescent="0.25">
      <c r="G121" s="224"/>
      <c r="H121" s="460" t="s">
        <v>49</v>
      </c>
      <c r="I121" s="423"/>
      <c r="J121" s="423"/>
      <c r="K121" s="423"/>
      <c r="L121" s="533">
        <f>SUM(L117:L119)</f>
        <v>1010771.6185863761</v>
      </c>
      <c r="M121" s="423"/>
      <c r="N121" s="492">
        <f>SUM(N117:N119)</f>
        <v>1289044.8750504465</v>
      </c>
      <c r="O121" s="161"/>
    </row>
    <row r="122" spans="5:17" s="142" customFormat="1" ht="14.25" thickTop="1" thickBot="1" x14ac:dyDescent="0.25">
      <c r="G122" s="149"/>
      <c r="H122" s="190" t="str">
        <f>H79</f>
        <v>CAF (FY19)</v>
      </c>
      <c r="I122" s="191">
        <f>I79</f>
        <v>1.78E-2</v>
      </c>
      <c r="J122" s="149"/>
      <c r="K122" s="149"/>
      <c r="L122" s="669">
        <f>(L121*I122)-(L105*I122)</f>
        <v>6712.1210364574945</v>
      </c>
      <c r="M122" s="149"/>
      <c r="N122" s="670">
        <f>(N121*I122)-(N105*I122)</f>
        <v>8055.596835117949</v>
      </c>
      <c r="O122" s="149"/>
    </row>
    <row r="123" spans="5:17" s="142" customFormat="1" ht="13.5" thickTop="1" x14ac:dyDescent="0.2">
      <c r="G123" s="226"/>
      <c r="H123" s="190"/>
      <c r="I123" s="149"/>
      <c r="J123" s="191"/>
      <c r="K123" s="149"/>
      <c r="L123" s="511">
        <f>L122+L121</f>
        <v>1017483.7396228336</v>
      </c>
      <c r="M123" s="149"/>
      <c r="N123" s="277">
        <f>N122+N121</f>
        <v>1297100.4718855645</v>
      </c>
      <c r="O123" s="224"/>
    </row>
    <row r="124" spans="5:17" s="142" customFormat="1" ht="12.75" x14ac:dyDescent="0.2">
      <c r="G124" s="149"/>
      <c r="H124" s="190"/>
      <c r="I124" s="149"/>
      <c r="J124" s="149"/>
      <c r="K124" s="149"/>
      <c r="L124" s="525"/>
      <c r="M124" s="149"/>
      <c r="N124" s="402"/>
      <c r="O124" s="149"/>
    </row>
    <row r="125" spans="5:17" s="142" customFormat="1" ht="12.75" x14ac:dyDescent="0.2">
      <c r="G125" s="228"/>
      <c r="H125" s="190"/>
      <c r="I125" s="149"/>
      <c r="J125" s="149"/>
      <c r="K125" s="149"/>
      <c r="L125" s="671" t="s">
        <v>59</v>
      </c>
      <c r="M125" s="149"/>
      <c r="N125" s="493" t="s">
        <v>59</v>
      </c>
      <c r="O125" s="462"/>
    </row>
    <row r="126" spans="5:17" s="142" customFormat="1" ht="12.75" x14ac:dyDescent="0.2">
      <c r="G126" s="202"/>
      <c r="H126" s="190" t="s">
        <v>133</v>
      </c>
      <c r="I126" s="149"/>
      <c r="J126" s="149"/>
      <c r="K126" s="192"/>
      <c r="L126" s="690">
        <f>L123/L92</f>
        <v>464.60444731636238</v>
      </c>
      <c r="M126" s="192"/>
      <c r="N126" s="193">
        <f>N123/N92</f>
        <v>592.28332049569156</v>
      </c>
      <c r="O126" s="149"/>
    </row>
    <row r="127" spans="5:17" s="142" customFormat="1" ht="12.75" x14ac:dyDescent="0.2">
      <c r="G127" s="192"/>
      <c r="H127" s="190"/>
      <c r="I127" s="149"/>
      <c r="J127" s="191"/>
      <c r="K127" s="192"/>
      <c r="L127" s="690">
        <f>L126</f>
        <v>464.60444731636238</v>
      </c>
      <c r="M127" s="192"/>
      <c r="N127" s="193">
        <f>N126*(1+J127)</f>
        <v>592.28332049569156</v>
      </c>
      <c r="O127" s="228"/>
    </row>
    <row r="128" spans="5:17" s="142" customFormat="1" ht="13.5" thickBot="1" x14ac:dyDescent="0.25">
      <c r="G128" s="192"/>
      <c r="H128" s="677" t="s">
        <v>50</v>
      </c>
      <c r="I128" s="372">
        <v>0.9</v>
      </c>
      <c r="J128" s="373"/>
      <c r="K128" s="374"/>
      <c r="L128" s="684">
        <f>L127/I128+0.01</f>
        <v>516.23716368484702</v>
      </c>
      <c r="M128" s="685"/>
      <c r="N128" s="679">
        <f>N127/I128</f>
        <v>658.09257832854621</v>
      </c>
      <c r="O128" s="474"/>
    </row>
    <row r="129" spans="1:15" s="142" customFormat="1" ht="13.5" thickBot="1" x14ac:dyDescent="0.25">
      <c r="G129" s="192"/>
      <c r="H129" s="199"/>
      <c r="I129" s="200"/>
      <c r="J129" s="201"/>
      <c r="K129" s="79"/>
      <c r="L129" s="617">
        <f>L128</f>
        <v>516.23716368484702</v>
      </c>
      <c r="M129" s="79"/>
      <c r="N129" s="617">
        <f>N128</f>
        <v>658.09257832854621</v>
      </c>
      <c r="O129" s="474"/>
    </row>
    <row r="130" spans="1:15" s="142" customFormat="1" ht="13.5" thickBot="1" x14ac:dyDescent="0.25">
      <c r="G130" s="192"/>
      <c r="H130" s="443"/>
      <c r="I130" s="692"/>
      <c r="J130" s="444"/>
      <c r="K130" s="673"/>
      <c r="L130" s="674"/>
      <c r="M130" s="673"/>
      <c r="N130" s="680"/>
      <c r="O130" s="205"/>
    </row>
    <row r="131" spans="1:15" s="142" customFormat="1" ht="12.75" x14ac:dyDescent="0.2">
      <c r="O131" s="205"/>
    </row>
    <row r="132" spans="1:15" s="142" customFormat="1" ht="12.75" x14ac:dyDescent="0.2">
      <c r="O132" s="205"/>
    </row>
    <row r="133" spans="1:15" s="142" customFormat="1" ht="12.75" x14ac:dyDescent="0.2">
      <c r="O133" s="205"/>
    </row>
    <row r="134" spans="1:15" s="142" customFormat="1" ht="13.15" hidden="1" x14ac:dyDescent="0.25">
      <c r="B134" s="304" t="s">
        <v>288</v>
      </c>
      <c r="O134" s="205"/>
    </row>
    <row r="135" spans="1:15" s="142" customFormat="1" ht="13.15" hidden="1" x14ac:dyDescent="0.25">
      <c r="B135" s="696" t="s">
        <v>289</v>
      </c>
      <c r="C135" s="696" t="s">
        <v>290</v>
      </c>
      <c r="D135" s="696" t="s">
        <v>291</v>
      </c>
      <c r="E135" s="696" t="s">
        <v>152</v>
      </c>
      <c r="F135" s="696" t="s">
        <v>292</v>
      </c>
      <c r="G135" s="696" t="s">
        <v>293</v>
      </c>
      <c r="H135" s="696" t="s">
        <v>155</v>
      </c>
      <c r="O135" s="205"/>
    </row>
    <row r="136" spans="1:15" s="142" customFormat="1" ht="13.15" hidden="1" x14ac:dyDescent="0.25">
      <c r="A136" s="243" t="s">
        <v>156</v>
      </c>
      <c r="B136" s="697">
        <f>6*8</f>
        <v>48</v>
      </c>
      <c r="C136" s="697">
        <f t="shared" ref="C136:H137" si="2">6*8</f>
        <v>48</v>
      </c>
      <c r="D136" s="697">
        <f t="shared" si="2"/>
        <v>48</v>
      </c>
      <c r="E136" s="697">
        <f t="shared" si="2"/>
        <v>48</v>
      </c>
      <c r="F136" s="697">
        <f t="shared" si="2"/>
        <v>48</v>
      </c>
      <c r="G136" s="697">
        <f t="shared" si="2"/>
        <v>48</v>
      </c>
      <c r="H136" s="697">
        <f t="shared" si="2"/>
        <v>48</v>
      </c>
      <c r="O136" s="205"/>
    </row>
    <row r="137" spans="1:15" s="142" customFormat="1" ht="13.15" hidden="1" x14ac:dyDescent="0.25">
      <c r="A137" s="243" t="s">
        <v>157</v>
      </c>
      <c r="B137" s="697">
        <f t="shared" ref="B137" si="3">6*8</f>
        <v>48</v>
      </c>
      <c r="C137" s="697">
        <f t="shared" si="2"/>
        <v>48</v>
      </c>
      <c r="D137" s="697">
        <f t="shared" si="2"/>
        <v>48</v>
      </c>
      <c r="E137" s="697">
        <f t="shared" si="2"/>
        <v>48</v>
      </c>
      <c r="F137" s="697">
        <f t="shared" si="2"/>
        <v>48</v>
      </c>
      <c r="G137" s="697">
        <f t="shared" si="2"/>
        <v>48</v>
      </c>
      <c r="H137" s="697">
        <f t="shared" si="2"/>
        <v>48</v>
      </c>
      <c r="O137" s="205"/>
    </row>
    <row r="138" spans="1:15" s="142" customFormat="1" ht="13.15" hidden="1" x14ac:dyDescent="0.25">
      <c r="A138" s="243" t="s">
        <v>158</v>
      </c>
      <c r="B138" s="697">
        <v>32</v>
      </c>
      <c r="C138" s="697">
        <v>32</v>
      </c>
      <c r="D138" s="697">
        <v>32</v>
      </c>
      <c r="E138" s="697">
        <v>32</v>
      </c>
      <c r="F138" s="697">
        <v>32</v>
      </c>
      <c r="G138" s="697">
        <v>32</v>
      </c>
      <c r="H138" s="697">
        <v>32</v>
      </c>
      <c r="O138" s="205"/>
    </row>
    <row r="139" spans="1:15" s="142" customFormat="1" ht="13.15" hidden="1" x14ac:dyDescent="0.25">
      <c r="H139" s="142">
        <f>SUM(B136:H138)</f>
        <v>896</v>
      </c>
      <c r="I139" s="142" t="s">
        <v>294</v>
      </c>
      <c r="O139" s="205"/>
    </row>
    <row r="140" spans="1:15" s="142" customFormat="1" ht="13.15" hidden="1" x14ac:dyDescent="0.25">
      <c r="H140" s="520">
        <f>H139/40</f>
        <v>22.4</v>
      </c>
      <c r="I140" s="142" t="s">
        <v>295</v>
      </c>
      <c r="O140" s="205"/>
    </row>
    <row r="141" spans="1:15" s="142" customFormat="1" ht="13.15" hidden="1" x14ac:dyDescent="0.25">
      <c r="O141" s="205"/>
    </row>
    <row r="142" spans="1:15" s="142" customFormat="1" ht="13.15" hidden="1" x14ac:dyDescent="0.25">
      <c r="O142" s="205"/>
    </row>
    <row r="143" spans="1:15" s="142" customFormat="1" ht="13.15" hidden="1" x14ac:dyDescent="0.25">
      <c r="B143" s="304" t="s">
        <v>296</v>
      </c>
      <c r="O143" s="205"/>
    </row>
    <row r="144" spans="1:15" s="142" customFormat="1" ht="13.15" hidden="1" x14ac:dyDescent="0.25">
      <c r="B144" s="696" t="s">
        <v>289</v>
      </c>
      <c r="C144" s="696" t="s">
        <v>290</v>
      </c>
      <c r="D144" s="696" t="s">
        <v>291</v>
      </c>
      <c r="E144" s="696" t="s">
        <v>152</v>
      </c>
      <c r="F144" s="696" t="s">
        <v>292</v>
      </c>
      <c r="G144" s="696" t="s">
        <v>293</v>
      </c>
      <c r="H144" s="696" t="s">
        <v>155</v>
      </c>
      <c r="O144" s="205"/>
    </row>
    <row r="145" spans="1:9" s="142" customFormat="1" ht="13.15" hidden="1" x14ac:dyDescent="0.25">
      <c r="A145" s="243" t="s">
        <v>156</v>
      </c>
      <c r="B145" s="697">
        <v>40</v>
      </c>
      <c r="C145" s="697">
        <v>40</v>
      </c>
      <c r="D145" s="697">
        <v>40</v>
      </c>
      <c r="E145" s="697">
        <v>40</v>
      </c>
      <c r="F145" s="697">
        <v>40</v>
      </c>
      <c r="G145" s="697">
        <v>40</v>
      </c>
      <c r="H145" s="697">
        <v>40</v>
      </c>
    </row>
    <row r="146" spans="1:9" s="142" customFormat="1" ht="13.15" hidden="1" x14ac:dyDescent="0.25">
      <c r="A146" s="243" t="s">
        <v>157</v>
      </c>
      <c r="B146" s="697">
        <v>40</v>
      </c>
      <c r="C146" s="697">
        <v>40</v>
      </c>
      <c r="D146" s="697">
        <v>40</v>
      </c>
      <c r="E146" s="697">
        <v>40</v>
      </c>
      <c r="F146" s="697">
        <v>40</v>
      </c>
      <c r="G146" s="697">
        <v>40</v>
      </c>
      <c r="H146" s="697">
        <v>40</v>
      </c>
    </row>
    <row r="147" spans="1:9" s="142" customFormat="1" ht="13.15" hidden="1" x14ac:dyDescent="0.25">
      <c r="A147" s="243" t="s">
        <v>158</v>
      </c>
      <c r="B147" s="697">
        <v>24</v>
      </c>
      <c r="C147" s="697">
        <v>24</v>
      </c>
      <c r="D147" s="697">
        <v>24</v>
      </c>
      <c r="E147" s="697">
        <v>24</v>
      </c>
      <c r="F147" s="697">
        <v>24</v>
      </c>
      <c r="G147" s="697">
        <v>24</v>
      </c>
      <c r="H147" s="697">
        <v>24</v>
      </c>
    </row>
    <row r="148" spans="1:9" s="142" customFormat="1" ht="13.15" hidden="1" x14ac:dyDescent="0.25">
      <c r="H148" s="142">
        <f>SUM(B145:H147)</f>
        <v>728</v>
      </c>
      <c r="I148" s="142" t="s">
        <v>294</v>
      </c>
    </row>
    <row r="149" spans="1:9" s="142" customFormat="1" ht="13.15" hidden="1" x14ac:dyDescent="0.25">
      <c r="H149" s="520">
        <f>H148/40</f>
        <v>18.2</v>
      </c>
      <c r="I149" s="142" t="s">
        <v>295</v>
      </c>
    </row>
    <row r="150" spans="1:9" s="142" customFormat="1" ht="13.15" hidden="1" x14ac:dyDescent="0.25">
      <c r="H150" s="520">
        <f>H149*S10</f>
        <v>2.8000000000000003</v>
      </c>
      <c r="I150" s="142" t="s">
        <v>297</v>
      </c>
    </row>
    <row r="151" spans="1:9" s="142" customFormat="1" ht="12.75" x14ac:dyDescent="0.2"/>
    <row r="152" spans="1:9" s="142" customFormat="1" ht="12.75" x14ac:dyDescent="0.2"/>
    <row r="153" spans="1:9" s="142" customFormat="1" ht="13.15" hidden="1" x14ac:dyDescent="0.25">
      <c r="B153" s="304" t="s">
        <v>298</v>
      </c>
    </row>
    <row r="154" spans="1:9" s="142" customFormat="1" ht="13.15" hidden="1" x14ac:dyDescent="0.25">
      <c r="B154" s="696" t="s">
        <v>289</v>
      </c>
      <c r="C154" s="696" t="s">
        <v>290</v>
      </c>
      <c r="D154" s="696" t="s">
        <v>291</v>
      </c>
      <c r="E154" s="696" t="s">
        <v>152</v>
      </c>
      <c r="F154" s="696" t="s">
        <v>292</v>
      </c>
      <c r="G154" s="696" t="s">
        <v>293</v>
      </c>
      <c r="H154" s="696" t="s">
        <v>155</v>
      </c>
    </row>
    <row r="155" spans="1:9" s="142" customFormat="1" ht="13.15" hidden="1" x14ac:dyDescent="0.25">
      <c r="A155" s="243" t="s">
        <v>156</v>
      </c>
      <c r="B155" s="697">
        <v>24</v>
      </c>
      <c r="C155" s="697">
        <v>24</v>
      </c>
      <c r="D155" s="697">
        <v>24</v>
      </c>
      <c r="E155" s="697">
        <v>24</v>
      </c>
      <c r="F155" s="697">
        <v>24</v>
      </c>
      <c r="G155" s="697">
        <v>24</v>
      </c>
      <c r="H155" s="697">
        <v>24</v>
      </c>
    </row>
    <row r="156" spans="1:9" s="142" customFormat="1" ht="13.15" hidden="1" x14ac:dyDescent="0.25">
      <c r="A156" s="243" t="s">
        <v>157</v>
      </c>
      <c r="B156" s="697">
        <v>24</v>
      </c>
      <c r="C156" s="697">
        <v>24</v>
      </c>
      <c r="D156" s="697">
        <v>24</v>
      </c>
      <c r="E156" s="697">
        <v>24</v>
      </c>
      <c r="F156" s="697">
        <v>24</v>
      </c>
      <c r="G156" s="697">
        <v>24</v>
      </c>
      <c r="H156" s="697">
        <v>24</v>
      </c>
    </row>
    <row r="157" spans="1:9" s="142" customFormat="1" ht="13.15" hidden="1" x14ac:dyDescent="0.25">
      <c r="A157" s="243" t="s">
        <v>158</v>
      </c>
      <c r="B157" s="697">
        <v>16</v>
      </c>
      <c r="C157" s="697">
        <v>16</v>
      </c>
      <c r="D157" s="697">
        <v>16</v>
      </c>
      <c r="E157" s="697">
        <v>16</v>
      </c>
      <c r="F157" s="697">
        <v>16</v>
      </c>
      <c r="G157" s="697">
        <v>16</v>
      </c>
      <c r="H157" s="697">
        <v>16</v>
      </c>
    </row>
    <row r="158" spans="1:9" s="142" customFormat="1" ht="13.15" hidden="1" x14ac:dyDescent="0.25">
      <c r="H158" s="142">
        <f>SUM(B155:H157)</f>
        <v>448</v>
      </c>
      <c r="I158" s="142" t="s">
        <v>294</v>
      </c>
    </row>
    <row r="159" spans="1:9" s="142" customFormat="1" ht="13.15" hidden="1" x14ac:dyDescent="0.25">
      <c r="H159" s="520">
        <f>H158/40</f>
        <v>11.2</v>
      </c>
      <c r="I159" s="142" t="s">
        <v>295</v>
      </c>
    </row>
    <row r="160" spans="1:9" s="142" customFormat="1" ht="13.15" hidden="1" x14ac:dyDescent="0.25"/>
    <row r="161" s="142" customFormat="1" ht="13.15" hidden="1" x14ac:dyDescent="0.25"/>
    <row r="162" s="142" customFormat="1" ht="12.75" x14ac:dyDescent="0.2"/>
  </sheetData>
  <mergeCells count="10">
    <mergeCell ref="H90:L91"/>
    <mergeCell ref="M90:N91"/>
    <mergeCell ref="Q1:T1"/>
    <mergeCell ref="R3:S3"/>
    <mergeCell ref="A4:E5"/>
    <mergeCell ref="F4:F5"/>
    <mergeCell ref="H4:L5"/>
    <mergeCell ref="M4:N5"/>
    <mergeCell ref="H47:L48"/>
    <mergeCell ref="M47:N48"/>
  </mergeCells>
  <pageMargins left="0.7" right="0.7" top="0.75" bottom="0.75" header="0.3" footer="0.3"/>
  <pageSetup fitToHeight="0" orientation="portrait" r:id="rId1"/>
  <rowBreaks count="2" manualBreakCount="2">
    <brk id="89" min="7" max="13" man="1"/>
    <brk id="130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opLeftCell="A10" zoomScale="85" zoomScaleNormal="85" workbookViewId="0">
      <selection activeCell="N34" sqref="N34"/>
    </sheetView>
  </sheetViews>
  <sheetFormatPr defaultColWidth="9.140625" defaultRowHeight="12.75" x14ac:dyDescent="0.2"/>
  <cols>
    <col min="1" max="1" width="31.85546875" style="142" customWidth="1"/>
    <col min="2" max="2" width="7.28515625" style="142" bestFit="1" customWidth="1"/>
    <col min="3" max="3" width="12.85546875" style="142" customWidth="1"/>
    <col min="4" max="4" width="10.85546875" style="142" customWidth="1"/>
    <col min="5" max="6" width="13.140625" style="142" customWidth="1"/>
    <col min="7" max="7" width="9.140625" style="142"/>
    <col min="8" max="8" width="31.85546875" style="142" bestFit="1" customWidth="1"/>
    <col min="9" max="11" width="10.140625" style="142" customWidth="1"/>
    <col min="12" max="12" width="5" style="142" customWidth="1"/>
    <col min="13" max="16384" width="9.140625" style="142"/>
  </cols>
  <sheetData>
    <row r="1" spans="1:13" ht="13.9" thickBot="1" x14ac:dyDescent="0.3">
      <c r="H1" s="759" t="s">
        <v>2</v>
      </c>
      <c r="I1" s="759"/>
      <c r="J1" s="759"/>
      <c r="K1" s="759"/>
    </row>
    <row r="2" spans="1:13" ht="13.9" thickBot="1" x14ac:dyDescent="0.3"/>
    <row r="3" spans="1:13" ht="13.15" x14ac:dyDescent="0.25">
      <c r="H3" s="13" t="s">
        <v>6</v>
      </c>
      <c r="I3" s="760" t="s">
        <v>7</v>
      </c>
      <c r="J3" s="760"/>
      <c r="K3" s="14"/>
      <c r="L3" s="102"/>
      <c r="M3" s="102"/>
    </row>
    <row r="4" spans="1:13" ht="13.15" x14ac:dyDescent="0.25">
      <c r="A4" s="102"/>
      <c r="B4" s="102"/>
      <c r="C4" s="102"/>
      <c r="D4" s="102"/>
      <c r="E4" s="102"/>
      <c r="H4" s="17"/>
      <c r="I4" s="487" t="s">
        <v>8</v>
      </c>
      <c r="J4" s="19" t="s">
        <v>9</v>
      </c>
      <c r="K4" s="151"/>
      <c r="L4" s="102"/>
      <c r="M4" s="102"/>
    </row>
    <row r="5" spans="1:13" ht="13.9" thickBot="1" x14ac:dyDescent="0.3">
      <c r="H5" s="25" t="s">
        <v>13</v>
      </c>
      <c r="I5" s="27">
        <v>15</v>
      </c>
      <c r="J5" s="27">
        <f>I5*8</f>
        <v>120</v>
      </c>
      <c r="K5" s="151"/>
      <c r="L5" s="102"/>
      <c r="M5" s="102"/>
    </row>
    <row r="6" spans="1:13" x14ac:dyDescent="0.2">
      <c r="A6" s="581"/>
      <c r="B6" s="582"/>
      <c r="C6" s="582"/>
      <c r="D6" s="582"/>
      <c r="E6" s="582"/>
      <c r="F6" s="840"/>
      <c r="H6" s="25" t="s">
        <v>15</v>
      </c>
      <c r="I6" s="27">
        <v>8</v>
      </c>
      <c r="J6" s="27">
        <f>I6*8</f>
        <v>64</v>
      </c>
      <c r="K6" s="151"/>
      <c r="L6" s="102"/>
      <c r="M6" s="102"/>
    </row>
    <row r="7" spans="1:13" ht="13.5" thickBot="1" x14ac:dyDescent="0.25">
      <c r="A7" s="798" t="s">
        <v>300</v>
      </c>
      <c r="B7" s="799"/>
      <c r="C7" s="799"/>
      <c r="D7" s="799"/>
      <c r="E7" s="799"/>
      <c r="F7" s="800"/>
      <c r="H7" s="25" t="s">
        <v>17</v>
      </c>
      <c r="I7" s="27">
        <v>10</v>
      </c>
      <c r="J7" s="27">
        <f>I7*8</f>
        <v>80</v>
      </c>
      <c r="K7" s="151"/>
      <c r="L7" s="102"/>
      <c r="M7" s="102"/>
    </row>
    <row r="8" spans="1:13" ht="13.15" x14ac:dyDescent="0.25">
      <c r="A8" s="143" t="s">
        <v>4</v>
      </c>
      <c r="B8" s="6">
        <f>J$18</f>
        <v>12</v>
      </c>
      <c r="C8" s="144"/>
      <c r="D8" s="144" t="s">
        <v>5</v>
      </c>
      <c r="E8" s="300">
        <f>B8*365</f>
        <v>4380</v>
      </c>
      <c r="F8" s="584"/>
      <c r="H8" s="32" t="s">
        <v>19</v>
      </c>
      <c r="I8" s="34">
        <v>5</v>
      </c>
      <c r="J8" s="34">
        <f>I8*8</f>
        <v>40</v>
      </c>
      <c r="K8" s="159"/>
      <c r="L8" s="102"/>
      <c r="M8" s="102"/>
    </row>
    <row r="9" spans="1:13" ht="13.15" x14ac:dyDescent="0.25">
      <c r="A9" s="150"/>
      <c r="B9" s="147"/>
      <c r="C9" s="147"/>
      <c r="D9" s="147"/>
      <c r="E9" s="147"/>
      <c r="F9" s="584"/>
      <c r="H9" s="25"/>
      <c r="I9" s="36" t="s">
        <v>21</v>
      </c>
      <c r="J9" s="27">
        <f>SUM(J5:J8)</f>
        <v>304</v>
      </c>
      <c r="K9" s="160"/>
      <c r="L9" s="102"/>
      <c r="M9" s="102"/>
    </row>
    <row r="10" spans="1:13" ht="13.9" thickBot="1" x14ac:dyDescent="0.3">
      <c r="A10" s="152"/>
      <c r="B10" s="153"/>
      <c r="C10" s="154" t="s">
        <v>10</v>
      </c>
      <c r="D10" s="154" t="s">
        <v>11</v>
      </c>
      <c r="E10" s="154" t="s">
        <v>12</v>
      </c>
      <c r="F10" s="584"/>
      <c r="H10" s="38"/>
      <c r="I10" s="39" t="s">
        <v>23</v>
      </c>
      <c r="J10" s="40">
        <f>J9/(52*40)</f>
        <v>0.14615384615384616</v>
      </c>
      <c r="K10" s="41"/>
      <c r="L10" s="142" t="s">
        <v>301</v>
      </c>
    </row>
    <row r="11" spans="1:13" ht="13.9" thickBot="1" x14ac:dyDescent="0.3">
      <c r="A11" s="17" t="s">
        <v>16</v>
      </c>
      <c r="B11" s="147"/>
      <c r="C11" s="156"/>
      <c r="D11" s="157"/>
      <c r="E11" s="156"/>
      <c r="F11" s="584"/>
    </row>
    <row r="12" spans="1:13" ht="13.15" x14ac:dyDescent="0.25">
      <c r="A12" s="261" t="s">
        <v>302</v>
      </c>
      <c r="B12" s="147"/>
      <c r="C12" s="156">
        <f>J14</f>
        <v>52665.599999999999</v>
      </c>
      <c r="D12" s="157">
        <f>J20</f>
        <v>1</v>
      </c>
      <c r="E12" s="156">
        <f>C12*D12</f>
        <v>52665.599999999999</v>
      </c>
      <c r="F12" s="584"/>
      <c r="H12" s="162"/>
      <c r="I12" s="163"/>
      <c r="J12" s="164" t="s">
        <v>112</v>
      </c>
      <c r="K12" s="689"/>
    </row>
    <row r="13" spans="1:13" ht="13.15" x14ac:dyDescent="0.25">
      <c r="A13" s="263" t="s">
        <v>303</v>
      </c>
      <c r="B13" s="147"/>
      <c r="C13" s="156">
        <f>J15</f>
        <v>41516.800000000003</v>
      </c>
      <c r="D13" s="157">
        <f>J21</f>
        <v>1.5</v>
      </c>
      <c r="E13" s="156">
        <f>C13*D13</f>
        <v>62275.200000000004</v>
      </c>
      <c r="F13" s="584"/>
      <c r="H13" s="17" t="s">
        <v>20</v>
      </c>
      <c r="I13" s="147"/>
      <c r="J13" s="156"/>
      <c r="K13" s="158"/>
    </row>
    <row r="14" spans="1:13" ht="13.15" x14ac:dyDescent="0.25">
      <c r="A14" s="167" t="s">
        <v>30</v>
      </c>
      <c r="B14" s="168"/>
      <c r="C14" s="168"/>
      <c r="D14" s="169">
        <f>SUM(D11:D13)</f>
        <v>2.5</v>
      </c>
      <c r="E14" s="309">
        <f>SUM(E11:E13)</f>
        <v>114940.8</v>
      </c>
      <c r="F14" s="584"/>
      <c r="H14" s="348" t="s">
        <v>304</v>
      </c>
      <c r="I14" s="149"/>
      <c r="J14" s="161">
        <f>'Salary Bench Chart'!C12</f>
        <v>52665.599999999999</v>
      </c>
      <c r="K14" s="585"/>
    </row>
    <row r="15" spans="1:13" ht="13.15" x14ac:dyDescent="0.25">
      <c r="A15" s="150"/>
      <c r="B15" s="147"/>
      <c r="C15" s="147"/>
      <c r="D15" s="147"/>
      <c r="E15" s="147"/>
      <c r="F15" s="584"/>
      <c r="H15" s="348" t="s">
        <v>311</v>
      </c>
      <c r="I15" s="149"/>
      <c r="J15" s="161">
        <f>'Salary Bench Chart'!C6</f>
        <v>41516.800000000003</v>
      </c>
      <c r="K15" s="585"/>
    </row>
    <row r="16" spans="1:13" ht="13.15" x14ac:dyDescent="0.25">
      <c r="A16" s="143" t="s">
        <v>32</v>
      </c>
      <c r="B16" s="147"/>
      <c r="C16" s="147"/>
      <c r="D16" s="144" t="s">
        <v>33</v>
      </c>
      <c r="E16" s="147"/>
      <c r="F16" s="584"/>
      <c r="H16" s="348"/>
      <c r="I16" s="149"/>
      <c r="J16" s="161"/>
      <c r="K16" s="488"/>
    </row>
    <row r="17" spans="1:13" ht="13.15" x14ac:dyDescent="0.25">
      <c r="A17" s="150" t="s">
        <v>35</v>
      </c>
      <c r="B17" s="147"/>
      <c r="C17" s="171">
        <f>$J$24</f>
        <v>0.22309999999999999</v>
      </c>
      <c r="D17" s="147"/>
      <c r="E17" s="156">
        <f>C17*E14</f>
        <v>25643.29248</v>
      </c>
      <c r="F17" s="584"/>
      <c r="H17" s="190"/>
      <c r="I17" s="149"/>
      <c r="J17" s="411" t="s">
        <v>41</v>
      </c>
      <c r="K17" s="464"/>
    </row>
    <row r="18" spans="1:13" ht="13.15" x14ac:dyDescent="0.25">
      <c r="A18" s="167" t="s">
        <v>36</v>
      </c>
      <c r="B18" s="168"/>
      <c r="C18" s="168"/>
      <c r="D18" s="172">
        <f>E18/E8</f>
        <v>32.096824767123287</v>
      </c>
      <c r="E18" s="309">
        <f>E17+E14</f>
        <v>140584.09247999999</v>
      </c>
      <c r="F18" s="584"/>
      <c r="H18" s="190" t="s">
        <v>48</v>
      </c>
      <c r="I18" s="433"/>
      <c r="J18" s="633">
        <f>'[11]Community Care'!$J$18</f>
        <v>12</v>
      </c>
      <c r="K18" s="416"/>
    </row>
    <row r="19" spans="1:13" ht="13.15" x14ac:dyDescent="0.25">
      <c r="A19" s="150"/>
      <c r="B19" s="147"/>
      <c r="C19" s="147"/>
      <c r="D19" s="147"/>
      <c r="E19" s="147"/>
      <c r="F19" s="584"/>
      <c r="H19" s="346" t="s">
        <v>16</v>
      </c>
      <c r="I19" s="205"/>
      <c r="J19" s="627"/>
      <c r="K19" s="88"/>
    </row>
    <row r="20" spans="1:13" x14ac:dyDescent="0.2">
      <c r="A20" s="150" t="s">
        <v>173</v>
      </c>
      <c r="B20" s="147"/>
      <c r="C20" s="147"/>
      <c r="D20" s="174">
        <f>J26</f>
        <v>1.1397260273972603</v>
      </c>
      <c r="E20" s="311">
        <f>D20*E8</f>
        <v>4992</v>
      </c>
      <c r="F20" s="584"/>
      <c r="H20" s="360" t="s">
        <v>302</v>
      </c>
      <c r="I20" s="205"/>
      <c r="J20" s="627">
        <f>'[11]Community Care'!$J$21</f>
        <v>1</v>
      </c>
      <c r="K20" s="88"/>
      <c r="M20" s="304"/>
    </row>
    <row r="21" spans="1:13" ht="13.15" x14ac:dyDescent="0.25">
      <c r="A21" s="150"/>
      <c r="B21" s="147"/>
      <c r="C21" s="147"/>
      <c r="D21" s="147"/>
      <c r="E21" s="147"/>
      <c r="F21" s="584"/>
      <c r="H21" s="348" t="s">
        <v>311</v>
      </c>
      <c r="I21" s="205"/>
      <c r="J21" s="627">
        <f>'[11]Community Care'!J22</f>
        <v>1.5</v>
      </c>
      <c r="K21" s="88"/>
      <c r="M21" s="304"/>
    </row>
    <row r="22" spans="1:13" ht="13.15" x14ac:dyDescent="0.25">
      <c r="A22" s="167" t="s">
        <v>40</v>
      </c>
      <c r="B22" s="168"/>
      <c r="C22" s="168"/>
      <c r="D22" s="168"/>
      <c r="E22" s="309">
        <f>E18+E20</f>
        <v>145576.09247999999</v>
      </c>
      <c r="F22" s="584"/>
      <c r="H22" s="190"/>
      <c r="I22" s="149"/>
      <c r="J22" s="149"/>
      <c r="K22" s="402"/>
    </row>
    <row r="23" spans="1:13" ht="13.15" x14ac:dyDescent="0.25">
      <c r="A23" s="150" t="str">
        <f>'[3]SpecPgm-College Prep'!A23</f>
        <v>PFMLA Trust Contribution</v>
      </c>
      <c r="B23" s="171">
        <f>J25</f>
        <v>3.7000000000000002E-3</v>
      </c>
      <c r="C23" s="147"/>
      <c r="D23" s="147"/>
      <c r="E23" s="311">
        <f>E14*B23</f>
        <v>425.28096000000005</v>
      </c>
      <c r="F23" s="584"/>
      <c r="H23" s="190"/>
      <c r="I23" s="149"/>
      <c r="J23" s="411" t="s">
        <v>113</v>
      </c>
      <c r="K23" s="464"/>
    </row>
    <row r="24" spans="1:13" ht="13.15" x14ac:dyDescent="0.25">
      <c r="A24" s="150" t="s">
        <v>47</v>
      </c>
      <c r="B24" s="147"/>
      <c r="C24" s="171">
        <f>$J$28</f>
        <v>0.11849999999999999</v>
      </c>
      <c r="D24" s="147"/>
      <c r="E24" s="156">
        <f>C24*E22</f>
        <v>17250.766958879998</v>
      </c>
      <c r="F24" s="584"/>
      <c r="H24" s="190" t="s">
        <v>35</v>
      </c>
      <c r="I24" s="149"/>
      <c r="J24" s="435">
        <f>'Salary Bench Chart'!C30</f>
        <v>0.22309999999999999</v>
      </c>
      <c r="K24" s="635"/>
    </row>
    <row r="25" spans="1:13" ht="13.15" x14ac:dyDescent="0.25">
      <c r="A25" s="150"/>
      <c r="B25" s="147"/>
      <c r="C25" s="147"/>
      <c r="D25" s="147"/>
      <c r="E25" s="147"/>
      <c r="F25" s="584"/>
      <c r="H25" s="190" t="s">
        <v>184</v>
      </c>
      <c r="I25" s="149"/>
      <c r="J25" s="435">
        <f>'Salary Bench Chart'!C32</f>
        <v>3.7000000000000002E-3</v>
      </c>
      <c r="K25" s="635"/>
    </row>
    <row r="26" spans="1:13" ht="13.9" thickBot="1" x14ac:dyDescent="0.3">
      <c r="A26" s="182" t="s">
        <v>49</v>
      </c>
      <c r="B26" s="183"/>
      <c r="C26" s="183"/>
      <c r="D26" s="183"/>
      <c r="E26" s="315">
        <f>SUM(E22:E24)</f>
        <v>163252.14039888</v>
      </c>
      <c r="F26" s="584"/>
      <c r="H26" s="190" t="s">
        <v>173</v>
      </c>
      <c r="I26" s="149"/>
      <c r="J26" s="746">
        <f>J42</f>
        <v>1.1397260273972603</v>
      </c>
      <c r="K26" s="635"/>
    </row>
    <row r="27" spans="1:13" ht="14.45" thickTop="1" thickBot="1" x14ac:dyDescent="0.3">
      <c r="A27" s="150" t="str">
        <f>H30</f>
        <v>CAF rate</v>
      </c>
      <c r="B27" s="171">
        <f>J30</f>
        <v>1.78E-2</v>
      </c>
      <c r="C27" s="147"/>
      <c r="D27" s="147"/>
      <c r="E27" s="699">
        <f>(E26*B27)-(E14*B27)</f>
        <v>859.94185910006422</v>
      </c>
      <c r="F27" s="584"/>
      <c r="H27" s="190"/>
      <c r="I27" s="149"/>
      <c r="J27" s="149"/>
      <c r="K27" s="402"/>
    </row>
    <row r="28" spans="1:13" ht="13.9" thickTop="1" x14ac:dyDescent="0.25">
      <c r="A28" s="150"/>
      <c r="B28" s="147"/>
      <c r="C28" s="171"/>
      <c r="D28" s="147"/>
      <c r="E28" s="316">
        <f>E27+E26</f>
        <v>164112.08225798007</v>
      </c>
      <c r="F28" s="584"/>
      <c r="H28" s="190" t="s">
        <v>47</v>
      </c>
      <c r="I28" s="149"/>
      <c r="J28" s="435">
        <f>'[3]Group Home'!Q55</f>
        <v>0.11849999999999999</v>
      </c>
      <c r="K28" s="635"/>
    </row>
    <row r="29" spans="1:13" ht="13.15" x14ac:dyDescent="0.25">
      <c r="A29" s="150"/>
      <c r="B29" s="147"/>
      <c r="C29" s="147"/>
      <c r="D29" s="147"/>
      <c r="E29" s="147"/>
      <c r="F29" s="584"/>
      <c r="H29" s="190"/>
      <c r="I29" s="149"/>
      <c r="J29" s="149"/>
      <c r="K29" s="402"/>
    </row>
    <row r="30" spans="1:13" ht="13.9" thickBot="1" x14ac:dyDescent="0.3">
      <c r="A30" s="150"/>
      <c r="B30" s="147"/>
      <c r="C30" s="147"/>
      <c r="D30" s="147"/>
      <c r="E30" s="318" t="s">
        <v>59</v>
      </c>
      <c r="F30" s="584"/>
      <c r="H30" s="443" t="s">
        <v>263</v>
      </c>
      <c r="I30" s="444"/>
      <c r="J30" s="445">
        <f>'Salary Bench Chart'!C31</f>
        <v>1.78E-2</v>
      </c>
      <c r="K30" s="640"/>
    </row>
    <row r="31" spans="1:13" ht="13.15" x14ac:dyDescent="0.25">
      <c r="A31" s="150" t="s">
        <v>133</v>
      </c>
      <c r="B31" s="147"/>
      <c r="C31" s="147"/>
      <c r="D31" s="188"/>
      <c r="E31" s="188"/>
      <c r="F31" s="584"/>
      <c r="H31" s="102"/>
      <c r="I31" s="220"/>
    </row>
    <row r="32" spans="1:13" ht="13.9" thickBot="1" x14ac:dyDescent="0.3">
      <c r="A32" s="190"/>
      <c r="B32" s="149"/>
      <c r="C32" s="191"/>
      <c r="D32" s="192"/>
      <c r="E32" s="192"/>
      <c r="F32" s="565">
        <f>E28/E8</f>
        <v>37.468511931045676</v>
      </c>
      <c r="H32" s="102"/>
    </row>
    <row r="33" spans="1:12" ht="13.9" thickBot="1" x14ac:dyDescent="0.3">
      <c r="A33" s="478" t="s">
        <v>50</v>
      </c>
      <c r="B33" s="479">
        <v>0.9</v>
      </c>
      <c r="C33" s="480"/>
      <c r="D33" s="284"/>
      <c r="E33" s="284"/>
      <c r="F33" s="701">
        <f>$F$32/B33</f>
        <v>41.631679923384084</v>
      </c>
    </row>
    <row r="34" spans="1:12" ht="13.15" x14ac:dyDescent="0.25">
      <c r="A34" s="418"/>
      <c r="B34" s="149"/>
      <c r="C34" s="435"/>
      <c r="D34" s="89"/>
      <c r="E34" s="89"/>
      <c r="F34" s="700"/>
      <c r="H34" s="102"/>
    </row>
    <row r="35" spans="1:12" ht="13.15" x14ac:dyDescent="0.25">
      <c r="A35" s="149"/>
      <c r="B35" s="204"/>
      <c r="C35" s="149"/>
      <c r="D35" s="89"/>
      <c r="E35" s="89"/>
      <c r="F35" s="192"/>
    </row>
    <row r="36" spans="1:12" x14ac:dyDescent="0.2">
      <c r="H36" s="747" t="s">
        <v>56</v>
      </c>
      <c r="I36" s="720"/>
      <c r="J36" s="720"/>
      <c r="K36" s="720"/>
    </row>
    <row r="37" spans="1:12" x14ac:dyDescent="0.2">
      <c r="H37" s="748" t="s">
        <v>310</v>
      </c>
      <c r="I37" s="720"/>
      <c r="J37" s="720"/>
      <c r="K37" s="720"/>
      <c r="L37" s="198"/>
    </row>
    <row r="38" spans="1:12" x14ac:dyDescent="0.2">
      <c r="H38" s="719" t="s">
        <v>305</v>
      </c>
      <c r="I38" s="720"/>
      <c r="J38" s="720"/>
      <c r="K38" s="720"/>
    </row>
    <row r="39" spans="1:12" x14ac:dyDescent="0.2">
      <c r="E39" s="313"/>
      <c r="H39" s="719" t="s">
        <v>306</v>
      </c>
      <c r="I39" s="720"/>
      <c r="J39" s="720"/>
      <c r="K39" s="720"/>
    </row>
    <row r="40" spans="1:12" x14ac:dyDescent="0.2">
      <c r="E40" s="313"/>
      <c r="H40" s="719" t="s">
        <v>307</v>
      </c>
      <c r="I40" s="720"/>
      <c r="J40" s="720"/>
      <c r="K40" s="720"/>
    </row>
    <row r="41" spans="1:12" x14ac:dyDescent="0.2">
      <c r="H41" s="724" t="s">
        <v>308</v>
      </c>
      <c r="I41" s="720"/>
      <c r="J41" s="749">
        <f>1*2*0.5*52*20*0.4</f>
        <v>416</v>
      </c>
      <c r="K41" s="720"/>
    </row>
    <row r="42" spans="1:12" x14ac:dyDescent="0.2">
      <c r="H42" s="724" t="s">
        <v>309</v>
      </c>
      <c r="I42" s="720"/>
      <c r="J42" s="749">
        <f>J41/365</f>
        <v>1.1397260273972603</v>
      </c>
      <c r="K42" s="720"/>
    </row>
    <row r="43" spans="1:12" x14ac:dyDescent="0.2">
      <c r="H43" s="720"/>
      <c r="I43" s="720"/>
      <c r="J43" s="720"/>
      <c r="K43" s="720"/>
    </row>
  </sheetData>
  <mergeCells count="4">
    <mergeCell ref="H1:K1"/>
    <mergeCell ref="I3:J3"/>
    <mergeCell ref="F6:F7"/>
    <mergeCell ref="A7:E7"/>
  </mergeCells>
  <pageMargins left="0.7" right="0.7" top="0.75" bottom="0.75" header="0.3" footer="0.3"/>
  <pageSetup fitToHeight="0" orientation="landscape" r:id="rId1"/>
  <headerFooter>
    <oddFooter>&amp;R2016-04-12
&amp;A
Caring Together rate review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zoomScale="90" zoomScaleNormal="90" workbookViewId="0">
      <selection activeCell="G19" sqref="G19:G20"/>
    </sheetView>
  </sheetViews>
  <sheetFormatPr defaultRowHeight="15" x14ac:dyDescent="0.25"/>
  <cols>
    <col min="1" max="1" width="5.5703125" customWidth="1"/>
    <col min="2" max="2" width="58" customWidth="1"/>
    <col min="3" max="3" width="16.140625" customWidth="1"/>
    <col min="4" max="4" width="10" hidden="1" customWidth="1"/>
    <col min="5" max="5" width="1.7109375" customWidth="1"/>
    <col min="6" max="6" width="50.5703125" customWidth="1"/>
    <col min="7" max="7" width="65" style="112" customWidth="1"/>
    <col min="8" max="8" width="14.7109375" hidden="1" customWidth="1"/>
    <col min="9" max="9" width="0" hidden="1" customWidth="1"/>
    <col min="10" max="10" width="11" hidden="1" customWidth="1"/>
    <col min="11" max="11" width="0" hidden="1" customWidth="1"/>
  </cols>
  <sheetData>
    <row r="1" spans="2:10" ht="4.5" customHeight="1" x14ac:dyDescent="0.3">
      <c r="B1" s="110">
        <v>43777</v>
      </c>
      <c r="C1" s="111" t="s">
        <v>61</v>
      </c>
      <c r="D1" s="111" t="s">
        <v>62</v>
      </c>
    </row>
    <row r="2" spans="2:10" thickBot="1" x14ac:dyDescent="0.35">
      <c r="B2" s="113" t="s">
        <v>63</v>
      </c>
      <c r="C2" s="114"/>
      <c r="D2" s="111" t="s">
        <v>64</v>
      </c>
      <c r="G2" s="115" t="s">
        <v>65</v>
      </c>
      <c r="H2" s="111" t="s">
        <v>66</v>
      </c>
      <c r="J2" t="s">
        <v>67</v>
      </c>
    </row>
    <row r="3" spans="2:10" ht="31.15" customHeight="1" x14ac:dyDescent="0.25">
      <c r="B3" s="116" t="s">
        <v>68</v>
      </c>
      <c r="C3" s="117">
        <v>15.48</v>
      </c>
      <c r="D3" s="117">
        <f>'[2]DC I &amp; II'!J12</f>
        <v>16.796506410256413</v>
      </c>
      <c r="E3" s="118"/>
      <c r="F3" s="752" t="s">
        <v>69</v>
      </c>
      <c r="G3" s="754" t="s">
        <v>70</v>
      </c>
      <c r="H3" s="119">
        <f>H4/2080</f>
        <v>15.480288461538462</v>
      </c>
      <c r="J3" s="120">
        <f>D3-H3</f>
        <v>1.3162179487179504</v>
      </c>
    </row>
    <row r="4" spans="2:10" ht="16.5" thickBot="1" x14ac:dyDescent="0.3">
      <c r="B4" s="121" t="s">
        <v>71</v>
      </c>
      <c r="C4" s="122">
        <f>C3*2080</f>
        <v>32198.400000000001</v>
      </c>
      <c r="D4" s="123">
        <f>D3*2080</f>
        <v>34936.733333333337</v>
      </c>
      <c r="E4" s="124"/>
      <c r="F4" s="753"/>
      <c r="G4" s="755"/>
      <c r="H4" s="125">
        <v>32199</v>
      </c>
      <c r="J4" s="120"/>
    </row>
    <row r="5" spans="2:10" ht="15.75" x14ac:dyDescent="0.25">
      <c r="B5" s="116" t="s">
        <v>72</v>
      </c>
      <c r="C5" s="117">
        <v>19.96</v>
      </c>
      <c r="D5" s="126">
        <f>'[2]DC III '!J11</f>
        <v>20.893115384615385</v>
      </c>
      <c r="E5" s="118"/>
      <c r="F5" s="118" t="s">
        <v>73</v>
      </c>
      <c r="G5" s="754" t="s">
        <v>74</v>
      </c>
      <c r="H5" s="119">
        <f>H6/2080</f>
        <v>18.400480769230768</v>
      </c>
      <c r="J5" s="120">
        <f>D5-H5</f>
        <v>2.4926346153846168</v>
      </c>
    </row>
    <row r="6" spans="2:10" ht="16.5" thickBot="1" x14ac:dyDescent="0.3">
      <c r="B6" s="127" t="s">
        <v>75</v>
      </c>
      <c r="C6" s="128">
        <f>C5*2080</f>
        <v>41516.800000000003</v>
      </c>
      <c r="D6" s="129">
        <f>D5*2080</f>
        <v>43457.68</v>
      </c>
      <c r="E6" s="130"/>
      <c r="F6" s="130"/>
      <c r="G6" s="755"/>
      <c r="H6" s="125">
        <v>38273</v>
      </c>
      <c r="J6" s="120"/>
    </row>
    <row r="7" spans="2:10" ht="15.75" x14ac:dyDescent="0.25">
      <c r="B7" s="116" t="s">
        <v>76</v>
      </c>
      <c r="C7" s="117">
        <v>15.53</v>
      </c>
      <c r="D7" s="126">
        <f>[2]CNA!L13</f>
        <v>16.170000000000002</v>
      </c>
      <c r="E7" s="118"/>
      <c r="F7" s="131"/>
      <c r="G7" s="754" t="s">
        <v>77</v>
      </c>
      <c r="H7" s="119">
        <f>H8/2080</f>
        <v>20.43028846153846</v>
      </c>
      <c r="J7" s="132">
        <f>D7-H7</f>
        <v>-4.2602884615384582</v>
      </c>
    </row>
    <row r="8" spans="2:10" ht="16.5" thickBot="1" x14ac:dyDescent="0.3">
      <c r="B8" s="127" t="s">
        <v>78</v>
      </c>
      <c r="C8" s="128">
        <f>C7*2080</f>
        <v>32302.399999999998</v>
      </c>
      <c r="D8" s="129">
        <f>D7*2080</f>
        <v>33633.600000000006</v>
      </c>
      <c r="E8" s="130"/>
      <c r="F8" s="130"/>
      <c r="G8" s="755"/>
      <c r="H8" s="125">
        <v>42495</v>
      </c>
      <c r="J8" s="120"/>
    </row>
    <row r="9" spans="2:10" ht="15.75" x14ac:dyDescent="0.25">
      <c r="B9" s="116" t="s">
        <v>79</v>
      </c>
      <c r="C9" s="117">
        <f>'[2]Caseworker BA'!L9</f>
        <v>21.14</v>
      </c>
      <c r="D9" s="126">
        <f>'[2]Caseworker BA'!J9</f>
        <v>22.073999999999998</v>
      </c>
      <c r="E9" s="118"/>
      <c r="F9" s="118" t="s">
        <v>80</v>
      </c>
      <c r="G9" s="754" t="s">
        <v>81</v>
      </c>
      <c r="H9" s="750" t="s">
        <v>82</v>
      </c>
      <c r="J9" s="120"/>
    </row>
    <row r="10" spans="2:10" ht="16.5" thickBot="1" x14ac:dyDescent="0.3">
      <c r="B10" s="127" t="s">
        <v>83</v>
      </c>
      <c r="C10" s="128">
        <f>C9*2080</f>
        <v>43971.200000000004</v>
      </c>
      <c r="D10" s="129">
        <f>D9*2080</f>
        <v>45913.919999999998</v>
      </c>
      <c r="E10" s="130"/>
      <c r="F10" s="130"/>
      <c r="G10" s="755"/>
      <c r="H10" s="751"/>
      <c r="J10" s="120"/>
    </row>
    <row r="11" spans="2:10" ht="31.5" x14ac:dyDescent="0.25">
      <c r="B11" s="133" t="s">
        <v>84</v>
      </c>
      <c r="C11" s="134">
        <v>25.32</v>
      </c>
      <c r="D11" s="135">
        <f>'[2]Casemanager MA '!J13</f>
        <v>26.866666666666664</v>
      </c>
      <c r="E11" s="124"/>
      <c r="F11" s="124" t="s">
        <v>85</v>
      </c>
      <c r="G11" s="756" t="s">
        <v>86</v>
      </c>
      <c r="H11" s="119">
        <f>H12/2080</f>
        <v>19.703365384615385</v>
      </c>
      <c r="J11" s="120">
        <f>D11-H11</f>
        <v>7.1633012820512789</v>
      </c>
    </row>
    <row r="12" spans="2:10" ht="32.25" thickBot="1" x14ac:dyDescent="0.3">
      <c r="B12" s="133" t="s">
        <v>87</v>
      </c>
      <c r="C12" s="128">
        <f>C11*2080</f>
        <v>52665.599999999999</v>
      </c>
      <c r="D12" s="129">
        <f>D11*2080</f>
        <v>55882.666666666657</v>
      </c>
      <c r="E12" s="130"/>
      <c r="F12" s="130" t="s">
        <v>88</v>
      </c>
      <c r="G12" s="755"/>
      <c r="H12" s="125">
        <v>40983</v>
      </c>
      <c r="J12" s="120"/>
    </row>
    <row r="13" spans="2:10" ht="15.75" x14ac:dyDescent="0.25">
      <c r="B13" s="116" t="s">
        <v>89</v>
      </c>
      <c r="C13" s="117">
        <v>29.29</v>
      </c>
      <c r="D13" s="126">
        <f>'[2]Clinician w indep Lic'!O13</f>
        <v>30.101111111111109</v>
      </c>
      <c r="E13" s="118"/>
      <c r="F13" s="118" t="s">
        <v>90</v>
      </c>
      <c r="G13" s="754" t="s">
        <v>91</v>
      </c>
      <c r="H13" s="119">
        <f>H14/2080</f>
        <v>27.190865384615385</v>
      </c>
      <c r="J13" s="120">
        <f>D13-H13</f>
        <v>2.9102457264957238</v>
      </c>
    </row>
    <row r="14" spans="2:10" ht="16.5" thickBot="1" x14ac:dyDescent="0.3">
      <c r="B14" s="127" t="s">
        <v>92</v>
      </c>
      <c r="C14" s="128">
        <f>C13*2080</f>
        <v>60923.199999999997</v>
      </c>
      <c r="D14" s="129">
        <f>D13*2080</f>
        <v>62610.311111111107</v>
      </c>
      <c r="E14" s="130"/>
      <c r="F14" s="130"/>
      <c r="G14" s="755"/>
      <c r="H14" s="125">
        <v>56557</v>
      </c>
      <c r="J14" s="120"/>
    </row>
    <row r="15" spans="2:10" ht="15.75" x14ac:dyDescent="0.25">
      <c r="B15" s="116" t="s">
        <v>93</v>
      </c>
      <c r="C15" s="117">
        <v>40.06</v>
      </c>
      <c r="D15" s="126">
        <f>'[2]Clinical Manager'!I6</f>
        <v>42.94</v>
      </c>
      <c r="E15" s="118"/>
      <c r="F15" s="757" t="s">
        <v>94</v>
      </c>
      <c r="G15" s="754" t="s">
        <v>95</v>
      </c>
      <c r="H15" s="119">
        <f>H16/2080</f>
        <v>33.217788461538461</v>
      </c>
      <c r="J15" s="120">
        <f>D15-H15</f>
        <v>9.7222115384615364</v>
      </c>
    </row>
    <row r="16" spans="2:10" ht="16.5" thickBot="1" x14ac:dyDescent="0.3">
      <c r="B16" s="127" t="s">
        <v>96</v>
      </c>
      <c r="C16" s="128">
        <f>C15*2080</f>
        <v>83324.800000000003</v>
      </c>
      <c r="D16" s="129">
        <f>D15*2080</f>
        <v>89315.199999999997</v>
      </c>
      <c r="E16" s="130"/>
      <c r="F16" s="758"/>
      <c r="G16" s="755"/>
      <c r="H16" s="125">
        <v>69093</v>
      </c>
      <c r="J16" s="120"/>
    </row>
    <row r="17" spans="2:10" ht="15.75" x14ac:dyDescent="0.25">
      <c r="B17" s="116" t="s">
        <v>97</v>
      </c>
      <c r="C17" s="117">
        <v>27.62</v>
      </c>
      <c r="D17" s="126">
        <f>[2]LPN!H6</f>
        <v>28.36</v>
      </c>
      <c r="E17" s="118"/>
      <c r="F17" s="118"/>
      <c r="G17" s="754" t="s">
        <v>98</v>
      </c>
      <c r="H17" s="119">
        <f>H18/2080</f>
        <v>25.143750000000001</v>
      </c>
      <c r="J17" s="120">
        <f>D17-H17</f>
        <v>3.2162499999999987</v>
      </c>
    </row>
    <row r="18" spans="2:10" ht="16.5" thickBot="1" x14ac:dyDescent="0.3">
      <c r="B18" s="127" t="s">
        <v>99</v>
      </c>
      <c r="C18" s="128">
        <f>C17*2080</f>
        <v>57449.599999999999</v>
      </c>
      <c r="D18" s="129">
        <f>D17*2080</f>
        <v>58988.799999999996</v>
      </c>
      <c r="E18" s="130"/>
      <c r="F18" s="130"/>
      <c r="G18" s="755"/>
      <c r="H18" s="125">
        <v>52299</v>
      </c>
      <c r="J18" s="120"/>
    </row>
    <row r="19" spans="2:10" ht="15.75" x14ac:dyDescent="0.25">
      <c r="B19" s="116" t="s">
        <v>100</v>
      </c>
      <c r="C19" s="117">
        <v>41.76</v>
      </c>
      <c r="D19" s="126">
        <f>'[2]BS RN'!K16</f>
        <v>44.3</v>
      </c>
      <c r="E19" s="118"/>
      <c r="F19" s="118"/>
      <c r="G19" s="754" t="s">
        <v>101</v>
      </c>
      <c r="H19" s="136">
        <f>H20/2080</f>
        <v>33.460576923076921</v>
      </c>
      <c r="J19" s="120">
        <f>D19-H19</f>
        <v>10.839423076923076</v>
      </c>
    </row>
    <row r="20" spans="2:10" ht="16.5" thickBot="1" x14ac:dyDescent="0.3">
      <c r="B20" s="127" t="s">
        <v>102</v>
      </c>
      <c r="C20" s="128">
        <f>C19*2080</f>
        <v>86860.800000000003</v>
      </c>
      <c r="D20" s="129">
        <f>D19*2080</f>
        <v>92144</v>
      </c>
      <c r="E20" s="130"/>
      <c r="F20" s="130"/>
      <c r="G20" s="755"/>
      <c r="H20" s="125">
        <v>69598</v>
      </c>
      <c r="J20" s="120"/>
    </row>
    <row r="21" spans="2:10" ht="15.75" x14ac:dyDescent="0.25">
      <c r="B21" s="116" t="s">
        <v>103</v>
      </c>
      <c r="C21" s="117">
        <v>57.41</v>
      </c>
      <c r="D21" s="126">
        <f>'[2]MS RN. APRN'!K15</f>
        <v>59.01</v>
      </c>
      <c r="E21" s="118"/>
      <c r="F21" s="118"/>
      <c r="G21" s="754" t="s">
        <v>104</v>
      </c>
      <c r="H21" s="119">
        <f>H22/2080</f>
        <v>48.354326923076925</v>
      </c>
      <c r="J21" s="120">
        <f>D21-H21</f>
        <v>10.655673076923073</v>
      </c>
    </row>
    <row r="22" spans="2:10" ht="16.5" thickBot="1" x14ac:dyDescent="0.3">
      <c r="B22" s="127" t="s">
        <v>105</v>
      </c>
      <c r="C22" s="128">
        <f>C21*2080</f>
        <v>119412.79999999999</v>
      </c>
      <c r="D22" s="129">
        <f>D21*2080</f>
        <v>122740.8</v>
      </c>
      <c r="E22" s="130"/>
      <c r="F22" s="130"/>
      <c r="G22" s="755"/>
      <c r="H22" s="125">
        <v>100577</v>
      </c>
      <c r="J22" s="120"/>
    </row>
    <row r="26" spans="2:10" ht="15.6" x14ac:dyDescent="0.3">
      <c r="B26" s="137" t="s">
        <v>106</v>
      </c>
      <c r="C26" s="138">
        <f>C4</f>
        <v>32198.400000000001</v>
      </c>
    </row>
    <row r="27" spans="2:10" ht="15.6" x14ac:dyDescent="0.3">
      <c r="B27" s="139"/>
      <c r="C27" s="139"/>
    </row>
    <row r="28" spans="2:10" ht="15.6" x14ac:dyDescent="0.3">
      <c r="B28" s="137" t="s">
        <v>107</v>
      </c>
      <c r="C28" s="138">
        <v>29640</v>
      </c>
    </row>
    <row r="29" spans="2:10" ht="15.6" x14ac:dyDescent="0.3">
      <c r="B29" s="139"/>
      <c r="C29" s="139"/>
    </row>
    <row r="30" spans="2:10" ht="15.75" x14ac:dyDescent="0.25">
      <c r="B30" s="137" t="s">
        <v>108</v>
      </c>
      <c r="C30" s="140">
        <v>0.22309999999999999</v>
      </c>
    </row>
    <row r="31" spans="2:10" ht="15.75" x14ac:dyDescent="0.25">
      <c r="B31" s="137" t="s">
        <v>109</v>
      </c>
      <c r="C31" s="140">
        <v>1.78E-2</v>
      </c>
    </row>
    <row r="32" spans="2:10" ht="15.75" x14ac:dyDescent="0.25">
      <c r="B32" s="141" t="s">
        <v>110</v>
      </c>
      <c r="C32" s="140">
        <v>3.7000000000000002E-3</v>
      </c>
    </row>
  </sheetData>
  <mergeCells count="13">
    <mergeCell ref="G21:G22"/>
    <mergeCell ref="G11:G12"/>
    <mergeCell ref="G13:G14"/>
    <mergeCell ref="F15:F16"/>
    <mergeCell ref="G15:G16"/>
    <mergeCell ref="G17:G18"/>
    <mergeCell ref="G19:G20"/>
    <mergeCell ref="H9:H10"/>
    <mergeCell ref="F3:F4"/>
    <mergeCell ref="G3:G4"/>
    <mergeCell ref="G5:G6"/>
    <mergeCell ref="G7:G8"/>
    <mergeCell ref="G9:G10"/>
  </mergeCells>
  <pageMargins left="0.25" right="0.25" top="0.75" bottom="0.75" header="0.3" footer="0.3"/>
  <pageSetup scale="70" fitToHeight="0" orientation="landscape" cellComments="asDisplayed" r:id="rId1"/>
  <ignoredErrors>
    <ignoredError sqref="C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4"/>
  <sheetViews>
    <sheetView topLeftCell="H1" zoomScale="70" zoomScaleNormal="70" zoomScaleSheetLayoutView="80" workbookViewId="0">
      <selection activeCell="Q45" sqref="Q45"/>
    </sheetView>
  </sheetViews>
  <sheetFormatPr defaultColWidth="9.140625" defaultRowHeight="12.75" x14ac:dyDescent="0.2"/>
  <cols>
    <col min="1" max="1" width="31.85546875" style="205" hidden="1" customWidth="1"/>
    <col min="2" max="2" width="5.7109375" style="205" hidden="1" customWidth="1"/>
    <col min="3" max="3" width="12.85546875" style="205" hidden="1" customWidth="1"/>
    <col min="4" max="4" width="10.85546875" style="205" hidden="1" customWidth="1"/>
    <col min="5" max="6" width="13.140625" style="205" hidden="1" customWidth="1"/>
    <col min="7" max="7" width="0" style="205" hidden="1" customWidth="1"/>
    <col min="8" max="8" width="31.85546875" style="205" customWidth="1"/>
    <col min="9" max="9" width="6.5703125" style="389" customWidth="1"/>
    <col min="10" max="10" width="11.5703125" style="205" customWidth="1"/>
    <col min="11" max="11" width="10.85546875" style="205" customWidth="1"/>
    <col min="12" max="12" width="16.28515625" style="205" customWidth="1"/>
    <col min="13" max="13" width="16.5703125" style="205" customWidth="1"/>
    <col min="14" max="14" width="9.140625" style="205"/>
    <col min="15" max="15" width="31.85546875" style="205" customWidth="1"/>
    <col min="16" max="16" width="7.5703125" style="389" customWidth="1"/>
    <col min="17" max="17" width="11.5703125" style="205" customWidth="1"/>
    <col min="18" max="18" width="10.85546875" style="205" customWidth="1"/>
    <col min="19" max="19" width="16.5703125" style="205" customWidth="1"/>
    <col min="20" max="20" width="17" style="205" customWidth="1"/>
    <col min="21" max="21" width="9.140625" style="205"/>
    <col min="22" max="22" width="31.85546875" style="205" customWidth="1"/>
    <col min="23" max="23" width="10" style="205" customWidth="1"/>
    <col min="24" max="24" width="11.28515625" style="205" customWidth="1"/>
    <col min="25" max="25" width="11" style="205" customWidth="1"/>
    <col min="26" max="16384" width="9.140625" style="205"/>
  </cols>
  <sheetData>
    <row r="1" spans="1:27" ht="13.5" thickBot="1" x14ac:dyDescent="0.25">
      <c r="H1" s="777" t="s">
        <v>142</v>
      </c>
      <c r="I1" s="778"/>
      <c r="J1" s="778"/>
      <c r="K1" s="778"/>
      <c r="L1" s="778"/>
      <c r="M1" s="781" t="s">
        <v>123</v>
      </c>
      <c r="O1" s="777" t="s">
        <v>166</v>
      </c>
      <c r="P1" s="778"/>
      <c r="Q1" s="778"/>
      <c r="R1" s="778"/>
      <c r="S1" s="778"/>
      <c r="T1" s="781" t="s">
        <v>123</v>
      </c>
      <c r="V1" s="771" t="s">
        <v>167</v>
      </c>
      <c r="W1" s="771"/>
      <c r="X1" s="771"/>
      <c r="Y1" s="771"/>
    </row>
    <row r="2" spans="1:27" ht="13.5" thickBot="1" x14ac:dyDescent="0.25">
      <c r="G2" s="205">
        <f>7.2*3</f>
        <v>21.6</v>
      </c>
      <c r="H2" s="779"/>
      <c r="I2" s="780"/>
      <c r="J2" s="780"/>
      <c r="K2" s="780"/>
      <c r="L2" s="780"/>
      <c r="M2" s="782"/>
      <c r="O2" s="779"/>
      <c r="P2" s="780"/>
      <c r="Q2" s="780"/>
      <c r="R2" s="780"/>
      <c r="S2" s="780"/>
      <c r="T2" s="782"/>
    </row>
    <row r="3" spans="1:27" ht="13.15" x14ac:dyDescent="0.25">
      <c r="H3" s="450" t="s">
        <v>4</v>
      </c>
      <c r="I3" s="4">
        <f>$X$32</f>
        <v>15</v>
      </c>
      <c r="J3" s="418"/>
      <c r="K3" s="418" t="s">
        <v>5</v>
      </c>
      <c r="L3" s="451">
        <f>I3*365</f>
        <v>5475</v>
      </c>
      <c r="M3" s="452" t="s">
        <v>143</v>
      </c>
      <c r="O3" s="450" t="s">
        <v>4</v>
      </c>
      <c r="P3" s="4">
        <f>$X$32</f>
        <v>15</v>
      </c>
      <c r="Q3" s="418"/>
      <c r="R3" s="418" t="s">
        <v>5</v>
      </c>
      <c r="S3" s="451">
        <f>P3*365</f>
        <v>5475</v>
      </c>
      <c r="T3" s="467" t="s">
        <v>143</v>
      </c>
      <c r="V3" s="345" t="s">
        <v>6</v>
      </c>
      <c r="W3" s="760" t="s">
        <v>7</v>
      </c>
      <c r="X3" s="760"/>
      <c r="Y3" s="14"/>
      <c r="Z3" s="387"/>
      <c r="AA3" s="387"/>
    </row>
    <row r="4" spans="1:27" ht="13.15" x14ac:dyDescent="0.25">
      <c r="H4" s="453"/>
      <c r="I4" s="395"/>
      <c r="J4" s="395" t="s">
        <v>10</v>
      </c>
      <c r="K4" s="395" t="s">
        <v>11</v>
      </c>
      <c r="L4" s="395" t="s">
        <v>12</v>
      </c>
      <c r="M4" s="454"/>
      <c r="O4" s="453"/>
      <c r="P4" s="395"/>
      <c r="Q4" s="395" t="s">
        <v>10</v>
      </c>
      <c r="R4" s="395" t="s">
        <v>11</v>
      </c>
      <c r="S4" s="395" t="s">
        <v>12</v>
      </c>
      <c r="T4" s="454"/>
      <c r="V4" s="346"/>
      <c r="W4" s="4" t="s">
        <v>8</v>
      </c>
      <c r="X4" s="347" t="s">
        <v>9</v>
      </c>
      <c r="Y4" s="151"/>
      <c r="Z4" s="387"/>
      <c r="AA4" s="387"/>
    </row>
    <row r="5" spans="1:27" ht="13.15" x14ac:dyDescent="0.25">
      <c r="H5" s="455" t="s">
        <v>14</v>
      </c>
      <c r="I5" s="27"/>
      <c r="J5" s="161">
        <f>X13</f>
        <v>65844.961200000005</v>
      </c>
      <c r="K5" s="403">
        <f>$X$33</f>
        <v>4.0999999999999996</v>
      </c>
      <c r="L5" s="161">
        <f>J5*K5</f>
        <v>269964.34091999999</v>
      </c>
      <c r="M5" s="456"/>
      <c r="O5" s="455" t="s">
        <v>14</v>
      </c>
      <c r="P5" s="27"/>
      <c r="Q5" s="161">
        <f>X13</f>
        <v>65844.961200000005</v>
      </c>
      <c r="R5" s="403">
        <f>$X$33</f>
        <v>4.0999999999999996</v>
      </c>
      <c r="S5" s="161">
        <f>Q5*R5</f>
        <v>269964.34091999999</v>
      </c>
      <c r="T5" s="454"/>
      <c r="V5" s="348" t="s">
        <v>13</v>
      </c>
      <c r="W5" s="27">
        <v>15</v>
      </c>
      <c r="X5" s="27">
        <f>W5*8</f>
        <v>120</v>
      </c>
      <c r="Y5" s="151"/>
      <c r="Z5" s="387"/>
      <c r="AA5" s="387"/>
    </row>
    <row r="6" spans="1:27" ht="21.6" customHeight="1" x14ac:dyDescent="0.2">
      <c r="A6" s="772" t="s">
        <v>165</v>
      </c>
      <c r="B6" s="773"/>
      <c r="C6" s="773"/>
      <c r="D6" s="773"/>
      <c r="E6" s="773"/>
      <c r="F6" s="775" t="s">
        <v>0</v>
      </c>
      <c r="H6" s="346" t="s">
        <v>16</v>
      </c>
      <c r="I6" s="27"/>
      <c r="J6" s="161"/>
      <c r="K6" s="403"/>
      <c r="L6" s="161"/>
      <c r="M6" s="456"/>
      <c r="O6" s="346" t="s">
        <v>16</v>
      </c>
      <c r="P6" s="27"/>
      <c r="Q6" s="161"/>
      <c r="R6" s="403"/>
      <c r="S6" s="161"/>
      <c r="T6" s="454"/>
      <c r="V6" s="348" t="s">
        <v>15</v>
      </c>
      <c r="W6" s="27">
        <v>8</v>
      </c>
      <c r="X6" s="27">
        <f>W6*8</f>
        <v>64</v>
      </c>
      <c r="Y6" s="151"/>
      <c r="Z6" s="387"/>
      <c r="AA6" s="387"/>
    </row>
    <row r="7" spans="1:27" ht="15" customHeight="1" thickBot="1" x14ac:dyDescent="0.25">
      <c r="A7" s="774"/>
      <c r="B7" s="774"/>
      <c r="C7" s="774"/>
      <c r="D7" s="774"/>
      <c r="E7" s="774"/>
      <c r="F7" s="776"/>
      <c r="H7" s="348" t="s">
        <v>124</v>
      </c>
      <c r="I7" s="27"/>
      <c r="J7" s="161">
        <f>$X$15</f>
        <v>230377.5</v>
      </c>
      <c r="K7" s="403">
        <f>$X$35</f>
        <v>0.5</v>
      </c>
      <c r="L7" s="161">
        <f t="shared" ref="L7" si="0">J7*K7</f>
        <v>115188.75</v>
      </c>
      <c r="M7" s="456"/>
      <c r="O7" s="348" t="s">
        <v>124</v>
      </c>
      <c r="P7" s="27"/>
      <c r="Q7" s="161">
        <f>$X$15</f>
        <v>230377.5</v>
      </c>
      <c r="R7" s="403">
        <f>$X$35</f>
        <v>0.5</v>
      </c>
      <c r="S7" s="161">
        <f t="shared" ref="S7" si="1">Q7*R7</f>
        <v>115188.75</v>
      </c>
      <c r="T7" s="454"/>
      <c r="V7" s="348" t="s">
        <v>17</v>
      </c>
      <c r="W7" s="27">
        <v>10</v>
      </c>
      <c r="X7" s="27">
        <f>W7*8</f>
        <v>80</v>
      </c>
      <c r="Y7" s="151"/>
      <c r="Z7" s="387"/>
      <c r="AA7" s="387"/>
    </row>
    <row r="8" spans="1:27" ht="13.15" x14ac:dyDescent="0.25">
      <c r="A8" s="390" t="s">
        <v>4</v>
      </c>
      <c r="B8" s="349">
        <f>$X$32</f>
        <v>15</v>
      </c>
      <c r="C8" s="390"/>
      <c r="D8" s="390" t="s">
        <v>5</v>
      </c>
      <c r="E8" s="301">
        <f>B8*365</f>
        <v>5475</v>
      </c>
      <c r="F8" s="391"/>
      <c r="H8" s="348" t="s">
        <v>145</v>
      </c>
      <c r="I8" s="27"/>
      <c r="J8" s="161">
        <f>$X$16</f>
        <v>195380</v>
      </c>
      <c r="K8" s="403">
        <f>$X$36</f>
        <v>1</v>
      </c>
      <c r="L8" s="161">
        <f>J8*K8</f>
        <v>195380</v>
      </c>
      <c r="M8" s="456"/>
      <c r="O8" s="348" t="s">
        <v>145</v>
      </c>
      <c r="P8" s="27"/>
      <c r="Q8" s="161">
        <f>$X$16</f>
        <v>195380</v>
      </c>
      <c r="R8" s="403">
        <f>$X$36</f>
        <v>1</v>
      </c>
      <c r="S8" s="161">
        <f>Q8*R8</f>
        <v>195380</v>
      </c>
      <c r="T8" s="454"/>
      <c r="V8" s="351" t="s">
        <v>19</v>
      </c>
      <c r="W8" s="34">
        <v>5</v>
      </c>
      <c r="X8" s="34">
        <f>W8*8</f>
        <v>40</v>
      </c>
      <c r="Y8" s="159"/>
      <c r="Z8" s="387"/>
      <c r="AA8" s="387"/>
    </row>
    <row r="9" spans="1:27" ht="13.15" x14ac:dyDescent="0.25">
      <c r="F9" s="392"/>
      <c r="H9" s="348" t="s">
        <v>18</v>
      </c>
      <c r="I9" s="27"/>
      <c r="J9" s="161">
        <f>$X$17</f>
        <v>86860.800000000003</v>
      </c>
      <c r="K9" s="403">
        <f>AK36</f>
        <v>4.0115384615384615</v>
      </c>
      <c r="L9" s="161">
        <f>J9*K9</f>
        <v>348445.44</v>
      </c>
      <c r="M9" s="456"/>
      <c r="O9" s="348" t="s">
        <v>18</v>
      </c>
      <c r="P9" s="27"/>
      <c r="Q9" s="161">
        <f>$X$17</f>
        <v>86860.800000000003</v>
      </c>
      <c r="R9" s="403">
        <f>AK46</f>
        <v>4.8138461538461543</v>
      </c>
      <c r="S9" s="161">
        <f>Q9*R9</f>
        <v>418134.52800000005</v>
      </c>
      <c r="T9" s="454"/>
      <c r="V9" s="348"/>
      <c r="W9" s="36" t="s">
        <v>21</v>
      </c>
      <c r="X9" s="27">
        <f>SUM(X5:X8)</f>
        <v>304</v>
      </c>
      <c r="Y9" s="160"/>
      <c r="Z9" s="387"/>
      <c r="AA9" s="387"/>
    </row>
    <row r="10" spans="1:27" ht="13.9" thickBot="1" x14ac:dyDescent="0.3">
      <c r="A10" s="394"/>
      <c r="B10" s="394"/>
      <c r="C10" s="395" t="s">
        <v>10</v>
      </c>
      <c r="D10" s="395" t="s">
        <v>11</v>
      </c>
      <c r="E10" s="395" t="s">
        <v>12</v>
      </c>
      <c r="F10" s="392"/>
      <c r="H10" s="348" t="s">
        <v>125</v>
      </c>
      <c r="I10" s="27"/>
      <c r="J10" s="161">
        <f>$X$18</f>
        <v>66085.577700000009</v>
      </c>
      <c r="K10" s="403">
        <f>$X$38</f>
        <v>1</v>
      </c>
      <c r="L10" s="161">
        <f>J10*K10</f>
        <v>66085.577700000009</v>
      </c>
      <c r="M10" s="456"/>
      <c r="O10" s="348" t="s">
        <v>125</v>
      </c>
      <c r="P10" s="27"/>
      <c r="Q10" s="161">
        <f>$X$18</f>
        <v>66085.577700000009</v>
      </c>
      <c r="R10" s="403">
        <f>$X$38</f>
        <v>1</v>
      </c>
      <c r="S10" s="161">
        <f>Q10*R10</f>
        <v>66085.577700000009</v>
      </c>
      <c r="T10" s="454"/>
      <c r="V10" s="352"/>
      <c r="W10" s="39" t="s">
        <v>23</v>
      </c>
      <c r="X10" s="40">
        <f>X9/(52*40)</f>
        <v>0.14615384615384616</v>
      </c>
      <c r="Y10" s="41"/>
    </row>
    <row r="11" spans="1:27" ht="13.9" thickBot="1" x14ac:dyDescent="0.3">
      <c r="A11" s="353" t="s">
        <v>14</v>
      </c>
      <c r="C11" s="303">
        <f>$X$13</f>
        <v>65844.961200000005</v>
      </c>
      <c r="D11" s="396">
        <f>$X$33</f>
        <v>4.0999999999999996</v>
      </c>
      <c r="E11" s="303">
        <f>C11*D11</f>
        <v>269964.34091999999</v>
      </c>
      <c r="F11" s="392"/>
      <c r="H11" s="348" t="s">
        <v>31</v>
      </c>
      <c r="I11" s="27"/>
      <c r="J11" s="161">
        <f>$X$19</f>
        <v>60923.199999999997</v>
      </c>
      <c r="K11" s="403">
        <f>$X$39</f>
        <v>1</v>
      </c>
      <c r="L11" s="161">
        <f t="shared" ref="L11:L12" si="2">J11*K11</f>
        <v>60923.199999999997</v>
      </c>
      <c r="M11" s="456"/>
      <c r="O11" s="348" t="s">
        <v>31</v>
      </c>
      <c r="P11" s="27"/>
      <c r="Q11" s="161">
        <f>$X$19</f>
        <v>60923.199999999997</v>
      </c>
      <c r="R11" s="403">
        <f>$X$39</f>
        <v>1</v>
      </c>
      <c r="S11" s="161">
        <f t="shared" ref="S11:S12" si="3">Q11*R11</f>
        <v>60923.199999999997</v>
      </c>
      <c r="T11" s="454"/>
    </row>
    <row r="12" spans="1:27" ht="13.15" x14ac:dyDescent="0.25">
      <c r="A12" s="355" t="s">
        <v>16</v>
      </c>
      <c r="C12" s="303"/>
      <c r="D12" s="396"/>
      <c r="E12" s="303"/>
      <c r="F12" s="392"/>
      <c r="H12" s="348" t="s">
        <v>126</v>
      </c>
      <c r="I12" s="27"/>
      <c r="J12" s="161">
        <f>X20</f>
        <v>52665.599999999999</v>
      </c>
      <c r="K12" s="403">
        <v>2</v>
      </c>
      <c r="L12" s="161">
        <f t="shared" si="2"/>
        <v>105331.2</v>
      </c>
      <c r="M12" s="456"/>
      <c r="O12" s="348" t="s">
        <v>126</v>
      </c>
      <c r="P12" s="27"/>
      <c r="Q12" s="161">
        <f>X20</f>
        <v>52665.599999999999</v>
      </c>
      <c r="R12" s="403">
        <v>2</v>
      </c>
      <c r="S12" s="161">
        <f t="shared" si="3"/>
        <v>105331.2</v>
      </c>
      <c r="T12" s="454"/>
      <c r="V12" s="398"/>
      <c r="W12" s="399"/>
      <c r="X12" s="400" t="s">
        <v>144</v>
      </c>
      <c r="Y12" s="401"/>
    </row>
    <row r="13" spans="1:27" ht="13.15" x14ac:dyDescent="0.25">
      <c r="A13" s="359" t="s">
        <v>124</v>
      </c>
      <c r="C13" s="303">
        <f>$X$15</f>
        <v>230377.5</v>
      </c>
      <c r="D13" s="396">
        <f>$X$35</f>
        <v>0.5</v>
      </c>
      <c r="E13" s="303">
        <f t="shared" ref="E13:E26" si="4">C13*D13</f>
        <v>115188.75</v>
      </c>
      <c r="F13" s="392"/>
      <c r="H13" s="346" t="s">
        <v>20</v>
      </c>
      <c r="I13" s="27"/>
      <c r="J13" s="161"/>
      <c r="K13" s="403"/>
      <c r="L13" s="161"/>
      <c r="M13" s="456"/>
      <c r="O13" s="346" t="s">
        <v>20</v>
      </c>
      <c r="P13" s="27"/>
      <c r="Q13" s="161"/>
      <c r="R13" s="403"/>
      <c r="S13" s="161"/>
      <c r="T13" s="454"/>
      <c r="V13" s="346" t="s">
        <v>14</v>
      </c>
      <c r="W13" s="149"/>
      <c r="X13" s="161">
        <f>'[3]CIRT (rebased)'!R13</f>
        <v>65844.961200000005</v>
      </c>
      <c r="Y13" s="402"/>
    </row>
    <row r="14" spans="1:27" ht="13.15" x14ac:dyDescent="0.25">
      <c r="A14" s="359" t="s">
        <v>145</v>
      </c>
      <c r="C14" s="303">
        <f>$X$16</f>
        <v>195380</v>
      </c>
      <c r="D14" s="396">
        <f>$X$36</f>
        <v>1</v>
      </c>
      <c r="E14" s="303">
        <f>C14*D14</f>
        <v>195380</v>
      </c>
      <c r="F14" s="392"/>
      <c r="H14" s="348" t="s">
        <v>127</v>
      </c>
      <c r="I14" s="27"/>
      <c r="J14" s="161">
        <f>$X$22</f>
        <v>38335.839899999999</v>
      </c>
      <c r="K14" s="403">
        <f>$X$42</f>
        <v>0.15</v>
      </c>
      <c r="L14" s="161">
        <f t="shared" ref="L14:L16" si="5">J14*K14</f>
        <v>5750.3759849999997</v>
      </c>
      <c r="M14" s="456"/>
      <c r="O14" s="348" t="s">
        <v>127</v>
      </c>
      <c r="P14" s="27"/>
      <c r="Q14" s="161">
        <f>$X$22</f>
        <v>38335.839899999999</v>
      </c>
      <c r="R14" s="403">
        <f>$X$42</f>
        <v>0.15</v>
      </c>
      <c r="S14" s="161">
        <f t="shared" ref="S14:S16" si="6">Q14*R14</f>
        <v>5750.3759849999997</v>
      </c>
      <c r="T14" s="454"/>
      <c r="V14" s="346" t="s">
        <v>16</v>
      </c>
      <c r="W14" s="149"/>
      <c r="X14" s="161"/>
      <c r="Y14" s="402"/>
    </row>
    <row r="15" spans="1:27" ht="13.15" x14ac:dyDescent="0.25">
      <c r="A15" s="359" t="s">
        <v>18</v>
      </c>
      <c r="C15" s="303">
        <f>$X$17</f>
        <v>86860.800000000003</v>
      </c>
      <c r="D15" s="166">
        <f>$X$37</f>
        <v>3</v>
      </c>
      <c r="E15" s="303">
        <f t="shared" si="4"/>
        <v>260582.40000000002</v>
      </c>
      <c r="F15" s="392"/>
      <c r="H15" s="348" t="s">
        <v>128</v>
      </c>
      <c r="I15" s="27"/>
      <c r="J15" s="161">
        <f>$X$23</f>
        <v>32198.400000000001</v>
      </c>
      <c r="K15" s="403">
        <f>$X$43</f>
        <v>1</v>
      </c>
      <c r="L15" s="161">
        <f t="shared" si="5"/>
        <v>32198.400000000001</v>
      </c>
      <c r="M15" s="456"/>
      <c r="O15" s="348" t="s">
        <v>128</v>
      </c>
      <c r="P15" s="27"/>
      <c r="Q15" s="161">
        <f>$X$23</f>
        <v>32198.400000000001</v>
      </c>
      <c r="R15" s="403">
        <f>$X$43</f>
        <v>1</v>
      </c>
      <c r="S15" s="161">
        <f t="shared" si="6"/>
        <v>32198.400000000001</v>
      </c>
      <c r="T15" s="454"/>
      <c r="V15" s="348" t="s">
        <v>124</v>
      </c>
      <c r="W15" s="149"/>
      <c r="X15" s="161">
        <f>'[3]Master Data '!D20</f>
        <v>230377.5</v>
      </c>
      <c r="Y15" s="402"/>
    </row>
    <row r="16" spans="1:27" ht="13.15" x14ac:dyDescent="0.25">
      <c r="A16" s="359" t="s">
        <v>125</v>
      </c>
      <c r="C16" s="303">
        <f>$X$18</f>
        <v>66085.577700000009</v>
      </c>
      <c r="D16" s="396">
        <f>$X$38</f>
        <v>1</v>
      </c>
      <c r="E16" s="303">
        <f t="shared" si="4"/>
        <v>66085.577700000009</v>
      </c>
      <c r="F16" s="392"/>
      <c r="H16" s="348" t="s">
        <v>25</v>
      </c>
      <c r="I16" s="27"/>
      <c r="J16" s="161">
        <f>$X$24</f>
        <v>32198.400000000001</v>
      </c>
      <c r="K16" s="403">
        <f>$X$44</f>
        <v>21.3</v>
      </c>
      <c r="L16" s="161">
        <f t="shared" si="5"/>
        <v>685825.92</v>
      </c>
      <c r="M16" s="456"/>
      <c r="O16" s="348" t="s">
        <v>25</v>
      </c>
      <c r="P16" s="27"/>
      <c r="Q16" s="161">
        <f>$X$24</f>
        <v>32198.400000000001</v>
      </c>
      <c r="R16" s="403">
        <f>$X$44</f>
        <v>21.3</v>
      </c>
      <c r="S16" s="161">
        <f t="shared" si="6"/>
        <v>685825.92</v>
      </c>
      <c r="T16" s="454"/>
      <c r="V16" s="360" t="s">
        <v>146</v>
      </c>
      <c r="W16" s="149"/>
      <c r="X16" s="161">
        <v>195380</v>
      </c>
      <c r="Y16" s="402"/>
    </row>
    <row r="17" spans="1:36" ht="13.15" x14ac:dyDescent="0.25">
      <c r="A17" s="359" t="s">
        <v>31</v>
      </c>
      <c r="C17" s="303">
        <f>$X$19</f>
        <v>60923.199999999997</v>
      </c>
      <c r="D17" s="396">
        <f>$X$39</f>
        <v>1</v>
      </c>
      <c r="E17" s="303">
        <f t="shared" si="4"/>
        <v>60923.199999999997</v>
      </c>
      <c r="F17" s="392"/>
      <c r="H17" s="348" t="s">
        <v>34</v>
      </c>
      <c r="I17" s="27"/>
      <c r="J17" s="161">
        <f>$X$24</f>
        <v>32198.400000000001</v>
      </c>
      <c r="K17" s="403">
        <v>1</v>
      </c>
      <c r="L17" s="161">
        <f>J17*K17</f>
        <v>32198.400000000001</v>
      </c>
      <c r="M17" s="456"/>
      <c r="O17" s="348" t="s">
        <v>34</v>
      </c>
      <c r="P17" s="27"/>
      <c r="Q17" s="161">
        <f>$X$24</f>
        <v>32198.400000000001</v>
      </c>
      <c r="R17" s="403">
        <v>1</v>
      </c>
      <c r="S17" s="161">
        <f>Q17*R17</f>
        <v>32198.400000000001</v>
      </c>
      <c r="T17" s="454"/>
      <c r="V17" s="348" t="s">
        <v>18</v>
      </c>
      <c r="W17" s="149"/>
      <c r="X17" s="161">
        <f>'Salary Bench Chart'!C20</f>
        <v>86860.800000000003</v>
      </c>
      <c r="Y17" s="402"/>
    </row>
    <row r="18" spans="1:36" ht="13.15" x14ac:dyDescent="0.25">
      <c r="A18" s="359" t="s">
        <v>126</v>
      </c>
      <c r="C18" s="303">
        <f>$X$20</f>
        <v>52665.599999999999</v>
      </c>
      <c r="D18" s="396">
        <f>$X$40</f>
        <v>1</v>
      </c>
      <c r="E18" s="303">
        <f t="shared" si="4"/>
        <v>52665.599999999999</v>
      </c>
      <c r="F18" s="392"/>
      <c r="H18" s="362" t="s">
        <v>27</v>
      </c>
      <c r="I18" s="27"/>
      <c r="J18" s="161">
        <f>$X$25</f>
        <v>32198.400000000001</v>
      </c>
      <c r="K18" s="403">
        <f>$X$45</f>
        <v>3.1949999999999998</v>
      </c>
      <c r="L18" s="161">
        <f>J18*K18</f>
        <v>102873.88800000001</v>
      </c>
      <c r="M18" s="456"/>
      <c r="O18" s="362" t="s">
        <v>27</v>
      </c>
      <c r="P18" s="27"/>
      <c r="Q18" s="161">
        <f>$X$25</f>
        <v>32198.400000000001</v>
      </c>
      <c r="R18" s="403">
        <f>$X$45</f>
        <v>3.1949999999999998</v>
      </c>
      <c r="S18" s="161">
        <f>Q18*R18</f>
        <v>102873.88800000001</v>
      </c>
      <c r="T18" s="454"/>
      <c r="V18" s="348" t="s">
        <v>125</v>
      </c>
      <c r="W18" s="149"/>
      <c r="X18" s="161">
        <f>'[3]CIRT (rebased)'!R17</f>
        <v>66085.577700000009</v>
      </c>
      <c r="Y18" s="402"/>
    </row>
    <row r="19" spans="1:36" ht="13.15" x14ac:dyDescent="0.25">
      <c r="A19" s="355" t="s">
        <v>20</v>
      </c>
      <c r="C19" s="303"/>
      <c r="D19" s="396"/>
      <c r="E19" s="303"/>
      <c r="F19" s="392"/>
      <c r="H19" s="346" t="s">
        <v>28</v>
      </c>
      <c r="I19" s="27"/>
      <c r="J19" s="161"/>
      <c r="K19" s="403"/>
      <c r="L19" s="161"/>
      <c r="M19" s="456"/>
      <c r="O19" s="346" t="s">
        <v>28</v>
      </c>
      <c r="P19" s="27"/>
      <c r="Q19" s="161"/>
      <c r="R19" s="403"/>
      <c r="S19" s="161"/>
      <c r="T19" s="454"/>
      <c r="V19" s="348" t="s">
        <v>31</v>
      </c>
      <c r="W19" s="149"/>
      <c r="X19" s="161">
        <f>'Salary Bench Chart'!C14</f>
        <v>60923.199999999997</v>
      </c>
      <c r="Y19" s="402"/>
    </row>
    <row r="20" spans="1:36" ht="13.15" x14ac:dyDescent="0.25">
      <c r="A20" s="359" t="s">
        <v>127</v>
      </c>
      <c r="C20" s="303">
        <f>$X$22</f>
        <v>38335.839899999999</v>
      </c>
      <c r="D20" s="396">
        <f>$X$42</f>
        <v>0.15</v>
      </c>
      <c r="E20" s="303">
        <f t="shared" si="4"/>
        <v>5750.3759849999997</v>
      </c>
      <c r="F20" s="392"/>
      <c r="H20" s="348" t="s">
        <v>29</v>
      </c>
      <c r="I20" s="27"/>
      <c r="J20" s="161">
        <f>$X$27</f>
        <v>32198.400000000001</v>
      </c>
      <c r="K20" s="403">
        <f>$X$47</f>
        <v>1.25</v>
      </c>
      <c r="L20" s="161">
        <f t="shared" ref="L20:L21" si="7">J20*K20</f>
        <v>40248</v>
      </c>
      <c r="M20" s="456"/>
      <c r="O20" s="348" t="s">
        <v>29</v>
      </c>
      <c r="P20" s="27"/>
      <c r="Q20" s="161">
        <f>$X$27</f>
        <v>32198.400000000001</v>
      </c>
      <c r="R20" s="403">
        <f>$X$47</f>
        <v>1.25</v>
      </c>
      <c r="S20" s="161">
        <f t="shared" ref="S20:S21" si="8">Q20*R20</f>
        <v>40248</v>
      </c>
      <c r="T20" s="454"/>
      <c r="V20" s="348" t="s">
        <v>126</v>
      </c>
      <c r="W20" s="149"/>
      <c r="X20" s="161">
        <f>'Salary Bench Chart'!C12</f>
        <v>52665.599999999999</v>
      </c>
      <c r="Y20" s="402"/>
    </row>
    <row r="21" spans="1:36" ht="13.15" x14ac:dyDescent="0.25">
      <c r="A21" s="359" t="s">
        <v>128</v>
      </c>
      <c r="C21" s="303">
        <f>$X$23</f>
        <v>32198.400000000001</v>
      </c>
      <c r="D21" s="396">
        <f>$X$43</f>
        <v>1</v>
      </c>
      <c r="E21" s="303">
        <f t="shared" si="4"/>
        <v>32198.400000000001</v>
      </c>
      <c r="F21" s="392"/>
      <c r="H21" s="348" t="s">
        <v>147</v>
      </c>
      <c r="I21" s="27"/>
      <c r="J21" s="161">
        <f>$X$28</f>
        <v>32198.400000000001</v>
      </c>
      <c r="K21" s="403">
        <f>$X$48</f>
        <v>4.5</v>
      </c>
      <c r="L21" s="161">
        <f t="shared" si="7"/>
        <v>144892.80000000002</v>
      </c>
      <c r="M21" s="456"/>
      <c r="O21" s="348" t="s">
        <v>147</v>
      </c>
      <c r="P21" s="27"/>
      <c r="Q21" s="161">
        <f>$X$28</f>
        <v>32198.400000000001</v>
      </c>
      <c r="R21" s="403">
        <f>$X$48</f>
        <v>4.5</v>
      </c>
      <c r="S21" s="161">
        <f t="shared" si="8"/>
        <v>144892.80000000002</v>
      </c>
      <c r="T21" s="454"/>
      <c r="V21" s="346" t="s">
        <v>20</v>
      </c>
      <c r="W21" s="149"/>
      <c r="X21" s="161"/>
      <c r="Y21" s="402"/>
    </row>
    <row r="22" spans="1:36" ht="13.15" x14ac:dyDescent="0.25">
      <c r="A22" s="359" t="s">
        <v>25</v>
      </c>
      <c r="C22" s="303">
        <f>$X$24</f>
        <v>32198.400000000001</v>
      </c>
      <c r="D22" s="396">
        <f>$X$44</f>
        <v>21.3</v>
      </c>
      <c r="E22" s="303">
        <f t="shared" si="4"/>
        <v>685825.92</v>
      </c>
      <c r="F22" s="392"/>
      <c r="H22" s="457" t="s">
        <v>30</v>
      </c>
      <c r="I22" s="407"/>
      <c r="J22" s="404"/>
      <c r="K22" s="408">
        <f>SUM(K5:K21)</f>
        <v>46.006538461538462</v>
      </c>
      <c r="L22" s="406">
        <f>SUM(L5:L21)</f>
        <v>2205306.2926050001</v>
      </c>
      <c r="M22" s="456"/>
      <c r="O22" s="457" t="s">
        <v>30</v>
      </c>
      <c r="P22" s="407"/>
      <c r="Q22" s="404"/>
      <c r="R22" s="408">
        <f>SUM(R5:R21)</f>
        <v>46.808846153846154</v>
      </c>
      <c r="S22" s="406">
        <f>SUM(S5:S21)</f>
        <v>2274995.3806050001</v>
      </c>
      <c r="T22" s="454"/>
      <c r="V22" s="348" t="s">
        <v>127</v>
      </c>
      <c r="W22" s="149"/>
      <c r="X22" s="161">
        <f>'[3]Master Data '!D47</f>
        <v>38335.839899999999</v>
      </c>
      <c r="Y22" s="402"/>
    </row>
    <row r="23" spans="1:36" ht="13.15" x14ac:dyDescent="0.25">
      <c r="A23" s="361" t="s">
        <v>27</v>
      </c>
      <c r="C23" s="303">
        <f>$X$25</f>
        <v>32198.400000000001</v>
      </c>
      <c r="D23" s="396">
        <f>$X$45</f>
        <v>3.1949999999999998</v>
      </c>
      <c r="E23" s="303">
        <f>C23*D23</f>
        <v>102873.88800000001</v>
      </c>
      <c r="F23" s="392"/>
      <c r="H23" s="190"/>
      <c r="I23" s="27"/>
      <c r="J23" s="149"/>
      <c r="K23" s="149"/>
      <c r="L23" s="149"/>
      <c r="M23" s="456"/>
      <c r="O23" s="190"/>
      <c r="P23" s="468"/>
      <c r="Q23" s="149"/>
      <c r="R23" s="149"/>
      <c r="S23" s="149"/>
      <c r="T23" s="454"/>
      <c r="V23" s="348" t="s">
        <v>128</v>
      </c>
      <c r="W23" s="149"/>
      <c r="X23" s="161">
        <f>'Salary Bench Chart'!C4</f>
        <v>32198.400000000001</v>
      </c>
      <c r="Y23" s="402"/>
    </row>
    <row r="24" spans="1:36" ht="13.15" x14ac:dyDescent="0.25">
      <c r="A24" s="355" t="s">
        <v>28</v>
      </c>
      <c r="C24" s="303"/>
      <c r="D24" s="396"/>
      <c r="E24" s="303"/>
      <c r="F24" s="392"/>
      <c r="H24" s="458" t="s">
        <v>32</v>
      </c>
      <c r="I24" s="27"/>
      <c r="J24" s="149"/>
      <c r="K24" s="418" t="s">
        <v>33</v>
      </c>
      <c r="L24" s="149"/>
      <c r="M24" s="456"/>
      <c r="O24" s="458" t="s">
        <v>32</v>
      </c>
      <c r="P24" s="27"/>
      <c r="Q24" s="149"/>
      <c r="R24" s="418" t="s">
        <v>33</v>
      </c>
      <c r="S24" s="149"/>
      <c r="T24" s="454"/>
      <c r="V24" s="348" t="s">
        <v>25</v>
      </c>
      <c r="W24" s="149"/>
      <c r="X24" s="161">
        <f>'Salary Bench Chart'!C4</f>
        <v>32198.400000000001</v>
      </c>
      <c r="Y24" s="402"/>
    </row>
    <row r="25" spans="1:36" ht="13.15" x14ac:dyDescent="0.25">
      <c r="A25" s="359" t="s">
        <v>29</v>
      </c>
      <c r="C25" s="303">
        <f>$X$27</f>
        <v>32198.400000000001</v>
      </c>
      <c r="D25" s="396">
        <f>$X$47</f>
        <v>1.25</v>
      </c>
      <c r="E25" s="303">
        <f t="shared" si="4"/>
        <v>40248</v>
      </c>
      <c r="F25" s="392"/>
      <c r="H25" s="190" t="s">
        <v>35</v>
      </c>
      <c r="I25" s="27"/>
      <c r="J25" s="191">
        <f>X52</f>
        <v>0.22309999999999999</v>
      </c>
      <c r="K25" s="149"/>
      <c r="L25" s="161">
        <f>J25*L22</f>
        <v>492003.83388017549</v>
      </c>
      <c r="M25" s="456"/>
      <c r="O25" s="190" t="s">
        <v>35</v>
      </c>
      <c r="P25" s="27"/>
      <c r="Q25" s="191">
        <f>X52</f>
        <v>0.22309999999999999</v>
      </c>
      <c r="R25" s="149"/>
      <c r="S25" s="161">
        <f>Q25*S22</f>
        <v>507551.46941297548</v>
      </c>
      <c r="T25" s="454"/>
      <c r="V25" s="362" t="s">
        <v>27</v>
      </c>
      <c r="W25" s="149"/>
      <c r="X25" s="161">
        <f>'Salary Bench Chart'!C4</f>
        <v>32198.400000000001</v>
      </c>
      <c r="Y25" s="402"/>
    </row>
    <row r="26" spans="1:36" ht="13.15" x14ac:dyDescent="0.25">
      <c r="A26" s="359" t="s">
        <v>147</v>
      </c>
      <c r="C26" s="303">
        <f>$X$28</f>
        <v>32198.400000000001</v>
      </c>
      <c r="D26" s="396">
        <f>$X$48</f>
        <v>4.5</v>
      </c>
      <c r="E26" s="303">
        <f t="shared" si="4"/>
        <v>144892.80000000002</v>
      </c>
      <c r="F26" s="392"/>
      <c r="H26" s="457" t="s">
        <v>36</v>
      </c>
      <c r="I26" s="407"/>
      <c r="J26" s="404"/>
      <c r="K26" s="413">
        <f>L26/L3</f>
        <v>492.65938383290876</v>
      </c>
      <c r="L26" s="406">
        <f>L25+L22</f>
        <v>2697310.1264851755</v>
      </c>
      <c r="M26" s="456"/>
      <c r="O26" s="457" t="s">
        <v>36</v>
      </c>
      <c r="P26" s="407"/>
      <c r="Q26" s="404"/>
      <c r="R26" s="413">
        <f>S26/S3</f>
        <v>508.22773516310053</v>
      </c>
      <c r="S26" s="406">
        <f>S25+S22</f>
        <v>2782546.8500179756</v>
      </c>
      <c r="T26" s="454"/>
      <c r="V26" s="346" t="s">
        <v>28</v>
      </c>
      <c r="W26" s="149"/>
      <c r="X26" s="161"/>
      <c r="Y26" s="402"/>
    </row>
    <row r="27" spans="1:36" ht="13.15" x14ac:dyDescent="0.25">
      <c r="A27" s="404" t="s">
        <v>30</v>
      </c>
      <c r="B27" s="404"/>
      <c r="C27" s="404"/>
      <c r="D27" s="405">
        <f>SUM(D11:D26)</f>
        <v>42.994999999999997</v>
      </c>
      <c r="E27" s="406">
        <f>SUM(E11:E26)</f>
        <v>2032579.252605</v>
      </c>
      <c r="F27" s="392"/>
      <c r="H27" s="458" t="str">
        <f>'[3]Master Data '!B128</f>
        <v>PFMLA Trust Contribution</v>
      </c>
      <c r="I27" s="417">
        <f>X53</f>
        <v>3.7000000000000002E-3</v>
      </c>
      <c r="J27" s="418"/>
      <c r="K27" s="197"/>
      <c r="L27" s="224">
        <f>L22*I27</f>
        <v>8159.6332826385005</v>
      </c>
      <c r="M27" s="456"/>
      <c r="O27" s="458" t="str">
        <f>H27</f>
        <v>PFMLA Trust Contribution</v>
      </c>
      <c r="P27" s="417">
        <f>X53</f>
        <v>3.7000000000000002E-3</v>
      </c>
      <c r="Q27" s="418"/>
      <c r="R27" s="197"/>
      <c r="S27" s="224">
        <f>S22*P27</f>
        <v>8417.4829082385004</v>
      </c>
      <c r="T27" s="454"/>
      <c r="V27" s="348" t="s">
        <v>29</v>
      </c>
      <c r="W27" s="149"/>
      <c r="X27" s="161">
        <f>'Salary Bench Chart'!C4</f>
        <v>32198.400000000001</v>
      </c>
      <c r="Y27" s="402"/>
    </row>
    <row r="28" spans="1:36" ht="13.15" x14ac:dyDescent="0.25">
      <c r="F28" s="392"/>
      <c r="H28" s="190"/>
      <c r="I28" s="27"/>
      <c r="J28" s="149"/>
      <c r="K28" s="149"/>
      <c r="L28" s="149"/>
      <c r="M28" s="456"/>
      <c r="O28" s="190"/>
      <c r="P28" s="27"/>
      <c r="Q28" s="149"/>
      <c r="R28" s="149"/>
      <c r="S28" s="149"/>
      <c r="T28" s="454"/>
      <c r="V28" s="348" t="s">
        <v>147</v>
      </c>
      <c r="W28" s="149"/>
      <c r="X28" s="161">
        <f>'Salary Bench Chart'!C4</f>
        <v>32198.400000000001</v>
      </c>
      <c r="Y28" s="402"/>
      <c r="AC28" s="409" t="s">
        <v>148</v>
      </c>
    </row>
    <row r="29" spans="1:36" ht="13.15" x14ac:dyDescent="0.25">
      <c r="A29" s="390" t="s">
        <v>32</v>
      </c>
      <c r="D29" s="390" t="s">
        <v>33</v>
      </c>
      <c r="F29" s="392"/>
      <c r="H29" s="190" t="s">
        <v>38</v>
      </c>
      <c r="I29" s="27"/>
      <c r="J29" s="149"/>
      <c r="K29" s="202">
        <f>X54</f>
        <v>11.2629</v>
      </c>
      <c r="L29" s="226">
        <f>K29*L3</f>
        <v>61664.377500000002</v>
      </c>
      <c r="M29" s="459"/>
      <c r="O29" s="190" t="s">
        <v>38</v>
      </c>
      <c r="P29" s="27"/>
      <c r="Q29" s="149"/>
      <c r="R29" s="202">
        <f>$X$54</f>
        <v>11.2629</v>
      </c>
      <c r="S29" s="226">
        <f>R29*S3</f>
        <v>61664.377500000002</v>
      </c>
      <c r="T29" s="454"/>
      <c r="V29" s="348"/>
      <c r="W29" s="149"/>
      <c r="X29" s="161"/>
      <c r="Y29" s="402"/>
      <c r="AD29" s="350" t="s">
        <v>149</v>
      </c>
      <c r="AE29" s="350" t="s">
        <v>150</v>
      </c>
      <c r="AF29" s="350" t="s">
        <v>151</v>
      </c>
      <c r="AG29" s="350" t="s">
        <v>152</v>
      </c>
      <c r="AH29" s="350" t="s">
        <v>153</v>
      </c>
      <c r="AI29" s="350" t="s">
        <v>154</v>
      </c>
      <c r="AJ29" s="350" t="s">
        <v>155</v>
      </c>
    </row>
    <row r="30" spans="1:36" ht="13.15" x14ac:dyDescent="0.25">
      <c r="A30" s="205" t="s">
        <v>35</v>
      </c>
      <c r="C30" s="410">
        <f>$X$52</f>
        <v>0.22309999999999999</v>
      </c>
      <c r="E30" s="303">
        <f>C30*E27</f>
        <v>453468.43125617551</v>
      </c>
      <c r="F30" s="392"/>
      <c r="H30" s="190" t="s">
        <v>39</v>
      </c>
      <c r="I30" s="27"/>
      <c r="J30" s="149"/>
      <c r="K30" s="202">
        <v>46.35</v>
      </c>
      <c r="L30" s="226">
        <f>K30*L3</f>
        <v>253766.25</v>
      </c>
      <c r="M30" s="459"/>
      <c r="O30" s="190" t="s">
        <v>39</v>
      </c>
      <c r="P30" s="27"/>
      <c r="Q30" s="149"/>
      <c r="R30" s="202">
        <v>46.35</v>
      </c>
      <c r="S30" s="226">
        <f>R30*S3</f>
        <v>253766.25</v>
      </c>
      <c r="T30" s="454"/>
      <c r="V30" s="190"/>
      <c r="W30" s="149"/>
      <c r="X30" s="411" t="s">
        <v>41</v>
      </c>
      <c r="Y30" s="402"/>
      <c r="AC30" s="205" t="s">
        <v>156</v>
      </c>
      <c r="AD30" s="412">
        <v>8</v>
      </c>
      <c r="AE30" s="412">
        <v>8</v>
      </c>
      <c r="AF30" s="412">
        <v>8</v>
      </c>
      <c r="AG30" s="412">
        <v>8</v>
      </c>
      <c r="AH30" s="412">
        <v>8</v>
      </c>
      <c r="AI30" s="412">
        <v>8</v>
      </c>
      <c r="AJ30" s="412">
        <v>8</v>
      </c>
    </row>
    <row r="31" spans="1:36" ht="13.15" x14ac:dyDescent="0.25">
      <c r="A31" s="404" t="s">
        <v>36</v>
      </c>
      <c r="B31" s="404"/>
      <c r="C31" s="404"/>
      <c r="D31" s="413">
        <f>E31/E8</f>
        <v>454.07263632167587</v>
      </c>
      <c r="E31" s="406">
        <f>E30+E27</f>
        <v>2486047.6838611756</v>
      </c>
      <c r="F31" s="392"/>
      <c r="H31" s="190"/>
      <c r="I31" s="27"/>
      <c r="J31" s="149"/>
      <c r="K31" s="420">
        <f>SUM(K29:K30)</f>
        <v>57.612900000000003</v>
      </c>
      <c r="L31" s="149"/>
      <c r="M31" s="456"/>
      <c r="O31" s="190"/>
      <c r="P31" s="27"/>
      <c r="Q31" s="149"/>
      <c r="R31" s="420">
        <f>SUM(R29:R30)</f>
        <v>57.612900000000003</v>
      </c>
      <c r="S31" s="149"/>
      <c r="T31" s="454"/>
      <c r="V31" s="190" t="s">
        <v>42</v>
      </c>
      <c r="W31" s="414"/>
      <c r="X31" s="414"/>
      <c r="Y31" s="415"/>
      <c r="AC31" s="205" t="s">
        <v>157</v>
      </c>
      <c r="AD31" s="412">
        <v>8</v>
      </c>
      <c r="AE31" s="412">
        <v>8</v>
      </c>
      <c r="AF31" s="412">
        <v>8</v>
      </c>
      <c r="AG31" s="412">
        <v>8</v>
      </c>
      <c r="AH31" s="412">
        <v>8</v>
      </c>
      <c r="AI31" s="412">
        <v>8</v>
      </c>
      <c r="AJ31" s="412">
        <v>8</v>
      </c>
    </row>
    <row r="32" spans="1:36" ht="13.15" x14ac:dyDescent="0.25">
      <c r="F32" s="392"/>
      <c r="H32" s="190"/>
      <c r="I32" s="27"/>
      <c r="J32" s="149"/>
      <c r="K32" s="149"/>
      <c r="L32" s="149"/>
      <c r="M32" s="456"/>
      <c r="O32" s="190"/>
      <c r="P32" s="27"/>
      <c r="Q32" s="149"/>
      <c r="R32" s="149"/>
      <c r="S32" s="149"/>
      <c r="T32" s="454"/>
      <c r="V32" s="190" t="s">
        <v>48</v>
      </c>
      <c r="W32" s="34"/>
      <c r="X32" s="34">
        <v>15</v>
      </c>
      <c r="Y32" s="416"/>
      <c r="AC32" s="205" t="s">
        <v>158</v>
      </c>
      <c r="AD32" s="412">
        <v>4</v>
      </c>
      <c r="AE32" s="412">
        <v>4</v>
      </c>
      <c r="AF32" s="412">
        <v>4</v>
      </c>
      <c r="AG32" s="412">
        <v>4</v>
      </c>
      <c r="AH32" s="412">
        <v>4</v>
      </c>
      <c r="AI32" s="412">
        <v>4</v>
      </c>
      <c r="AJ32" s="412">
        <v>4</v>
      </c>
    </row>
    <row r="33" spans="1:38" ht="13.15" x14ac:dyDescent="0.25">
      <c r="A33" s="205" t="s">
        <v>38</v>
      </c>
      <c r="D33" s="326">
        <f>$X$54</f>
        <v>11.2629</v>
      </c>
      <c r="E33" s="333">
        <f>D33*E8</f>
        <v>61664.377500000002</v>
      </c>
      <c r="F33" s="392"/>
      <c r="H33" s="457" t="s">
        <v>40</v>
      </c>
      <c r="I33" s="407"/>
      <c r="J33" s="404"/>
      <c r="K33" s="404"/>
      <c r="L33" s="406">
        <f>SUM(L26:L30)</f>
        <v>3020900.387267814</v>
      </c>
      <c r="M33" s="454"/>
      <c r="O33" s="457" t="s">
        <v>40</v>
      </c>
      <c r="P33" s="407"/>
      <c r="Q33" s="404"/>
      <c r="R33" s="404"/>
      <c r="S33" s="406">
        <f>SUM(S26:S30)</f>
        <v>3106394.9604262142</v>
      </c>
      <c r="T33" s="454"/>
      <c r="V33" s="346" t="s">
        <v>14</v>
      </c>
      <c r="W33" s="166"/>
      <c r="X33" s="166">
        <v>4.0999999999999996</v>
      </c>
      <c r="Y33" s="419"/>
      <c r="AK33" s="205">
        <f>SUM(AD30:AJ32)</f>
        <v>140</v>
      </c>
      <c r="AL33" s="205" t="s">
        <v>159</v>
      </c>
    </row>
    <row r="34" spans="1:38" ht="13.15" x14ac:dyDescent="0.25">
      <c r="A34" s="149" t="s">
        <v>39</v>
      </c>
      <c r="D34" s="326">
        <f>$X$55</f>
        <v>25.44</v>
      </c>
      <c r="E34" s="333">
        <f>D34*E8</f>
        <v>139284</v>
      </c>
      <c r="F34" s="392"/>
      <c r="H34" s="190"/>
      <c r="I34" s="27"/>
      <c r="J34" s="149"/>
      <c r="K34" s="149"/>
      <c r="L34" s="149"/>
      <c r="M34" s="454"/>
      <c r="O34" s="190"/>
      <c r="P34" s="27"/>
      <c r="Q34" s="149"/>
      <c r="R34" s="149"/>
      <c r="S34" s="149"/>
      <c r="T34" s="454"/>
      <c r="V34" s="346" t="s">
        <v>16</v>
      </c>
      <c r="W34" s="166"/>
      <c r="X34" s="166"/>
      <c r="Y34" s="419"/>
      <c r="AK34" s="205">
        <f>AK33/40</f>
        <v>3.5</v>
      </c>
      <c r="AL34" s="205" t="s">
        <v>11</v>
      </c>
    </row>
    <row r="35" spans="1:38" ht="13.15" x14ac:dyDescent="0.25">
      <c r="D35" s="420">
        <f>SUM(D33:D34)</f>
        <v>36.7029</v>
      </c>
      <c r="F35" s="392"/>
      <c r="H35" s="190" t="s">
        <v>47</v>
      </c>
      <c r="I35" s="27"/>
      <c r="J35" s="191">
        <f>'[3]Master Data '!D131</f>
        <v>9.4700000000000006E-2</v>
      </c>
      <c r="K35" s="149"/>
      <c r="L35" s="161">
        <f>J35*L33</f>
        <v>286079.26667426201</v>
      </c>
      <c r="M35" s="454"/>
      <c r="O35" s="190" t="s">
        <v>47</v>
      </c>
      <c r="P35" s="27"/>
      <c r="Q35" s="191">
        <f>X58</f>
        <v>9.4700000000000006E-2</v>
      </c>
      <c r="R35" s="149"/>
      <c r="S35" s="161">
        <f>Q35*S33</f>
        <v>294175.60275236249</v>
      </c>
      <c r="T35" s="454"/>
      <c r="V35" s="348" t="s">
        <v>124</v>
      </c>
      <c r="W35" s="166"/>
      <c r="X35" s="166">
        <v>0.5</v>
      </c>
      <c r="Y35" s="419"/>
      <c r="AK35" s="421">
        <f>AK34*X10</f>
        <v>0.51153846153846161</v>
      </c>
      <c r="AL35" s="205" t="s">
        <v>160</v>
      </c>
    </row>
    <row r="36" spans="1:38" ht="13.15" x14ac:dyDescent="0.25">
      <c r="F36" s="392"/>
      <c r="H36" s="190"/>
      <c r="I36" s="27"/>
      <c r="J36" s="149"/>
      <c r="K36" s="149"/>
      <c r="L36" s="149"/>
      <c r="M36" s="454"/>
      <c r="O36" s="190"/>
      <c r="P36" s="27"/>
      <c r="Q36" s="149"/>
      <c r="R36" s="149"/>
      <c r="S36" s="149"/>
      <c r="T36" s="454"/>
      <c r="V36" s="360" t="s">
        <v>146</v>
      </c>
      <c r="W36" s="166"/>
      <c r="X36" s="166">
        <v>1</v>
      </c>
      <c r="Y36" s="419"/>
      <c r="AK36" s="421">
        <f>SUM(AK34:AK35)</f>
        <v>4.0115384615384615</v>
      </c>
      <c r="AL36" s="205" t="s">
        <v>161</v>
      </c>
    </row>
    <row r="37" spans="1:38" ht="13.9" thickBot="1" x14ac:dyDescent="0.3">
      <c r="A37" s="404" t="s">
        <v>40</v>
      </c>
      <c r="B37" s="404"/>
      <c r="C37" s="404"/>
      <c r="D37" s="404"/>
      <c r="E37" s="406">
        <f>SUM(E31:E34)</f>
        <v>2686996.0613611755</v>
      </c>
      <c r="F37" s="392"/>
      <c r="H37" s="460" t="s">
        <v>49</v>
      </c>
      <c r="I37" s="425"/>
      <c r="J37" s="423"/>
      <c r="K37" s="423"/>
      <c r="L37" s="424">
        <f>SUM(L33:L35)</f>
        <v>3306979.653942076</v>
      </c>
      <c r="M37" s="461">
        <f>L37</f>
        <v>3306979.653942076</v>
      </c>
      <c r="O37" s="460" t="s">
        <v>49</v>
      </c>
      <c r="P37" s="425"/>
      <c r="Q37" s="423"/>
      <c r="R37" s="423"/>
      <c r="S37" s="424">
        <f>SUM(S33:S35)</f>
        <v>3400570.5631785765</v>
      </c>
      <c r="T37" s="461">
        <f>S37</f>
        <v>3400570.5631785765</v>
      </c>
      <c r="V37" s="359" t="s">
        <v>18</v>
      </c>
      <c r="W37" s="166"/>
      <c r="X37" s="166">
        <v>3</v>
      </c>
      <c r="Y37" s="419"/>
    </row>
    <row r="38" spans="1:38" ht="13.9" thickTop="1" x14ac:dyDescent="0.25">
      <c r="F38" s="392"/>
      <c r="H38" s="190"/>
      <c r="I38" s="27"/>
      <c r="J38" s="149"/>
      <c r="K38" s="149"/>
      <c r="L38" s="149"/>
      <c r="M38" s="454"/>
      <c r="O38" s="190"/>
      <c r="P38" s="27"/>
      <c r="Q38" s="149"/>
      <c r="R38" s="149"/>
      <c r="S38" s="149"/>
      <c r="T38" s="454"/>
      <c r="V38" s="348" t="s">
        <v>125</v>
      </c>
      <c r="W38" s="166"/>
      <c r="X38" s="166">
        <v>1</v>
      </c>
      <c r="Y38" s="419"/>
      <c r="AC38" s="409" t="s">
        <v>162</v>
      </c>
    </row>
    <row r="39" spans="1:38" ht="13.15" x14ac:dyDescent="0.25">
      <c r="A39" s="205" t="s">
        <v>47</v>
      </c>
      <c r="C39" s="410">
        <f>$X$58</f>
        <v>9.4700000000000006E-2</v>
      </c>
      <c r="E39" s="303">
        <f>C39*E37</f>
        <v>254458.52701090334</v>
      </c>
      <c r="F39" s="392"/>
      <c r="H39" s="190" t="s">
        <v>132</v>
      </c>
      <c r="I39" s="27"/>
      <c r="J39" s="191">
        <v>1.78E-2</v>
      </c>
      <c r="K39" s="149"/>
      <c r="L39" s="462">
        <f>(L37*J39+1)-(L22*J39+1)</f>
        <v>19609.785831799949</v>
      </c>
      <c r="M39" s="463">
        <f>M37+L39</f>
        <v>3326589.4397738758</v>
      </c>
      <c r="O39" s="457" t="s">
        <v>163</v>
      </c>
      <c r="P39" s="27"/>
      <c r="Q39" s="191">
        <f>X60</f>
        <v>1.78E-2</v>
      </c>
      <c r="R39" s="149"/>
      <c r="S39" s="462">
        <f>(S37*Q39)-(S22*Q39)</f>
        <v>20035.238249809663</v>
      </c>
      <c r="T39" s="463">
        <f>(T37+S39)-(S22*Q39)</f>
        <v>3380110.883653617</v>
      </c>
      <c r="V39" s="348" t="s">
        <v>31</v>
      </c>
      <c r="W39" s="166"/>
      <c r="X39" s="166">
        <v>1</v>
      </c>
      <c r="Y39" s="419"/>
      <c r="AD39" s="350" t="s">
        <v>149</v>
      </c>
      <c r="AE39" s="350" t="s">
        <v>150</v>
      </c>
      <c r="AF39" s="350" t="s">
        <v>151</v>
      </c>
      <c r="AG39" s="350" t="s">
        <v>152</v>
      </c>
      <c r="AH39" s="350" t="s">
        <v>153</v>
      </c>
      <c r="AI39" s="350" t="s">
        <v>154</v>
      </c>
      <c r="AJ39" s="350" t="s">
        <v>155</v>
      </c>
    </row>
    <row r="40" spans="1:38" ht="13.15" x14ac:dyDescent="0.25">
      <c r="F40" s="392"/>
      <c r="H40" s="190"/>
      <c r="I40" s="27"/>
      <c r="J40" s="149"/>
      <c r="K40" s="149"/>
      <c r="L40" s="149"/>
      <c r="M40" s="454"/>
      <c r="O40" s="190"/>
      <c r="P40" s="27"/>
      <c r="Q40" s="149"/>
      <c r="R40" s="149"/>
      <c r="S40" s="149"/>
      <c r="T40" s="454"/>
      <c r="V40" s="348" t="s">
        <v>126</v>
      </c>
      <c r="W40" s="166"/>
      <c r="X40" s="166">
        <v>1</v>
      </c>
      <c r="Y40" s="419"/>
      <c r="AC40" s="205" t="s">
        <v>156</v>
      </c>
      <c r="AD40" s="412">
        <v>8</v>
      </c>
      <c r="AE40" s="412">
        <v>8</v>
      </c>
      <c r="AF40" s="412">
        <v>8</v>
      </c>
      <c r="AG40" s="412">
        <v>8</v>
      </c>
      <c r="AH40" s="412">
        <v>8</v>
      </c>
      <c r="AI40" s="412">
        <v>8</v>
      </c>
      <c r="AJ40" s="412">
        <v>8</v>
      </c>
    </row>
    <row r="41" spans="1:38" ht="13.9" thickBot="1" x14ac:dyDescent="0.3">
      <c r="A41" s="422" t="s">
        <v>49</v>
      </c>
      <c r="B41" s="423"/>
      <c r="C41" s="423"/>
      <c r="D41" s="423"/>
      <c r="E41" s="424">
        <f>SUM(E37:E39)</f>
        <v>2941454.5883720787</v>
      </c>
      <c r="F41" s="392"/>
      <c r="H41" s="190"/>
      <c r="I41" s="27"/>
      <c r="J41" s="149"/>
      <c r="K41" s="149"/>
      <c r="L41" s="428"/>
      <c r="M41" s="464" t="s">
        <v>119</v>
      </c>
      <c r="O41" s="190"/>
      <c r="P41" s="27"/>
      <c r="Q41" s="149"/>
      <c r="R41" s="149"/>
      <c r="S41" s="428" t="s">
        <v>119</v>
      </c>
      <c r="T41" s="464" t="s">
        <v>119</v>
      </c>
      <c r="V41" s="346" t="s">
        <v>20</v>
      </c>
      <c r="W41" s="166"/>
      <c r="X41" s="166"/>
      <c r="Y41" s="419"/>
      <c r="AC41" s="205" t="s">
        <v>157</v>
      </c>
      <c r="AD41" s="412">
        <v>8</v>
      </c>
      <c r="AE41" s="412">
        <v>8</v>
      </c>
      <c r="AF41" s="412">
        <v>8</v>
      </c>
      <c r="AG41" s="412">
        <v>8</v>
      </c>
      <c r="AH41" s="412">
        <v>8</v>
      </c>
      <c r="AI41" s="412">
        <v>8</v>
      </c>
      <c r="AJ41" s="412">
        <v>8</v>
      </c>
    </row>
    <row r="42" spans="1:38" ht="14.45" thickTop="1" thickBot="1" x14ac:dyDescent="0.3">
      <c r="F42" s="392"/>
      <c r="H42" s="443" t="s">
        <v>133</v>
      </c>
      <c r="I42" s="465"/>
      <c r="J42" s="444"/>
      <c r="K42" s="466"/>
      <c r="L42" s="466"/>
      <c r="M42" s="469">
        <f>M39/12</f>
        <v>277215.786647823</v>
      </c>
      <c r="O42" s="443" t="s">
        <v>133</v>
      </c>
      <c r="P42" s="465"/>
      <c r="Q42" s="444"/>
      <c r="R42" s="466"/>
      <c r="S42" s="466"/>
      <c r="T42" s="469">
        <f>T39/12</f>
        <v>281675.90697113477</v>
      </c>
      <c r="V42" s="348" t="s">
        <v>127</v>
      </c>
      <c r="W42" s="166"/>
      <c r="X42" s="166">
        <v>0.15</v>
      </c>
      <c r="Y42" s="419"/>
      <c r="AC42" s="205" t="s">
        <v>158</v>
      </c>
      <c r="AD42" s="412">
        <v>8</v>
      </c>
      <c r="AE42" s="412">
        <v>8</v>
      </c>
      <c r="AF42" s="412">
        <v>8</v>
      </c>
      <c r="AG42" s="412">
        <v>8</v>
      </c>
      <c r="AH42" s="412">
        <v>8</v>
      </c>
      <c r="AI42" s="412">
        <v>8</v>
      </c>
      <c r="AJ42" s="412">
        <v>8</v>
      </c>
    </row>
    <row r="43" spans="1:38" ht="13.15" x14ac:dyDescent="0.25">
      <c r="A43" s="205" t="s">
        <v>132</v>
      </c>
      <c r="C43" s="410">
        <f>$X$60</f>
        <v>1.78E-2</v>
      </c>
      <c r="E43" s="317">
        <f>E41*(1+C43)</f>
        <v>2993812.4800451016</v>
      </c>
      <c r="F43" s="392"/>
      <c r="H43" s="106"/>
      <c r="I43" s="343"/>
      <c r="J43" s="108"/>
      <c r="K43" s="89"/>
      <c r="L43" s="89"/>
      <c r="M43" s="202"/>
      <c r="N43" s="149"/>
      <c r="O43" s="106"/>
      <c r="P43" s="343"/>
      <c r="Q43" s="108"/>
      <c r="R43" s="89"/>
      <c r="S43" s="89"/>
      <c r="T43" s="202"/>
      <c r="V43" s="348" t="s">
        <v>128</v>
      </c>
      <c r="W43" s="166"/>
      <c r="X43" s="166">
        <v>1</v>
      </c>
      <c r="Y43" s="419"/>
      <c r="AK43" s="205">
        <f>SUM(AD40:AJ42)</f>
        <v>168</v>
      </c>
      <c r="AL43" s="205" t="s">
        <v>159</v>
      </c>
    </row>
    <row r="44" spans="1:38" ht="13.15" x14ac:dyDescent="0.25">
      <c r="F44" s="392"/>
      <c r="H44" s="106"/>
      <c r="I44" s="343"/>
      <c r="J44" s="108"/>
      <c r="K44" s="89"/>
      <c r="L44" s="89"/>
      <c r="M44" s="202"/>
      <c r="N44" s="149"/>
      <c r="O44" s="106"/>
      <c r="P44" s="343"/>
      <c r="Q44" s="108"/>
      <c r="R44" s="89"/>
      <c r="S44" s="89"/>
      <c r="T44" s="202"/>
      <c r="V44" s="348" t="s">
        <v>25</v>
      </c>
      <c r="W44" s="166"/>
      <c r="X44" s="166">
        <v>21.3</v>
      </c>
      <c r="Y44" s="419"/>
      <c r="AK44" s="205">
        <f>AK43/40</f>
        <v>4.2</v>
      </c>
      <c r="AL44" s="205" t="s">
        <v>11</v>
      </c>
    </row>
    <row r="45" spans="1:38" ht="13.15" x14ac:dyDescent="0.25">
      <c r="E45" s="319" t="s">
        <v>59</v>
      </c>
      <c r="F45" s="392"/>
      <c r="H45" s="149"/>
      <c r="I45" s="343"/>
      <c r="J45" s="149"/>
      <c r="K45" s="89"/>
      <c r="L45" s="89"/>
      <c r="M45" s="226"/>
      <c r="N45" s="149"/>
      <c r="O45" s="149"/>
      <c r="P45" s="343"/>
      <c r="Q45" s="149"/>
      <c r="R45" s="89"/>
      <c r="S45" s="89"/>
      <c r="T45" s="226"/>
      <c r="V45" s="362" t="s">
        <v>27</v>
      </c>
      <c r="W45" s="166"/>
      <c r="X45" s="166">
        <v>3.1949999999999998</v>
      </c>
      <c r="Y45" s="419"/>
      <c r="AK45" s="205">
        <f>AK44*X10</f>
        <v>0.61384615384615393</v>
      </c>
      <c r="AL45" s="205" t="s">
        <v>160</v>
      </c>
    </row>
    <row r="46" spans="1:38" ht="13.15" x14ac:dyDescent="0.25">
      <c r="A46" s="205" t="s">
        <v>133</v>
      </c>
      <c r="D46" s="321">
        <f>E41/E8</f>
        <v>537.25197961133858</v>
      </c>
      <c r="E46" s="321">
        <f>D46*(1+C43)</f>
        <v>546.81506484842043</v>
      </c>
      <c r="F46" s="392"/>
      <c r="I46" s="437"/>
      <c r="M46" s="202"/>
      <c r="P46" s="437"/>
      <c r="T46" s="202"/>
      <c r="V46" s="346" t="s">
        <v>28</v>
      </c>
      <c r="W46" s="166"/>
      <c r="X46" s="166"/>
      <c r="Y46" s="419"/>
      <c r="AK46" s="205">
        <f>SUM(AK44:AK45)</f>
        <v>4.8138461538461543</v>
      </c>
      <c r="AL46" s="205" t="s">
        <v>161</v>
      </c>
    </row>
    <row r="47" spans="1:38" ht="13.9" thickBot="1" x14ac:dyDescent="0.3">
      <c r="A47" s="205" t="s">
        <v>134</v>
      </c>
      <c r="C47" s="410">
        <f>'[3]CAF Spring 2015'!$BC$24</f>
        <v>2.0354406130268236E-2</v>
      </c>
      <c r="D47" s="321"/>
      <c r="E47" s="321"/>
      <c r="F47" s="427">
        <f>E46*(1+C47)</f>
        <v>557.94516075649415</v>
      </c>
      <c r="I47" s="437"/>
      <c r="M47" s="202"/>
      <c r="P47" s="437"/>
      <c r="T47" s="202"/>
      <c r="V47" s="348" t="s">
        <v>29</v>
      </c>
      <c r="W47" s="166"/>
      <c r="X47" s="166">
        <v>1.25</v>
      </c>
      <c r="Y47" s="419"/>
    </row>
    <row r="48" spans="1:38" x14ac:dyDescent="0.2">
      <c r="A48" s="371" t="s">
        <v>50</v>
      </c>
      <c r="B48" s="372">
        <v>0.9</v>
      </c>
      <c r="C48" s="373"/>
      <c r="D48" s="374">
        <f>E41/(E8*B48)</f>
        <v>596.94664401259843</v>
      </c>
      <c r="E48" s="374">
        <f>D48*(1+C43)</f>
        <v>607.57229427602272</v>
      </c>
      <c r="F48" s="429">
        <f>ROUND($F$47/B48,2)</f>
        <v>619.94000000000005</v>
      </c>
      <c r="I48" s="437"/>
      <c r="M48" s="202"/>
      <c r="P48" s="437"/>
      <c r="T48" s="202"/>
      <c r="V48" s="348" t="s">
        <v>147</v>
      </c>
      <c r="W48" s="166"/>
      <c r="X48" s="166">
        <v>4.5</v>
      </c>
      <c r="Y48" s="419"/>
    </row>
    <row r="49" spans="1:26" x14ac:dyDescent="0.2">
      <c r="A49" s="375"/>
      <c r="B49" s="107"/>
      <c r="C49" s="108"/>
      <c r="D49" s="89"/>
      <c r="E49" s="89"/>
      <c r="F49" s="430"/>
      <c r="I49" s="437"/>
      <c r="M49" s="202"/>
      <c r="P49" s="437"/>
      <c r="T49" s="202"/>
      <c r="V49" s="348"/>
      <c r="W49" s="166"/>
      <c r="X49" s="166"/>
      <c r="Y49" s="419"/>
    </row>
    <row r="50" spans="1:26" x14ac:dyDescent="0.2">
      <c r="A50" s="375"/>
      <c r="B50" s="107">
        <v>0.85</v>
      </c>
      <c r="C50" s="108"/>
      <c r="D50" s="89">
        <f>E41/(E8*B50)</f>
        <v>632.06115248392769</v>
      </c>
      <c r="E50" s="89">
        <f>D50*(1+C43)</f>
        <v>643.31184099814163</v>
      </c>
      <c r="F50" s="430">
        <f t="shared" ref="F50:F54" si="9">ROUND($F$47/B50,2)</f>
        <v>656.41</v>
      </c>
      <c r="V50" s="190"/>
      <c r="W50" s="149"/>
      <c r="X50" s="149"/>
      <c r="Y50" s="402"/>
    </row>
    <row r="51" spans="1:26" x14ac:dyDescent="0.2">
      <c r="A51" s="431"/>
      <c r="B51" s="432">
        <v>0.8</v>
      </c>
      <c r="C51" s="433"/>
      <c r="D51" s="379">
        <f>$E$41/($E$8*B51)</f>
        <v>671.56497451417317</v>
      </c>
      <c r="E51" s="379">
        <f>D51*(1+$C$43)</f>
        <v>683.51883106052549</v>
      </c>
      <c r="F51" s="434">
        <f t="shared" si="9"/>
        <v>697.43</v>
      </c>
    </row>
    <row r="52" spans="1:26" x14ac:dyDescent="0.2">
      <c r="B52" s="331">
        <v>0.75</v>
      </c>
      <c r="D52" s="89">
        <f t="shared" ref="D52:D54" si="10">$E$41/($E$8*B52)</f>
        <v>716.33597281511811</v>
      </c>
      <c r="E52" s="89">
        <f t="shared" ref="E52:E54" si="11">D52*(1+$C$43)</f>
        <v>729.08675313122728</v>
      </c>
      <c r="F52" s="430">
        <f t="shared" si="9"/>
        <v>743.93</v>
      </c>
      <c r="V52" s="190" t="s">
        <v>35</v>
      </c>
      <c r="W52" s="149"/>
      <c r="X52" s="435">
        <f>'Salary Bench Chart'!C30</f>
        <v>0.22309999999999999</v>
      </c>
      <c r="Y52" s="402"/>
    </row>
    <row r="53" spans="1:26" x14ac:dyDescent="0.2">
      <c r="B53" s="331">
        <v>0.7</v>
      </c>
      <c r="D53" s="89">
        <f t="shared" si="10"/>
        <v>767.50282801619801</v>
      </c>
      <c r="E53" s="89">
        <f t="shared" si="11"/>
        <v>781.16437835488637</v>
      </c>
      <c r="F53" s="430">
        <f t="shared" si="9"/>
        <v>797.06</v>
      </c>
      <c r="V53" s="190" t="s">
        <v>168</v>
      </c>
      <c r="W53" s="149"/>
      <c r="X53" s="191">
        <f>'Salary Bench Chart'!C32</f>
        <v>3.7000000000000002E-3</v>
      </c>
      <c r="Y53" s="402"/>
    </row>
    <row r="54" spans="1:26" ht="13.5" thickBot="1" x14ac:dyDescent="0.25">
      <c r="B54" s="331">
        <v>0.65</v>
      </c>
      <c r="D54" s="89">
        <f t="shared" si="10"/>
        <v>826.54150709436703</v>
      </c>
      <c r="E54" s="89">
        <f t="shared" si="11"/>
        <v>841.25394592064674</v>
      </c>
      <c r="F54" s="436">
        <f t="shared" si="9"/>
        <v>858.38</v>
      </c>
      <c r="V54" s="190" t="s">
        <v>38</v>
      </c>
      <c r="W54" s="149"/>
      <c r="X54" s="438">
        <f>'[3]Master Data '!F90</f>
        <v>11.2629</v>
      </c>
      <c r="Y54" s="402"/>
    </row>
    <row r="55" spans="1:26" x14ac:dyDescent="0.2">
      <c r="B55" s="331"/>
      <c r="F55" s="202"/>
      <c r="V55" s="190" t="s">
        <v>39</v>
      </c>
      <c r="W55" s="149"/>
      <c r="X55" s="438">
        <v>25.44</v>
      </c>
      <c r="Y55" s="402"/>
    </row>
    <row r="56" spans="1:26" x14ac:dyDescent="0.2">
      <c r="D56" s="149"/>
      <c r="E56" s="202"/>
      <c r="F56" s="326"/>
      <c r="V56" s="439" t="s">
        <v>40</v>
      </c>
      <c r="W56" s="440"/>
      <c r="X56" s="441">
        <f>SUM(X54:X55)</f>
        <v>36.7029</v>
      </c>
      <c r="Y56" s="442"/>
    </row>
    <row r="57" spans="1:26" x14ac:dyDescent="0.2">
      <c r="D57" s="149"/>
      <c r="E57" s="202"/>
      <c r="F57" s="326"/>
      <c r="V57" s="190"/>
      <c r="W57" s="149"/>
      <c r="X57" s="149"/>
      <c r="Y57" s="402"/>
    </row>
    <row r="58" spans="1:26" x14ac:dyDescent="0.2">
      <c r="D58" s="149"/>
      <c r="E58" s="149"/>
      <c r="V58" s="190" t="s">
        <v>47</v>
      </c>
      <c r="W58" s="149"/>
      <c r="X58" s="435">
        <f>'[3]Master Data '!D131</f>
        <v>9.4700000000000006E-2</v>
      </c>
      <c r="Y58" s="402"/>
      <c r="Z58" s="410"/>
    </row>
    <row r="59" spans="1:26" ht="13.15" customHeight="1" x14ac:dyDescent="0.2">
      <c r="L59" s="333"/>
      <c r="S59" s="333"/>
      <c r="V59" s="190"/>
      <c r="W59" s="149"/>
      <c r="X59" s="149"/>
      <c r="Y59" s="402"/>
    </row>
    <row r="60" spans="1:26" ht="13.5" thickBot="1" x14ac:dyDescent="0.25">
      <c r="O60" s="326"/>
      <c r="Q60" s="326"/>
      <c r="V60" s="443" t="s">
        <v>164</v>
      </c>
      <c r="W60" s="444"/>
      <c r="X60" s="445">
        <f>'[3]Master Data '!D126</f>
        <v>1.78E-2</v>
      </c>
      <c r="Y60" s="446"/>
    </row>
    <row r="61" spans="1:26" x14ac:dyDescent="0.2">
      <c r="J61" s="326"/>
      <c r="O61" s="449"/>
      <c r="V61" s="387"/>
      <c r="W61" s="447"/>
    </row>
    <row r="62" spans="1:26" x14ac:dyDescent="0.2">
      <c r="J62" s="449"/>
      <c r="V62" s="387"/>
    </row>
    <row r="63" spans="1:26" x14ac:dyDescent="0.2">
      <c r="J63" s="449"/>
      <c r="Q63" s="326"/>
    </row>
    <row r="64" spans="1:26" x14ac:dyDescent="0.2">
      <c r="J64" s="449"/>
      <c r="V64" s="387"/>
    </row>
    <row r="65" spans="8:22" x14ac:dyDescent="0.2">
      <c r="J65" s="326"/>
    </row>
    <row r="66" spans="8:22" x14ac:dyDescent="0.2">
      <c r="V66" s="448"/>
    </row>
    <row r="67" spans="8:22" x14ac:dyDescent="0.2">
      <c r="V67" s="359"/>
    </row>
    <row r="68" spans="8:22" x14ac:dyDescent="0.2">
      <c r="V68" s="387"/>
    </row>
    <row r="69" spans="8:22" x14ac:dyDescent="0.2">
      <c r="V69" s="359"/>
    </row>
    <row r="70" spans="8:22" x14ac:dyDescent="0.2">
      <c r="V70" s="359"/>
    </row>
    <row r="71" spans="8:22" x14ac:dyDescent="0.2">
      <c r="V71" s="387"/>
    </row>
    <row r="72" spans="8:22" x14ac:dyDescent="0.2">
      <c r="V72" s="387"/>
    </row>
    <row r="74" spans="8:22" x14ac:dyDescent="0.2">
      <c r="V74" s="387"/>
    </row>
    <row r="79" spans="8:22" x14ac:dyDescent="0.2">
      <c r="H79" s="389"/>
    </row>
    <row r="80" spans="8:22" x14ac:dyDescent="0.2">
      <c r="H80" s="389"/>
    </row>
    <row r="81" spans="8:25" x14ac:dyDescent="0.2">
      <c r="H81" s="389"/>
    </row>
    <row r="82" spans="8:25" x14ac:dyDescent="0.2">
      <c r="H82" s="389"/>
      <c r="L82" s="421"/>
    </row>
    <row r="86" spans="8:25" x14ac:dyDescent="0.2">
      <c r="H86" s="389"/>
    </row>
    <row r="87" spans="8:25" s="389" customFormat="1" x14ac:dyDescent="0.2">
      <c r="H87" s="205"/>
      <c r="J87" s="205"/>
      <c r="K87" s="205"/>
      <c r="L87" s="205"/>
      <c r="M87" s="205"/>
      <c r="N87" s="205"/>
      <c r="O87" s="205"/>
      <c r="Q87" s="205"/>
      <c r="R87" s="205"/>
      <c r="S87" s="205"/>
      <c r="T87" s="205"/>
      <c r="U87" s="205"/>
      <c r="V87" s="205"/>
      <c r="W87" s="205"/>
      <c r="X87" s="205"/>
      <c r="Y87" s="205"/>
    </row>
    <row r="88" spans="8:25" s="389" customFormat="1" x14ac:dyDescent="0.2">
      <c r="H88" s="205"/>
      <c r="J88" s="205"/>
      <c r="K88" s="205"/>
      <c r="L88" s="205"/>
      <c r="M88" s="205"/>
      <c r="N88" s="205"/>
      <c r="O88" s="205"/>
      <c r="Q88" s="205"/>
      <c r="R88" s="205"/>
      <c r="S88" s="205"/>
      <c r="T88" s="205"/>
      <c r="U88" s="205"/>
      <c r="V88" s="205"/>
      <c r="W88" s="205"/>
      <c r="X88" s="205"/>
      <c r="Y88" s="205"/>
    </row>
    <row r="89" spans="8:25" s="389" customFormat="1" x14ac:dyDescent="0.2">
      <c r="H89" s="205"/>
      <c r="J89" s="205"/>
      <c r="K89" s="205"/>
      <c r="L89" s="205"/>
      <c r="M89" s="205"/>
      <c r="N89" s="205"/>
      <c r="O89" s="205"/>
      <c r="Q89" s="205"/>
      <c r="R89" s="205"/>
      <c r="S89" s="205"/>
      <c r="T89" s="205"/>
      <c r="U89" s="205"/>
      <c r="V89" s="205"/>
      <c r="W89" s="205"/>
      <c r="X89" s="205"/>
      <c r="Y89" s="205"/>
    </row>
    <row r="90" spans="8:25" s="389" customFormat="1" x14ac:dyDescent="0.2">
      <c r="H90" s="205"/>
      <c r="J90" s="205"/>
      <c r="K90" s="205"/>
      <c r="L90" s="205"/>
      <c r="M90" s="205"/>
      <c r="N90" s="205"/>
      <c r="O90" s="205"/>
      <c r="Q90" s="205"/>
      <c r="R90" s="205"/>
      <c r="S90" s="205"/>
      <c r="T90" s="205"/>
      <c r="U90" s="205"/>
      <c r="V90" s="205"/>
      <c r="W90" s="205"/>
      <c r="X90" s="205"/>
      <c r="Y90" s="205"/>
    </row>
    <row r="94" spans="8:25" s="389" customFormat="1" x14ac:dyDescent="0.2">
      <c r="H94" s="205"/>
      <c r="J94" s="205"/>
      <c r="K94" s="205"/>
      <c r="L94" s="205"/>
      <c r="M94" s="205"/>
      <c r="N94" s="205"/>
      <c r="O94" s="205"/>
      <c r="Q94" s="205"/>
      <c r="R94" s="205"/>
      <c r="S94" s="205"/>
      <c r="T94" s="205"/>
      <c r="U94" s="205"/>
      <c r="V94" s="205"/>
      <c r="W94" s="205"/>
      <c r="X94" s="205"/>
      <c r="Y94" s="205"/>
    </row>
  </sheetData>
  <mergeCells count="8">
    <mergeCell ref="V1:Y1"/>
    <mergeCell ref="W3:X3"/>
    <mergeCell ref="A6:E7"/>
    <mergeCell ref="F6:F7"/>
    <mergeCell ref="H1:L2"/>
    <mergeCell ref="M1:M2"/>
    <mergeCell ref="O1:S2"/>
    <mergeCell ref="T1:T2"/>
  </mergeCells>
  <pageMargins left="0.25" right="0.25" top="0.75" bottom="0.75" header="0.3" footer="0.3"/>
  <pageSetup scale="47" fitToHeight="0" orientation="landscape" r:id="rId1"/>
  <headerFooter>
    <oddFooter>&amp;RPage &amp;P</oddFooter>
  </headerFooter>
  <colBreaks count="1" manualBreakCount="1">
    <brk id="7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6"/>
  <sheetViews>
    <sheetView topLeftCell="A103" zoomScale="90" zoomScaleNormal="90" zoomScaleSheetLayoutView="70" workbookViewId="0">
      <selection activeCell="K137" sqref="K137"/>
    </sheetView>
  </sheetViews>
  <sheetFormatPr defaultColWidth="9.140625" defaultRowHeight="12.75" x14ac:dyDescent="0.2"/>
  <cols>
    <col min="1" max="1" width="31.85546875" style="142" customWidth="1"/>
    <col min="2" max="2" width="7" style="142" customWidth="1"/>
    <col min="3" max="3" width="12.85546875" style="142" customWidth="1"/>
    <col min="4" max="4" width="10.85546875" style="142" customWidth="1"/>
    <col min="5" max="5" width="13.140625" style="142" customWidth="1"/>
    <col min="6" max="7" width="13.140625" style="142" hidden="1" customWidth="1"/>
    <col min="8" max="8" width="13.140625" style="142" customWidth="1"/>
    <col min="9" max="9" width="13.140625" style="205" customWidth="1"/>
    <col min="10" max="10" width="9.140625" style="142"/>
    <col min="11" max="11" width="31.85546875" style="142" customWidth="1"/>
    <col min="12" max="12" width="10.7109375" style="142" customWidth="1"/>
    <col min="13" max="13" width="10.140625" style="142" customWidth="1"/>
    <col min="14" max="14" width="12.42578125" style="142" customWidth="1"/>
    <col min="15" max="15" width="10.140625" style="142" customWidth="1"/>
    <col min="16" max="16384" width="9.140625" style="142"/>
  </cols>
  <sheetData>
    <row r="1" spans="1:17" ht="13.5" thickBot="1" x14ac:dyDescent="0.25">
      <c r="A1" s="787" t="s">
        <v>3</v>
      </c>
      <c r="B1" s="788"/>
      <c r="C1" s="788"/>
      <c r="D1" s="788"/>
      <c r="E1" s="789"/>
      <c r="F1" s="783" t="s">
        <v>0</v>
      </c>
      <c r="G1" s="1"/>
      <c r="H1" s="785" t="s">
        <v>1</v>
      </c>
      <c r="I1" s="2"/>
      <c r="K1" s="759" t="s">
        <v>122</v>
      </c>
      <c r="L1" s="759"/>
      <c r="M1" s="759"/>
      <c r="N1" s="759"/>
    </row>
    <row r="2" spans="1:17" ht="13.5" thickBot="1" x14ac:dyDescent="0.25">
      <c r="A2" s="143" t="s">
        <v>4</v>
      </c>
      <c r="B2" s="6">
        <f>L$29</f>
        <v>12</v>
      </c>
      <c r="C2" s="144"/>
      <c r="D2" s="144" t="s">
        <v>5</v>
      </c>
      <c r="E2" s="145">
        <f>B2*365</f>
        <v>4380</v>
      </c>
      <c r="F2" s="784"/>
      <c r="G2" s="4"/>
      <c r="H2" s="786"/>
      <c r="I2" s="2"/>
    </row>
    <row r="3" spans="1:17" ht="13.15" x14ac:dyDescent="0.25">
      <c r="A3" s="150"/>
      <c r="B3" s="147"/>
      <c r="C3" s="147"/>
      <c r="D3" s="147"/>
      <c r="E3" s="148"/>
      <c r="F3" s="146"/>
      <c r="G3" s="147"/>
      <c r="H3" s="148"/>
      <c r="I3" s="149"/>
      <c r="K3" s="13" t="s">
        <v>6</v>
      </c>
      <c r="L3" s="760" t="s">
        <v>7</v>
      </c>
      <c r="M3" s="760"/>
      <c r="N3" s="14"/>
      <c r="O3" s="102"/>
      <c r="P3" s="102"/>
    </row>
    <row r="4" spans="1:17" ht="13.15" x14ac:dyDescent="0.25">
      <c r="A4" s="152"/>
      <c r="B4" s="153"/>
      <c r="C4" s="154" t="s">
        <v>10</v>
      </c>
      <c r="D4" s="154" t="s">
        <v>11</v>
      </c>
      <c r="E4" s="155" t="s">
        <v>12</v>
      </c>
      <c r="F4" s="148"/>
      <c r="G4" s="147"/>
      <c r="H4" s="148"/>
      <c r="I4" s="149"/>
      <c r="K4" s="17"/>
      <c r="L4" s="4" t="s">
        <v>8</v>
      </c>
      <c r="M4" s="19" t="s">
        <v>9</v>
      </c>
      <c r="N4" s="151"/>
      <c r="O4" s="244"/>
      <c r="P4" s="102"/>
    </row>
    <row r="5" spans="1:17" ht="13.15" x14ac:dyDescent="0.25">
      <c r="A5" s="28" t="s">
        <v>14</v>
      </c>
      <c r="B5" s="147"/>
      <c r="C5" s="156">
        <f>M$13</f>
        <v>57593.3511</v>
      </c>
      <c r="D5" s="157">
        <f>L$30</f>
        <v>1.75</v>
      </c>
      <c r="E5" s="158">
        <f>C5*D5</f>
        <v>100788.36442500001</v>
      </c>
      <c r="F5" s="148"/>
      <c r="G5" s="147"/>
      <c r="H5" s="148"/>
      <c r="I5" s="149"/>
      <c r="K5" s="348" t="s">
        <v>13</v>
      </c>
      <c r="L5" s="27">
        <v>15</v>
      </c>
      <c r="M5" s="27">
        <f>L5*8</f>
        <v>120</v>
      </c>
      <c r="N5" s="151"/>
      <c r="O5" s="102"/>
      <c r="P5" s="102"/>
    </row>
    <row r="6" spans="1:17" ht="13.9" customHeight="1" x14ac:dyDescent="0.25">
      <c r="A6" s="17" t="s">
        <v>16</v>
      </c>
      <c r="B6" s="147"/>
      <c r="C6" s="156"/>
      <c r="D6" s="157"/>
      <c r="E6" s="158"/>
      <c r="F6" s="148"/>
      <c r="G6" s="147"/>
      <c r="H6" s="148"/>
      <c r="I6" s="149"/>
      <c r="K6" s="348" t="s">
        <v>15</v>
      </c>
      <c r="L6" s="27">
        <v>8</v>
      </c>
      <c r="M6" s="27">
        <f>L6*8</f>
        <v>64</v>
      </c>
      <c r="N6" s="151"/>
      <c r="O6" s="102"/>
      <c r="P6" s="102"/>
    </row>
    <row r="7" spans="1:17" ht="13.15" x14ac:dyDescent="0.25">
      <c r="A7" s="25" t="s">
        <v>18</v>
      </c>
      <c r="B7" s="149"/>
      <c r="C7" s="161">
        <f>M15</f>
        <v>86861</v>
      </c>
      <c r="D7" s="157">
        <f>L32</f>
        <v>0.25</v>
      </c>
      <c r="E7" s="158">
        <f t="shared" ref="E7:E14" si="0">C7*D7</f>
        <v>21715.25</v>
      </c>
      <c r="F7" s="148"/>
      <c r="G7" s="147"/>
      <c r="H7" s="148"/>
      <c r="I7" s="149"/>
      <c r="K7" s="348" t="s">
        <v>17</v>
      </c>
      <c r="L7" s="27">
        <v>10</v>
      </c>
      <c r="M7" s="27">
        <f>L7*8</f>
        <v>80</v>
      </c>
      <c r="N7" s="151"/>
      <c r="O7" s="102"/>
      <c r="P7" s="102"/>
    </row>
    <row r="8" spans="1:17" ht="13.15" x14ac:dyDescent="0.25">
      <c r="A8" s="17" t="s">
        <v>20</v>
      </c>
      <c r="B8" s="149"/>
      <c r="C8" s="161"/>
      <c r="D8" s="157"/>
      <c r="E8" s="158"/>
      <c r="F8" s="148"/>
      <c r="G8" s="147"/>
      <c r="H8" s="148"/>
      <c r="I8" s="149"/>
      <c r="K8" s="351" t="s">
        <v>19</v>
      </c>
      <c r="L8" s="34">
        <v>7</v>
      </c>
      <c r="M8" s="34">
        <f>L8*8</f>
        <v>56</v>
      </c>
      <c r="N8" s="159"/>
      <c r="O8" s="102"/>
      <c r="P8" s="102"/>
    </row>
    <row r="9" spans="1:17" ht="13.15" x14ac:dyDescent="0.25">
      <c r="A9" s="17" t="s">
        <v>22</v>
      </c>
      <c r="B9" s="149"/>
      <c r="C9" s="161">
        <f>M19</f>
        <v>32198</v>
      </c>
      <c r="D9" s="157">
        <f>L36</f>
        <v>1</v>
      </c>
      <c r="E9" s="158">
        <f>C9*D9</f>
        <v>32198</v>
      </c>
      <c r="F9" s="148"/>
      <c r="G9" s="147"/>
      <c r="H9" s="148"/>
      <c r="I9" s="149"/>
      <c r="K9" s="348"/>
      <c r="L9" s="36" t="s">
        <v>21</v>
      </c>
      <c r="M9" s="27">
        <f>SUM(M5:M8)</f>
        <v>320</v>
      </c>
      <c r="N9" s="160"/>
      <c r="O9" s="102"/>
      <c r="P9" s="102"/>
    </row>
    <row r="10" spans="1:17" ht="13.9" thickBot="1" x14ac:dyDescent="0.3">
      <c r="A10" s="25" t="s">
        <v>24</v>
      </c>
      <c r="B10" s="149"/>
      <c r="C10" s="161">
        <f>M20</f>
        <v>52665.599999999999</v>
      </c>
      <c r="D10" s="157">
        <f>L37</f>
        <v>2</v>
      </c>
      <c r="E10" s="158">
        <f t="shared" si="0"/>
        <v>105331.2</v>
      </c>
      <c r="F10" s="148"/>
      <c r="G10" s="147"/>
      <c r="H10" s="148"/>
      <c r="I10" s="149"/>
      <c r="K10" s="352"/>
      <c r="L10" s="39" t="s">
        <v>23</v>
      </c>
      <c r="M10" s="40">
        <f>M9/(52*40)</f>
        <v>0.15384615384615385</v>
      </c>
      <c r="N10" s="41"/>
    </row>
    <row r="11" spans="1:17" ht="13.9" thickBot="1" x14ac:dyDescent="0.3">
      <c r="A11" s="25" t="s">
        <v>25</v>
      </c>
      <c r="B11" s="149"/>
      <c r="C11" s="161">
        <f>M22</f>
        <v>32198</v>
      </c>
      <c r="D11" s="157">
        <f>L39</f>
        <v>11.5</v>
      </c>
      <c r="E11" s="158">
        <f t="shared" si="0"/>
        <v>370277</v>
      </c>
      <c r="F11" s="148"/>
      <c r="G11" s="147"/>
      <c r="H11" s="148"/>
      <c r="I11" s="149"/>
      <c r="K11" s="205"/>
      <c r="L11" s="205"/>
      <c r="M11" s="205"/>
      <c r="N11" s="205"/>
    </row>
    <row r="12" spans="1:17" ht="13.15" x14ac:dyDescent="0.25">
      <c r="A12" s="47" t="s">
        <v>27</v>
      </c>
      <c r="B12" s="149"/>
      <c r="C12" s="161">
        <f>M23</f>
        <v>32198</v>
      </c>
      <c r="D12" s="166">
        <f>L40</f>
        <v>1.7692307692307694</v>
      </c>
      <c r="E12" s="158">
        <f>C12*D12</f>
        <v>56965.692307692312</v>
      </c>
      <c r="F12" s="148"/>
      <c r="G12" s="147"/>
      <c r="H12" s="148"/>
      <c r="I12" s="149"/>
      <c r="K12" s="398"/>
      <c r="L12" s="399"/>
      <c r="M12" s="714" t="s">
        <v>112</v>
      </c>
      <c r="N12" s="714"/>
      <c r="O12" s="165"/>
    </row>
    <row r="13" spans="1:17" ht="13.15" x14ac:dyDescent="0.25">
      <c r="A13" s="17" t="s">
        <v>28</v>
      </c>
      <c r="B13" s="149"/>
      <c r="C13" s="161"/>
      <c r="D13" s="157"/>
      <c r="E13" s="158"/>
      <c r="F13" s="148"/>
      <c r="G13" s="147"/>
      <c r="H13" s="148"/>
      <c r="I13" s="149"/>
      <c r="K13" s="346" t="s">
        <v>14</v>
      </c>
      <c r="L13" s="149"/>
      <c r="M13" s="161">
        <f>'[3]Group Home (rebased)'!P13</f>
        <v>57593.3511</v>
      </c>
      <c r="N13" s="161"/>
      <c r="O13" s="148"/>
    </row>
    <row r="14" spans="1:17" ht="13.15" x14ac:dyDescent="0.25">
      <c r="A14" s="25" t="s">
        <v>29</v>
      </c>
      <c r="B14" s="149"/>
      <c r="C14" s="161">
        <f>M25</f>
        <v>32198</v>
      </c>
      <c r="D14" s="157">
        <f>L42</f>
        <v>0.25</v>
      </c>
      <c r="E14" s="158">
        <f t="shared" si="0"/>
        <v>8049.5</v>
      </c>
      <c r="F14" s="148"/>
      <c r="G14" s="147"/>
      <c r="H14" s="148"/>
      <c r="I14" s="149"/>
      <c r="K14" s="346" t="s">
        <v>16</v>
      </c>
      <c r="L14" s="149"/>
      <c r="M14" s="161"/>
      <c r="N14" s="161"/>
      <c r="O14" s="148"/>
    </row>
    <row r="15" spans="1:17" ht="13.15" x14ac:dyDescent="0.25">
      <c r="A15" s="167" t="s">
        <v>30</v>
      </c>
      <c r="B15" s="404"/>
      <c r="C15" s="404"/>
      <c r="D15" s="169">
        <f>SUM(D5:D14)</f>
        <v>18.51923076923077</v>
      </c>
      <c r="E15" s="170">
        <f>SUM(E5:E14)</f>
        <v>695325.00673269224</v>
      </c>
      <c r="F15" s="148"/>
      <c r="G15" s="147"/>
      <c r="H15" s="148"/>
      <c r="I15" s="149"/>
      <c r="K15" s="348" t="s">
        <v>18</v>
      </c>
      <c r="L15" s="149"/>
      <c r="M15" s="161">
        <f>'[3]Master Data '!D24</f>
        <v>86861</v>
      </c>
      <c r="N15" s="484"/>
      <c r="O15" s="148"/>
      <c r="Q15" s="242"/>
    </row>
    <row r="16" spans="1:17" ht="13.15" x14ac:dyDescent="0.25">
      <c r="A16" s="150"/>
      <c r="B16" s="149"/>
      <c r="C16" s="149"/>
      <c r="D16" s="147"/>
      <c r="E16" s="148"/>
      <c r="F16" s="148"/>
      <c r="G16" s="147"/>
      <c r="H16" s="148"/>
      <c r="I16" s="149"/>
      <c r="K16" s="348"/>
      <c r="L16" s="149"/>
      <c r="M16" s="161"/>
      <c r="N16" s="484"/>
      <c r="O16" s="148"/>
      <c r="Q16" s="242"/>
    </row>
    <row r="17" spans="1:17" ht="13.15" x14ac:dyDescent="0.25">
      <c r="A17" s="143" t="s">
        <v>32</v>
      </c>
      <c r="B17" s="149"/>
      <c r="C17" s="149"/>
      <c r="D17" s="144" t="s">
        <v>33</v>
      </c>
      <c r="E17" s="148"/>
      <c r="F17" s="148"/>
      <c r="G17" s="147"/>
      <c r="H17" s="148"/>
      <c r="I17" s="149"/>
      <c r="K17" s="346" t="s">
        <v>20</v>
      </c>
      <c r="L17" s="149"/>
      <c r="M17" s="161"/>
      <c r="N17" s="484"/>
      <c r="O17" s="148"/>
      <c r="Q17" s="242"/>
    </row>
    <row r="18" spans="1:17" ht="13.15" x14ac:dyDescent="0.25">
      <c r="A18" s="150" t="s">
        <v>35</v>
      </c>
      <c r="B18" s="149"/>
      <c r="C18" s="191">
        <f>$M$45</f>
        <v>0.22309999999999999</v>
      </c>
      <c r="D18" s="147"/>
      <c r="E18" s="158">
        <f>C18*E15</f>
        <v>155127.00900206363</v>
      </c>
      <c r="F18" s="148"/>
      <c r="G18" s="147"/>
      <c r="H18" s="148"/>
      <c r="I18" s="149"/>
      <c r="K18" s="348" t="s">
        <v>111</v>
      </c>
      <c r="L18" s="149"/>
      <c r="M18" s="161">
        <f>'Salary Bench Chart'!C10</f>
        <v>43971.200000000004</v>
      </c>
      <c r="N18" s="715"/>
      <c r="O18" s="148"/>
    </row>
    <row r="19" spans="1:17" ht="13.15" x14ac:dyDescent="0.25">
      <c r="A19" s="167" t="s">
        <v>36</v>
      </c>
      <c r="B19" s="404"/>
      <c r="C19" s="404"/>
      <c r="D19" s="172">
        <f>E19/E2</f>
        <v>194.16712688008127</v>
      </c>
      <c r="E19" s="170">
        <f>E18+E15</f>
        <v>850452.0157347559</v>
      </c>
      <c r="F19" s="148"/>
      <c r="G19" s="147"/>
      <c r="H19" s="148"/>
      <c r="I19" s="149"/>
      <c r="K19" s="348" t="s">
        <v>34</v>
      </c>
      <c r="L19" s="149"/>
      <c r="M19" s="161">
        <f>'[3]Master Data '!D50</f>
        <v>32198</v>
      </c>
      <c r="N19" s="715"/>
      <c r="O19" s="148"/>
    </row>
    <row r="20" spans="1:17" ht="13.15" x14ac:dyDescent="0.25">
      <c r="A20" s="150" t="str">
        <f>'[3]Master Data '!B128</f>
        <v>PFMLA Trust Contribution</v>
      </c>
      <c r="B20" s="503">
        <f>M46</f>
        <v>3.7000000000000002E-3</v>
      </c>
      <c r="C20" s="149"/>
      <c r="D20" s="147"/>
      <c r="E20" s="173">
        <f>E15*B20</f>
        <v>2572.7025249109615</v>
      </c>
      <c r="F20" s="148"/>
      <c r="G20" s="147"/>
      <c r="H20" s="148"/>
      <c r="I20" s="149"/>
      <c r="K20" s="348" t="s">
        <v>24</v>
      </c>
      <c r="L20" s="149"/>
      <c r="M20" s="161">
        <f>'Salary Bench Chart'!C12</f>
        <v>52665.599999999999</v>
      </c>
      <c r="N20" s="715"/>
      <c r="O20" s="148"/>
    </row>
    <row r="21" spans="1:17" ht="13.15" x14ac:dyDescent="0.25">
      <c r="A21" s="150" t="s">
        <v>38</v>
      </c>
      <c r="B21" s="149"/>
      <c r="C21" s="149"/>
      <c r="D21" s="174">
        <f>$M$47</f>
        <v>28.402985999999999</v>
      </c>
      <c r="E21" s="175">
        <f>D21*E2</f>
        <v>124405.07867999999</v>
      </c>
      <c r="F21" s="148"/>
      <c r="G21" s="147"/>
      <c r="H21" s="148"/>
      <c r="I21" s="149"/>
      <c r="K21" s="348" t="s">
        <v>114</v>
      </c>
      <c r="L21" s="149"/>
      <c r="M21" s="161">
        <f>'Salary Bench Chart'!C10</f>
        <v>43971.200000000004</v>
      </c>
      <c r="N21" s="715"/>
      <c r="O21" s="148"/>
    </row>
    <row r="22" spans="1:17" ht="13.15" x14ac:dyDescent="0.25">
      <c r="A22" s="150" t="s">
        <v>39</v>
      </c>
      <c r="B22" s="149"/>
      <c r="C22" s="149"/>
      <c r="D22" s="174">
        <f>$M$48</f>
        <v>12.872</v>
      </c>
      <c r="E22" s="175">
        <f>D22*E2</f>
        <v>56379.360000000001</v>
      </c>
      <c r="F22" s="148"/>
      <c r="G22" s="147"/>
      <c r="H22" s="148"/>
      <c r="I22" s="149"/>
      <c r="K22" s="348" t="s">
        <v>25</v>
      </c>
      <c r="L22" s="149"/>
      <c r="M22" s="161">
        <f>'[3]Master Data '!D50</f>
        <v>32198</v>
      </c>
      <c r="N22" s="484"/>
      <c r="O22" s="148"/>
    </row>
    <row r="23" spans="1:17" ht="13.15" x14ac:dyDescent="0.25">
      <c r="A23" s="150"/>
      <c r="B23" s="149"/>
      <c r="C23" s="149"/>
      <c r="D23" s="176">
        <f>SUM(D21:D22)</f>
        <v>41.274985999999998</v>
      </c>
      <c r="E23" s="148"/>
      <c r="F23" s="148"/>
      <c r="G23" s="147"/>
      <c r="H23" s="148"/>
      <c r="I23" s="149"/>
      <c r="K23" s="362" t="s">
        <v>27</v>
      </c>
      <c r="L23" s="149"/>
      <c r="M23" s="161">
        <f>M22</f>
        <v>32198</v>
      </c>
      <c r="N23" s="484"/>
      <c r="O23" s="148"/>
    </row>
    <row r="24" spans="1:17" ht="13.15" x14ac:dyDescent="0.25">
      <c r="A24" s="150"/>
      <c r="B24" s="149"/>
      <c r="C24" s="149"/>
      <c r="D24" s="147"/>
      <c r="E24" s="148"/>
      <c r="F24" s="148"/>
      <c r="G24" s="147"/>
      <c r="H24" s="148"/>
      <c r="I24" s="149"/>
      <c r="K24" s="346" t="s">
        <v>28</v>
      </c>
      <c r="L24" s="149"/>
      <c r="M24" s="161"/>
      <c r="N24" s="484"/>
      <c r="O24" s="148"/>
    </row>
    <row r="25" spans="1:17" ht="13.15" x14ac:dyDescent="0.25">
      <c r="A25" s="167" t="s">
        <v>40</v>
      </c>
      <c r="B25" s="404"/>
      <c r="C25" s="404"/>
      <c r="D25" s="168"/>
      <c r="E25" s="170">
        <f>SUM(E19:E22)</f>
        <v>1033809.1569396668</v>
      </c>
      <c r="F25" s="148"/>
      <c r="G25" s="147"/>
      <c r="H25" s="148"/>
      <c r="I25" s="149"/>
      <c r="K25" s="348" t="s">
        <v>29</v>
      </c>
      <c r="L25" s="149"/>
      <c r="M25" s="161">
        <f>'[3]Master Data '!D64</f>
        <v>32198</v>
      </c>
      <c r="N25" s="484"/>
      <c r="O25" s="148"/>
    </row>
    <row r="26" spans="1:17" ht="13.15" x14ac:dyDescent="0.25">
      <c r="A26" s="150"/>
      <c r="B26" s="149"/>
      <c r="C26" s="149"/>
      <c r="D26" s="147"/>
      <c r="E26" s="148"/>
      <c r="F26" s="148"/>
      <c r="G26" s="147"/>
      <c r="H26" s="148"/>
      <c r="I26" s="149"/>
      <c r="K26" s="348"/>
      <c r="L26" s="149"/>
      <c r="M26" s="161"/>
      <c r="N26" s="161"/>
      <c r="O26" s="148"/>
    </row>
    <row r="27" spans="1:17" ht="13.15" x14ac:dyDescent="0.25">
      <c r="A27" s="150" t="s">
        <v>47</v>
      </c>
      <c r="B27" s="149"/>
      <c r="C27" s="191">
        <f>$M$51</f>
        <v>0.11849999999999999</v>
      </c>
      <c r="D27" s="147"/>
      <c r="E27" s="158">
        <f>C27*E25</f>
        <v>122506.38509735052</v>
      </c>
      <c r="F27" s="148"/>
      <c r="G27" s="147"/>
      <c r="H27" s="148"/>
      <c r="I27" s="149"/>
      <c r="K27" s="150"/>
      <c r="L27" s="147"/>
      <c r="M27" s="177" t="s">
        <v>41</v>
      </c>
      <c r="N27" s="177"/>
      <c r="O27" s="148"/>
    </row>
    <row r="28" spans="1:17" ht="13.15" x14ac:dyDescent="0.25">
      <c r="A28" s="150"/>
      <c r="B28" s="149"/>
      <c r="C28" s="149"/>
      <c r="D28" s="147"/>
      <c r="E28" s="148"/>
      <c r="F28" s="148"/>
      <c r="G28" s="147"/>
      <c r="H28" s="148"/>
      <c r="I28" s="149"/>
      <c r="K28" s="150" t="s">
        <v>42</v>
      </c>
      <c r="L28" s="178" t="s">
        <v>43</v>
      </c>
      <c r="M28" s="178" t="s">
        <v>44</v>
      </c>
      <c r="N28" s="178" t="s">
        <v>45</v>
      </c>
      <c r="O28" s="179" t="s">
        <v>46</v>
      </c>
    </row>
    <row r="29" spans="1:17" ht="13.9" thickBot="1" x14ac:dyDescent="0.3">
      <c r="A29" s="182" t="s">
        <v>49</v>
      </c>
      <c r="B29" s="423"/>
      <c r="C29" s="423"/>
      <c r="D29" s="183"/>
      <c r="E29" s="184">
        <f>SUM(E25:E27)</f>
        <v>1156315.5420370174</v>
      </c>
      <c r="F29" s="148"/>
      <c r="G29" s="147"/>
      <c r="H29" s="148"/>
      <c r="I29" s="149"/>
      <c r="K29" s="150" t="s">
        <v>48</v>
      </c>
      <c r="L29" s="180">
        <f>'[5]Rate Options'!$I$26</f>
        <v>12</v>
      </c>
      <c r="M29" s="180">
        <f>'[5]Rate Options'!$J$26</f>
        <v>10</v>
      </c>
      <c r="N29" s="180">
        <f>'[5]Rate Options'!$K$26</f>
        <v>5</v>
      </c>
      <c r="O29" s="181">
        <f>'[5]Rate Options'!$L$26</f>
        <v>4</v>
      </c>
    </row>
    <row r="30" spans="1:17" ht="13.9" thickTop="1" x14ac:dyDescent="0.25">
      <c r="A30" s="150"/>
      <c r="B30" s="149"/>
      <c r="C30" s="149"/>
      <c r="D30" s="147"/>
      <c r="E30" s="148"/>
      <c r="F30" s="148"/>
      <c r="G30" s="147"/>
      <c r="H30" s="148"/>
      <c r="I30" s="149"/>
      <c r="K30" s="17" t="s">
        <v>14</v>
      </c>
      <c r="L30" s="185">
        <f>'[5]Rate Options'!I28</f>
        <v>1.75</v>
      </c>
      <c r="M30" s="185">
        <f>'[5]Rate Options'!J28</f>
        <v>1</v>
      </c>
      <c r="N30" s="185">
        <f>'[5]Rate Options'!K28</f>
        <v>1</v>
      </c>
      <c r="O30" s="186">
        <f>'[5]Rate Options'!L28</f>
        <v>0.2</v>
      </c>
    </row>
    <row r="31" spans="1:17" ht="13.15" x14ac:dyDescent="0.25">
      <c r="A31" s="150" t="str">
        <f>K53</f>
        <v>CAF Rate Review (FY21 7 FY22)</v>
      </c>
      <c r="B31" s="149"/>
      <c r="C31" s="191">
        <f>M53</f>
        <v>1.78E-2</v>
      </c>
      <c r="D31" s="147"/>
      <c r="E31" s="187">
        <f>(E29*C31)-(E15*C31)+E29</f>
        <v>1164521.1735654343</v>
      </c>
      <c r="F31" s="148"/>
      <c r="G31" s="147"/>
      <c r="H31" s="148"/>
      <c r="I31" s="149"/>
      <c r="K31" s="17" t="s">
        <v>16</v>
      </c>
      <c r="L31" s="185"/>
      <c r="M31" s="185"/>
      <c r="N31" s="185"/>
      <c r="O31" s="186"/>
    </row>
    <row r="32" spans="1:17" ht="13.9" thickBot="1" x14ac:dyDescent="0.3">
      <c r="A32" s="190"/>
      <c r="B32" s="149"/>
      <c r="C32" s="191"/>
      <c r="D32" s="192"/>
      <c r="E32" s="193"/>
      <c r="F32" s="148"/>
      <c r="G32" s="147"/>
      <c r="H32" s="193">
        <f>E31/E2</f>
        <v>265.87241405603521</v>
      </c>
      <c r="I32" s="149"/>
      <c r="K32" s="25" t="s">
        <v>18</v>
      </c>
      <c r="L32" s="185">
        <f>'[5]Rate Options'!I30</f>
        <v>0.25</v>
      </c>
      <c r="M32" s="185"/>
      <c r="N32" s="185"/>
      <c r="O32" s="186"/>
    </row>
    <row r="33" spans="1:17" ht="13.9" thickBot="1" x14ac:dyDescent="0.3">
      <c r="A33" s="76" t="s">
        <v>50</v>
      </c>
      <c r="B33" s="77">
        <v>0.9</v>
      </c>
      <c r="C33" s="78"/>
      <c r="D33" s="79"/>
      <c r="E33" s="80"/>
      <c r="F33" s="193" t="e">
        <f>#REF!*(1+C32)</f>
        <v>#REF!</v>
      </c>
      <c r="G33" s="192"/>
      <c r="H33" s="196"/>
      <c r="I33" s="149"/>
      <c r="K33" s="25"/>
      <c r="L33" s="185"/>
      <c r="M33" s="185"/>
      <c r="N33" s="185"/>
      <c r="O33" s="186"/>
    </row>
    <row r="34" spans="1:17" ht="13.9" thickBot="1" x14ac:dyDescent="0.3">
      <c r="A34" s="199"/>
      <c r="B34" s="200"/>
      <c r="C34" s="201"/>
      <c r="D34" s="79"/>
      <c r="E34" s="85"/>
      <c r="F34" s="194" t="e">
        <f>$F$33/B33</f>
        <v>#REF!</v>
      </c>
      <c r="G34" s="195"/>
      <c r="H34" s="203">
        <f>H32/B33</f>
        <v>295.41379339559467</v>
      </c>
      <c r="I34" s="149"/>
      <c r="K34" s="17" t="s">
        <v>20</v>
      </c>
      <c r="L34" s="185"/>
      <c r="M34" s="185"/>
      <c r="N34" s="185"/>
      <c r="O34" s="186"/>
    </row>
    <row r="35" spans="1:17" ht="13.15" x14ac:dyDescent="0.25">
      <c r="A35" s="149"/>
      <c r="B35" s="204"/>
      <c r="C35" s="149"/>
      <c r="D35" s="89"/>
      <c r="E35" s="89"/>
      <c r="F35" s="202"/>
      <c r="G35" s="202"/>
      <c r="H35" s="202"/>
      <c r="I35" s="149"/>
      <c r="K35" s="25" t="str">
        <f>K18</f>
        <v xml:space="preserve">    Social Worker </v>
      </c>
      <c r="L35" s="185"/>
      <c r="M35" s="185">
        <v>0.13</v>
      </c>
      <c r="N35" s="185">
        <v>0.13</v>
      </c>
      <c r="O35" s="186"/>
    </row>
    <row r="36" spans="1:17" ht="13.15" x14ac:dyDescent="0.25">
      <c r="F36" s="202"/>
      <c r="G36" s="202"/>
      <c r="I36" s="192"/>
      <c r="K36" s="25" t="s">
        <v>34</v>
      </c>
      <c r="L36" s="185">
        <f>'[5]Rate Options'!I33</f>
        <v>1</v>
      </c>
      <c r="M36" s="185">
        <f>'[5]Rate Options'!J33</f>
        <v>0.5</v>
      </c>
      <c r="N36" s="185">
        <f>'[5]Rate Options'!K33</f>
        <v>0.5</v>
      </c>
      <c r="O36" s="186"/>
    </row>
    <row r="37" spans="1:17" ht="14.45" thickBot="1" x14ac:dyDescent="0.35">
      <c r="I37" s="197"/>
      <c r="K37" s="25" t="s">
        <v>24</v>
      </c>
      <c r="L37" s="185">
        <f>'[5]Rate Options'!I34</f>
        <v>2</v>
      </c>
      <c r="M37" s="185"/>
      <c r="N37" s="185"/>
      <c r="O37" s="186"/>
      <c r="P37" s="198"/>
    </row>
    <row r="38" spans="1:17" ht="13.5" thickBot="1" x14ac:dyDescent="0.25">
      <c r="A38" s="787" t="s">
        <v>54</v>
      </c>
      <c r="B38" s="788"/>
      <c r="C38" s="788"/>
      <c r="D38" s="788"/>
      <c r="E38" s="789"/>
      <c r="H38" s="785" t="s">
        <v>52</v>
      </c>
      <c r="I38" s="202"/>
      <c r="K38" s="25" t="s">
        <v>114</v>
      </c>
      <c r="L38" s="185"/>
      <c r="M38" s="185">
        <f>'[5]Rate Options'!J35</f>
        <v>1</v>
      </c>
      <c r="N38" s="185">
        <f>'[5]Rate Options'!K35</f>
        <v>0.5</v>
      </c>
      <c r="O38" s="186">
        <f>'[5]Rate Options'!L35</f>
        <v>1</v>
      </c>
    </row>
    <row r="39" spans="1:17" x14ac:dyDescent="0.2">
      <c r="A39" s="143" t="s">
        <v>4</v>
      </c>
      <c r="B39" s="6">
        <f>M$29</f>
        <v>10</v>
      </c>
      <c r="C39" s="144"/>
      <c r="D39" s="144" t="s">
        <v>5</v>
      </c>
      <c r="E39" s="145">
        <f>B39*365</f>
        <v>3650</v>
      </c>
      <c r="F39" s="790" t="s">
        <v>0</v>
      </c>
      <c r="G39" s="792" t="s">
        <v>51</v>
      </c>
      <c r="H39" s="786"/>
      <c r="I39" s="202"/>
      <c r="K39" s="25" t="s">
        <v>25</v>
      </c>
      <c r="L39" s="185">
        <f>'[5]Rate Options'!I36</f>
        <v>11.5</v>
      </c>
      <c r="M39" s="185">
        <f>'[5]Rate Options'!J36</f>
        <v>8</v>
      </c>
      <c r="N39" s="185">
        <f>'[5]Rate Options'!K36</f>
        <v>3</v>
      </c>
      <c r="O39" s="186"/>
    </row>
    <row r="40" spans="1:17" ht="13.5" thickBot="1" x14ac:dyDescent="0.25">
      <c r="A40" s="150"/>
      <c r="B40" s="147"/>
      <c r="C40" s="147"/>
      <c r="D40" s="147"/>
      <c r="E40" s="148"/>
      <c r="F40" s="765"/>
      <c r="G40" s="794"/>
      <c r="H40" s="148"/>
      <c r="K40" s="47" t="s">
        <v>27</v>
      </c>
      <c r="L40" s="87">
        <f>L39*$M$10</f>
        <v>1.7692307692307694</v>
      </c>
      <c r="M40" s="87">
        <f>M39*$M$10</f>
        <v>1.2307692307692308</v>
      </c>
      <c r="N40" s="87">
        <f>N39*$M$10</f>
        <v>0.46153846153846156</v>
      </c>
      <c r="O40" s="88"/>
      <c r="Q40" s="206"/>
    </row>
    <row r="41" spans="1:17" ht="13.15" customHeight="1" x14ac:dyDescent="0.25">
      <c r="A41" s="152"/>
      <c r="B41" s="153"/>
      <c r="C41" s="154" t="s">
        <v>10</v>
      </c>
      <c r="D41" s="154" t="s">
        <v>11</v>
      </c>
      <c r="E41" s="155" t="s">
        <v>12</v>
      </c>
      <c r="F41" s="207"/>
      <c r="G41" s="208"/>
      <c r="H41" s="148"/>
      <c r="K41" s="17" t="s">
        <v>28</v>
      </c>
      <c r="L41" s="185"/>
      <c r="M41" s="185"/>
      <c r="N41" s="185"/>
      <c r="O41" s="186"/>
    </row>
    <row r="42" spans="1:17" ht="13.15" x14ac:dyDescent="0.25">
      <c r="A42" s="28" t="s">
        <v>14</v>
      </c>
      <c r="B42" s="147"/>
      <c r="C42" s="156">
        <f>M$13</f>
        <v>57593.3511</v>
      </c>
      <c r="D42" s="157">
        <f>M$30</f>
        <v>1</v>
      </c>
      <c r="E42" s="158">
        <f>C42*D42</f>
        <v>57593.3511</v>
      </c>
      <c r="F42" s="210"/>
      <c r="G42" s="208"/>
      <c r="H42" s="148"/>
      <c r="I42" s="2"/>
      <c r="K42" s="25" t="s">
        <v>29</v>
      </c>
      <c r="L42" s="185">
        <f>'[5]Rate Options'!I39</f>
        <v>0.25</v>
      </c>
      <c r="M42" s="185">
        <f>'[5]Rate Options'!J39</f>
        <v>0.25</v>
      </c>
      <c r="N42" s="185">
        <f>'[5]Rate Options'!K39</f>
        <v>0.13</v>
      </c>
      <c r="O42" s="186"/>
    </row>
    <row r="43" spans="1:17" ht="13.15" x14ac:dyDescent="0.25">
      <c r="A43" s="17" t="s">
        <v>20</v>
      </c>
      <c r="B43" s="147"/>
      <c r="C43" s="156"/>
      <c r="D43" s="157"/>
      <c r="E43" s="158"/>
      <c r="F43" s="210"/>
      <c r="G43" s="208"/>
      <c r="H43" s="148"/>
      <c r="I43" s="2"/>
      <c r="K43" s="150"/>
      <c r="L43" s="147"/>
      <c r="M43" s="147"/>
      <c r="N43" s="147"/>
      <c r="O43" s="148"/>
    </row>
    <row r="44" spans="1:17" ht="13.15" x14ac:dyDescent="0.25">
      <c r="A44" s="25" t="str">
        <f>K18</f>
        <v xml:space="preserve">    Social Worker </v>
      </c>
      <c r="B44" s="149"/>
      <c r="C44" s="161">
        <f>M18</f>
        <v>43971.200000000004</v>
      </c>
      <c r="D44" s="157">
        <f>M35</f>
        <v>0.13</v>
      </c>
      <c r="E44" s="158">
        <f>D44*C44</f>
        <v>5716.2560000000003</v>
      </c>
      <c r="F44" s="210"/>
      <c r="G44" s="208"/>
      <c r="H44" s="148"/>
      <c r="I44" s="149"/>
      <c r="K44" s="150"/>
      <c r="L44" s="147"/>
      <c r="M44" s="177" t="s">
        <v>113</v>
      </c>
      <c r="N44" s="177"/>
      <c r="O44" s="148"/>
    </row>
    <row r="45" spans="1:17" ht="13.15" x14ac:dyDescent="0.25">
      <c r="A45" s="17" t="s">
        <v>22</v>
      </c>
      <c r="B45" s="149"/>
      <c r="C45" s="161">
        <f>M19</f>
        <v>32198</v>
      </c>
      <c r="D45" s="157">
        <f>M36</f>
        <v>0.5</v>
      </c>
      <c r="E45" s="158">
        <f>C45*D45</f>
        <v>16099</v>
      </c>
      <c r="F45" s="210"/>
      <c r="G45" s="208"/>
      <c r="H45" s="148"/>
      <c r="I45" s="149"/>
      <c r="K45" s="150" t="s">
        <v>35</v>
      </c>
      <c r="L45" s="147"/>
      <c r="M45" s="435">
        <f>'[3]Master Data '!D140</f>
        <v>0.22309999999999999</v>
      </c>
      <c r="N45" s="209"/>
      <c r="O45" s="148"/>
    </row>
    <row r="46" spans="1:17" ht="13.15" x14ac:dyDescent="0.25">
      <c r="A46" s="25" t="s">
        <v>114</v>
      </c>
      <c r="B46" s="149"/>
      <c r="C46" s="161">
        <f>M21</f>
        <v>43971.200000000004</v>
      </c>
      <c r="D46" s="157">
        <f>M38</f>
        <v>1</v>
      </c>
      <c r="E46" s="158">
        <f>C46*D46</f>
        <v>43971.200000000004</v>
      </c>
      <c r="F46" s="210"/>
      <c r="G46" s="208"/>
      <c r="H46" s="148"/>
      <c r="I46" s="149"/>
      <c r="K46" s="150" t="s">
        <v>120</v>
      </c>
      <c r="L46" s="147"/>
      <c r="M46" s="191">
        <v>3.7000000000000002E-3</v>
      </c>
      <c r="N46" s="147"/>
      <c r="O46" s="148"/>
    </row>
    <row r="47" spans="1:17" x14ac:dyDescent="0.2">
      <c r="A47" s="25" t="s">
        <v>25</v>
      </c>
      <c r="B47" s="149"/>
      <c r="C47" s="161">
        <f>M22</f>
        <v>32198</v>
      </c>
      <c r="D47" s="157">
        <f>M39</f>
        <v>8</v>
      </c>
      <c r="E47" s="158">
        <f>C47*D47</f>
        <v>257584</v>
      </c>
      <c r="F47" s="210"/>
      <c r="G47" s="208"/>
      <c r="H47" s="148"/>
      <c r="I47" s="149"/>
      <c r="K47" s="150" t="s">
        <v>38</v>
      </c>
      <c r="L47" s="147"/>
      <c r="M47" s="438">
        <f>'[3]Master Data '!F91</f>
        <v>28.402985999999999</v>
      </c>
      <c r="N47" s="211"/>
      <c r="O47" s="148"/>
    </row>
    <row r="48" spans="1:17" x14ac:dyDescent="0.2">
      <c r="A48" s="47" t="s">
        <v>27</v>
      </c>
      <c r="B48" s="149"/>
      <c r="C48" s="161">
        <f>M23</f>
        <v>32198</v>
      </c>
      <c r="D48" s="166">
        <f>M40</f>
        <v>1.2307692307692308</v>
      </c>
      <c r="E48" s="158">
        <f>C48*D48</f>
        <v>39628.307692307695</v>
      </c>
      <c r="F48" s="210"/>
      <c r="G48" s="208"/>
      <c r="H48" s="148"/>
      <c r="I48" s="149"/>
      <c r="K48" s="150" t="s">
        <v>39</v>
      </c>
      <c r="L48" s="147"/>
      <c r="M48" s="438">
        <v>12.872</v>
      </c>
      <c r="N48" s="211"/>
      <c r="O48" s="148"/>
    </row>
    <row r="49" spans="1:15" ht="13.15" x14ac:dyDescent="0.25">
      <c r="A49" s="17" t="s">
        <v>28</v>
      </c>
      <c r="B49" s="149"/>
      <c r="C49" s="161"/>
      <c r="D49" s="157"/>
      <c r="E49" s="158"/>
      <c r="F49" s="210"/>
      <c r="G49" s="208"/>
      <c r="H49" s="148"/>
      <c r="I49" s="149"/>
      <c r="K49" s="212" t="s">
        <v>40</v>
      </c>
      <c r="L49" s="213"/>
      <c r="M49" s="441">
        <f>SUM(M47:M48)</f>
        <v>41.274985999999998</v>
      </c>
      <c r="N49" s="214"/>
      <c r="O49" s="146"/>
    </row>
    <row r="50" spans="1:15" ht="13.15" x14ac:dyDescent="0.25">
      <c r="A50" s="25" t="s">
        <v>29</v>
      </c>
      <c r="B50" s="149"/>
      <c r="C50" s="161">
        <f>M25</f>
        <v>32198</v>
      </c>
      <c r="D50" s="157">
        <f>M42</f>
        <v>0.25</v>
      </c>
      <c r="E50" s="158">
        <f>C50*D50</f>
        <v>8049.5</v>
      </c>
      <c r="F50" s="210"/>
      <c r="G50" s="208"/>
      <c r="H50" s="148"/>
      <c r="I50" s="149"/>
      <c r="K50" s="150"/>
      <c r="L50" s="147"/>
      <c r="M50" s="149"/>
      <c r="N50" s="147"/>
      <c r="O50" s="148"/>
    </row>
    <row r="51" spans="1:15" ht="13.15" x14ac:dyDescent="0.25">
      <c r="A51" s="167" t="s">
        <v>30</v>
      </c>
      <c r="B51" s="404"/>
      <c r="C51" s="404"/>
      <c r="D51" s="169">
        <f>SUM(D42:D50)</f>
        <v>12.110769230769229</v>
      </c>
      <c r="E51" s="170">
        <f>SUM(E42:E50)</f>
        <v>428641.61479230766</v>
      </c>
      <c r="F51" s="210"/>
      <c r="G51" s="208"/>
      <c r="H51" s="148"/>
      <c r="I51" s="149"/>
      <c r="K51" s="150" t="s">
        <v>47</v>
      </c>
      <c r="L51" s="147"/>
      <c r="M51" s="435">
        <f>'[3]Group Home'!Q55</f>
        <v>0.11849999999999999</v>
      </c>
      <c r="N51" s="209"/>
      <c r="O51" s="148"/>
    </row>
    <row r="52" spans="1:15" ht="13.15" x14ac:dyDescent="0.25">
      <c r="A52" s="150"/>
      <c r="B52" s="149"/>
      <c r="C52" s="149"/>
      <c r="D52" s="147"/>
      <c r="E52" s="148"/>
      <c r="F52" s="210"/>
      <c r="G52" s="208"/>
      <c r="H52" s="148"/>
      <c r="I52" s="149"/>
      <c r="K52" s="150"/>
      <c r="L52" s="147"/>
      <c r="M52" s="149"/>
      <c r="N52" s="147"/>
      <c r="O52" s="148"/>
    </row>
    <row r="53" spans="1:15" ht="13.5" thickBot="1" x14ac:dyDescent="0.25">
      <c r="A53" s="143" t="s">
        <v>32</v>
      </c>
      <c r="B53" s="149"/>
      <c r="C53" s="149"/>
      <c r="D53" s="144" t="s">
        <v>33</v>
      </c>
      <c r="E53" s="148"/>
      <c r="F53" s="210"/>
      <c r="G53" s="208"/>
      <c r="H53" s="148"/>
      <c r="I53" s="149"/>
      <c r="K53" s="215" t="s">
        <v>121</v>
      </c>
      <c r="L53" s="216"/>
      <c r="M53" s="445">
        <f>'[3]Master Data '!D126</f>
        <v>1.78E-2</v>
      </c>
      <c r="N53" s="218"/>
      <c r="O53" s="219"/>
    </row>
    <row r="54" spans="1:15" x14ac:dyDescent="0.2">
      <c r="A54" s="150" t="s">
        <v>35</v>
      </c>
      <c r="B54" s="149"/>
      <c r="C54" s="191">
        <f>$M$45</f>
        <v>0.22309999999999999</v>
      </c>
      <c r="D54" s="147"/>
      <c r="E54" s="158">
        <f>C54*E51</f>
        <v>95629.944260163844</v>
      </c>
      <c r="F54" s="210"/>
      <c r="G54" s="208"/>
      <c r="H54" s="148"/>
      <c r="I54" s="149"/>
      <c r="K54" s="221"/>
    </row>
    <row r="55" spans="1:15" x14ac:dyDescent="0.2">
      <c r="A55" s="167" t="s">
        <v>36</v>
      </c>
      <c r="B55" s="404"/>
      <c r="C55" s="404"/>
      <c r="D55" s="172">
        <f>E55/E39</f>
        <v>143.6360435760196</v>
      </c>
      <c r="E55" s="170">
        <f>E54+E51</f>
        <v>524271.55905247154</v>
      </c>
      <c r="F55" s="210"/>
      <c r="G55" s="208"/>
      <c r="H55" s="148"/>
      <c r="I55" s="149"/>
      <c r="K55" s="102"/>
    </row>
    <row r="56" spans="1:15" x14ac:dyDescent="0.2">
      <c r="A56" s="150" t="str">
        <f>'[3]Master Data '!B128</f>
        <v>PFMLA Trust Contribution</v>
      </c>
      <c r="B56" s="503">
        <f>M46</f>
        <v>3.7000000000000002E-3</v>
      </c>
      <c r="C56" s="149"/>
      <c r="D56" s="147"/>
      <c r="E56" s="173">
        <f>E51*B56</f>
        <v>1585.9739747315384</v>
      </c>
      <c r="F56" s="210"/>
      <c r="G56" s="208"/>
      <c r="H56" s="148"/>
      <c r="I56" s="149"/>
      <c r="K56" s="102"/>
    </row>
    <row r="57" spans="1:15" x14ac:dyDescent="0.2">
      <c r="A57" s="150" t="s">
        <v>38</v>
      </c>
      <c r="B57" s="149"/>
      <c r="C57" s="149"/>
      <c r="D57" s="174">
        <f>$M$47</f>
        <v>28.402985999999999</v>
      </c>
      <c r="E57" s="175">
        <f>D57*E39</f>
        <v>103670.8989</v>
      </c>
      <c r="F57" s="210"/>
      <c r="G57" s="208"/>
      <c r="H57" s="148"/>
      <c r="I57" s="149"/>
    </row>
    <row r="58" spans="1:15" x14ac:dyDescent="0.2">
      <c r="A58" s="150" t="s">
        <v>39</v>
      </c>
      <c r="B58" s="149"/>
      <c r="C58" s="149"/>
      <c r="D58" s="174">
        <f>$M$48</f>
        <v>12.872</v>
      </c>
      <c r="E58" s="175">
        <f>D58*E39</f>
        <v>46982.8</v>
      </c>
      <c r="F58" s="210"/>
      <c r="G58" s="208"/>
      <c r="H58" s="148"/>
      <c r="I58" s="149"/>
    </row>
    <row r="59" spans="1:15" x14ac:dyDescent="0.2">
      <c r="A59" s="150"/>
      <c r="B59" s="149"/>
      <c r="C59" s="149"/>
      <c r="D59" s="176">
        <f>SUM(D57:D58)</f>
        <v>41.274985999999998</v>
      </c>
      <c r="E59" s="148"/>
      <c r="F59" s="210"/>
      <c r="G59" s="208"/>
      <c r="H59" s="148"/>
      <c r="I59" s="149"/>
    </row>
    <row r="60" spans="1:15" x14ac:dyDescent="0.2">
      <c r="A60" s="150"/>
      <c r="B60" s="147"/>
      <c r="C60" s="147"/>
      <c r="D60" s="147"/>
      <c r="E60" s="148"/>
      <c r="F60" s="210"/>
      <c r="G60" s="208"/>
      <c r="H60" s="148"/>
      <c r="I60" s="149"/>
    </row>
    <row r="61" spans="1:15" x14ac:dyDescent="0.2">
      <c r="A61" s="167" t="s">
        <v>40</v>
      </c>
      <c r="B61" s="168"/>
      <c r="C61" s="168"/>
      <c r="D61" s="168"/>
      <c r="E61" s="170">
        <f>SUM(E55:E58)</f>
        <v>676511.23192720313</v>
      </c>
      <c r="F61" s="210"/>
      <c r="G61" s="208"/>
      <c r="H61" s="148"/>
      <c r="I61" s="149"/>
    </row>
    <row r="62" spans="1:15" x14ac:dyDescent="0.2">
      <c r="A62" s="150"/>
      <c r="B62" s="147"/>
      <c r="C62" s="147"/>
      <c r="D62" s="147"/>
      <c r="E62" s="148"/>
      <c r="F62" s="210"/>
      <c r="G62" s="208"/>
      <c r="H62" s="148"/>
      <c r="I62" s="149"/>
    </row>
    <row r="63" spans="1:15" x14ac:dyDescent="0.2">
      <c r="A63" s="150" t="s">
        <v>47</v>
      </c>
      <c r="B63" s="147"/>
      <c r="C63" s="171">
        <f>$M$51</f>
        <v>0.11849999999999999</v>
      </c>
      <c r="D63" s="147"/>
      <c r="E63" s="158">
        <f>C63*E61</f>
        <v>80166.580983373569</v>
      </c>
      <c r="F63" s="210"/>
      <c r="G63" s="208"/>
      <c r="H63" s="148"/>
      <c r="I63" s="149"/>
    </row>
    <row r="64" spans="1:15" x14ac:dyDescent="0.2">
      <c r="A64" s="150"/>
      <c r="B64" s="147"/>
      <c r="C64" s="147"/>
      <c r="D64" s="147"/>
      <c r="E64" s="148"/>
      <c r="F64" s="210"/>
      <c r="G64" s="208"/>
      <c r="H64" s="148"/>
      <c r="I64" s="149"/>
    </row>
    <row r="65" spans="1:9" ht="13.5" thickBot="1" x14ac:dyDescent="0.25">
      <c r="A65" s="182" t="s">
        <v>49</v>
      </c>
      <c r="B65" s="183"/>
      <c r="C65" s="183"/>
      <c r="D65" s="183"/>
      <c r="E65" s="184">
        <f>SUM(E61:E63)</f>
        <v>756677.8129105767</v>
      </c>
      <c r="F65" s="210"/>
      <c r="G65" s="208"/>
      <c r="H65" s="223"/>
      <c r="I65" s="149"/>
    </row>
    <row r="66" spans="1:9" ht="13.5" thickTop="1" x14ac:dyDescent="0.2">
      <c r="A66" s="150"/>
      <c r="B66" s="147"/>
      <c r="C66" s="147"/>
      <c r="D66" s="147"/>
      <c r="E66" s="148"/>
      <c r="F66" s="210"/>
      <c r="G66" s="208"/>
      <c r="H66" s="148"/>
      <c r="I66" s="149"/>
    </row>
    <row r="67" spans="1:9" ht="13.5" thickBot="1" x14ac:dyDescent="0.25">
      <c r="A67" s="150" t="str">
        <f>K53</f>
        <v>CAF Rate Review (FY21 7 FY22)</v>
      </c>
      <c r="B67" s="147"/>
      <c r="C67" s="191">
        <f>M53</f>
        <v>1.78E-2</v>
      </c>
      <c r="D67" s="147"/>
      <c r="E67" s="187">
        <f>(E65*C67)-(E51*C67)+E65</f>
        <v>762516.85723708186</v>
      </c>
      <c r="F67" s="210"/>
      <c r="G67" s="222">
        <f>E65</f>
        <v>756677.8129105767</v>
      </c>
      <c r="H67" s="175"/>
      <c r="I67" s="149"/>
    </row>
    <row r="68" spans="1:9" ht="14.25" thickTop="1" thickBot="1" x14ac:dyDescent="0.25">
      <c r="A68" s="150"/>
      <c r="B68" s="147"/>
      <c r="C68" s="147"/>
      <c r="D68" s="188"/>
      <c r="E68" s="189"/>
      <c r="F68" s="210"/>
      <c r="G68" s="208"/>
      <c r="H68" s="175">
        <f>E67/12</f>
        <v>63543.071436423488</v>
      </c>
      <c r="I68" s="149"/>
    </row>
    <row r="69" spans="1:9" ht="13.5" thickBot="1" x14ac:dyDescent="0.25">
      <c r="A69" s="230"/>
      <c r="B69" s="231"/>
      <c r="C69" s="232"/>
      <c r="D69" s="233"/>
      <c r="E69" s="234"/>
      <c r="F69" s="210"/>
      <c r="G69" s="227" t="s">
        <v>57</v>
      </c>
      <c r="H69" s="236">
        <f>ROUNDUP(H68/B39,0)</f>
        <v>6355</v>
      </c>
      <c r="I69" s="149"/>
    </row>
    <row r="70" spans="1:9" ht="13.5" thickBot="1" x14ac:dyDescent="0.25">
      <c r="A70" s="199"/>
      <c r="B70" s="200"/>
      <c r="C70" s="201"/>
      <c r="D70" s="79"/>
      <c r="E70" s="85"/>
      <c r="F70" s="210"/>
      <c r="G70" s="229" t="e">
        <f>#REF!/12</f>
        <v>#REF!</v>
      </c>
      <c r="H70" s="238">
        <f>H69*(C70+1)</f>
        <v>6355</v>
      </c>
      <c r="I70" s="149"/>
    </row>
    <row r="71" spans="1:9" ht="13.5" thickBot="1" x14ac:dyDescent="0.25">
      <c r="A71" s="106" t="s">
        <v>117</v>
      </c>
      <c r="B71" s="107"/>
      <c r="C71" s="108"/>
      <c r="D71" s="89"/>
      <c r="E71" s="89"/>
      <c r="F71" s="233">
        <f>E68*(1+C69)</f>
        <v>0</v>
      </c>
      <c r="G71" s="235" t="e">
        <f>ROUND(G70*(1+C69),0)</f>
        <v>#REF!</v>
      </c>
      <c r="H71" s="202">
        <f>H70/30/B39</f>
        <v>21.183333333333334</v>
      </c>
      <c r="I71" s="202"/>
    </row>
    <row r="72" spans="1:9" x14ac:dyDescent="0.2">
      <c r="A72" s="149" t="s">
        <v>118</v>
      </c>
      <c r="B72" s="204"/>
      <c r="C72" s="149"/>
      <c r="D72" s="89"/>
      <c r="E72" s="89"/>
      <c r="F72" s="202"/>
      <c r="G72" s="202"/>
      <c r="H72" s="202">
        <f>H70/B39</f>
        <v>635.5</v>
      </c>
      <c r="I72" s="226"/>
    </row>
    <row r="73" spans="1:9" x14ac:dyDescent="0.2">
      <c r="F73" s="202"/>
      <c r="G73" s="202"/>
      <c r="I73" s="149"/>
    </row>
    <row r="74" spans="1:9" ht="13.5" thickBot="1" x14ac:dyDescent="0.25">
      <c r="F74" s="202"/>
      <c r="G74" s="202"/>
      <c r="I74" s="228"/>
    </row>
    <row r="75" spans="1:9" ht="13.5" thickBot="1" x14ac:dyDescent="0.25">
      <c r="A75" s="787" t="s">
        <v>58</v>
      </c>
      <c r="B75" s="788"/>
      <c r="C75" s="788"/>
      <c r="D75" s="788"/>
      <c r="E75" s="789"/>
      <c r="H75" s="785" t="s">
        <v>52</v>
      </c>
      <c r="I75" s="226"/>
    </row>
    <row r="76" spans="1:9" ht="13.5" thickBot="1" x14ac:dyDescent="0.25">
      <c r="A76" s="143" t="s">
        <v>4</v>
      </c>
      <c r="B76" s="6">
        <f>N$29</f>
        <v>5</v>
      </c>
      <c r="C76" s="144"/>
      <c r="D76" s="144" t="s">
        <v>5</v>
      </c>
      <c r="E76" s="145">
        <f>B76*365</f>
        <v>1825</v>
      </c>
      <c r="H76" s="786"/>
      <c r="I76" s="237"/>
    </row>
    <row r="77" spans="1:9" x14ac:dyDescent="0.2">
      <c r="A77" s="150"/>
      <c r="B77" s="147"/>
      <c r="C77" s="147"/>
      <c r="D77" s="147"/>
      <c r="E77" s="148"/>
      <c r="F77" s="790" t="s">
        <v>0</v>
      </c>
      <c r="G77" s="792" t="s">
        <v>51</v>
      </c>
      <c r="H77" s="786"/>
      <c r="I77" s="202"/>
    </row>
    <row r="78" spans="1:9" x14ac:dyDescent="0.2">
      <c r="A78" s="152"/>
      <c r="B78" s="153"/>
      <c r="C78" s="154" t="s">
        <v>10</v>
      </c>
      <c r="D78" s="154" t="s">
        <v>11</v>
      </c>
      <c r="E78" s="155" t="s">
        <v>12</v>
      </c>
      <c r="F78" s="764"/>
      <c r="G78" s="793"/>
      <c r="H78" s="148"/>
      <c r="I78" s="202"/>
    </row>
    <row r="79" spans="1:9" ht="13.5" thickBot="1" x14ac:dyDescent="0.25">
      <c r="A79" s="28" t="s">
        <v>14</v>
      </c>
      <c r="B79" s="147"/>
      <c r="C79" s="156">
        <f>M13</f>
        <v>57593.3511</v>
      </c>
      <c r="D79" s="157">
        <f>N30</f>
        <v>1</v>
      </c>
      <c r="E79" s="158">
        <f>C79*D79</f>
        <v>57593.3511</v>
      </c>
      <c r="F79" s="791"/>
      <c r="G79" s="794"/>
      <c r="H79" s="148"/>
      <c r="I79" s="202"/>
    </row>
    <row r="80" spans="1:9" x14ac:dyDescent="0.2">
      <c r="A80" s="17" t="s">
        <v>20</v>
      </c>
      <c r="B80" s="147"/>
      <c r="C80" s="156"/>
      <c r="D80" s="157"/>
      <c r="E80" s="158"/>
      <c r="F80" s="210"/>
      <c r="G80" s="208"/>
      <c r="H80" s="148"/>
      <c r="I80" s="2"/>
    </row>
    <row r="81" spans="1:9" x14ac:dyDescent="0.2">
      <c r="A81" s="17" t="str">
        <f>K18</f>
        <v xml:space="preserve">    Social Worker </v>
      </c>
      <c r="B81" s="147"/>
      <c r="C81" s="156">
        <f>M18</f>
        <v>43971.200000000004</v>
      </c>
      <c r="D81" s="157">
        <f>N35</f>
        <v>0.13</v>
      </c>
      <c r="E81" s="158">
        <f>D81*C81</f>
        <v>5716.2560000000003</v>
      </c>
      <c r="F81" s="210"/>
      <c r="G81" s="208"/>
      <c r="H81" s="148"/>
      <c r="I81" s="2"/>
    </row>
    <row r="82" spans="1:9" x14ac:dyDescent="0.2">
      <c r="A82" s="25" t="s">
        <v>34</v>
      </c>
      <c r="B82" s="147"/>
      <c r="C82" s="156">
        <f>M19</f>
        <v>32198</v>
      </c>
      <c r="D82" s="157">
        <f>N36</f>
        <v>0.5</v>
      </c>
      <c r="E82" s="158">
        <f>C82*D82</f>
        <v>16099</v>
      </c>
      <c r="F82" s="210"/>
      <c r="G82" s="208"/>
      <c r="H82" s="148"/>
      <c r="I82" s="2"/>
    </row>
    <row r="83" spans="1:9" x14ac:dyDescent="0.2">
      <c r="A83" s="25" t="s">
        <v>114</v>
      </c>
      <c r="B83" s="147"/>
      <c r="C83" s="156">
        <f>M21</f>
        <v>43971.200000000004</v>
      </c>
      <c r="D83" s="157">
        <f>N38</f>
        <v>0.5</v>
      </c>
      <c r="E83" s="158">
        <f>C83*D83</f>
        <v>21985.600000000002</v>
      </c>
      <c r="F83" s="210"/>
      <c r="G83" s="208"/>
      <c r="H83" s="148"/>
      <c r="I83" s="2"/>
    </row>
    <row r="84" spans="1:9" x14ac:dyDescent="0.2">
      <c r="A84" s="25" t="s">
        <v>25</v>
      </c>
      <c r="B84" s="147"/>
      <c r="C84" s="156">
        <f>M22</f>
        <v>32198</v>
      </c>
      <c r="D84" s="157">
        <f>N39</f>
        <v>3</v>
      </c>
      <c r="E84" s="158">
        <f>C84*D84</f>
        <v>96594</v>
      </c>
      <c r="F84" s="210"/>
      <c r="G84" s="208"/>
      <c r="H84" s="148"/>
      <c r="I84" s="149"/>
    </row>
    <row r="85" spans="1:9" x14ac:dyDescent="0.2">
      <c r="A85" s="47" t="s">
        <v>27</v>
      </c>
      <c r="B85" s="147"/>
      <c r="C85" s="156">
        <f>M23</f>
        <v>32198</v>
      </c>
      <c r="D85" s="166">
        <f>N40</f>
        <v>0.46153846153846156</v>
      </c>
      <c r="E85" s="158">
        <f>C85*D85</f>
        <v>14860.615384615385</v>
      </c>
      <c r="F85" s="210"/>
      <c r="G85" s="208"/>
      <c r="H85" s="148"/>
      <c r="I85" s="149"/>
    </row>
    <row r="86" spans="1:9" ht="13.15" customHeight="1" x14ac:dyDescent="0.2">
      <c r="A86" s="17" t="s">
        <v>28</v>
      </c>
      <c r="B86" s="147"/>
      <c r="C86" s="156"/>
      <c r="D86" s="157"/>
      <c r="E86" s="158"/>
      <c r="F86" s="210"/>
      <c r="G86" s="208"/>
      <c r="H86" s="148"/>
      <c r="I86" s="149"/>
    </row>
    <row r="87" spans="1:9" ht="13.9" customHeight="1" x14ac:dyDescent="0.2">
      <c r="A87" s="25" t="s">
        <v>29</v>
      </c>
      <c r="B87" s="147"/>
      <c r="C87" s="156">
        <f>M25</f>
        <v>32198</v>
      </c>
      <c r="D87" s="157">
        <f>N42</f>
        <v>0.13</v>
      </c>
      <c r="E87" s="158">
        <f>C87*D87</f>
        <v>4185.74</v>
      </c>
      <c r="F87" s="210"/>
      <c r="G87" s="208"/>
      <c r="H87" s="148"/>
      <c r="I87" s="149"/>
    </row>
    <row r="88" spans="1:9" x14ac:dyDescent="0.2">
      <c r="A88" s="167" t="s">
        <v>30</v>
      </c>
      <c r="B88" s="168"/>
      <c r="C88" s="168"/>
      <c r="D88" s="169">
        <f>SUM(D79:D87)</f>
        <v>5.7215384615384615</v>
      </c>
      <c r="E88" s="170">
        <f>SUM(E79:E87)</f>
        <v>217034.56248461537</v>
      </c>
      <c r="F88" s="210"/>
      <c r="G88" s="208"/>
      <c r="H88" s="148"/>
      <c r="I88" s="149"/>
    </row>
    <row r="89" spans="1:9" x14ac:dyDescent="0.2">
      <c r="A89" s="150"/>
      <c r="B89" s="147"/>
      <c r="C89" s="147"/>
      <c r="D89" s="147"/>
      <c r="E89" s="148"/>
      <c r="F89" s="210"/>
      <c r="G89" s="208"/>
      <c r="H89" s="148"/>
      <c r="I89" s="149"/>
    </row>
    <row r="90" spans="1:9" x14ac:dyDescent="0.2">
      <c r="A90" s="143" t="s">
        <v>32</v>
      </c>
      <c r="B90" s="147"/>
      <c r="C90" s="147"/>
      <c r="D90" s="144" t="s">
        <v>33</v>
      </c>
      <c r="E90" s="148"/>
      <c r="F90" s="210"/>
      <c r="G90" s="208"/>
      <c r="H90" s="148"/>
      <c r="I90" s="149"/>
    </row>
    <row r="91" spans="1:9" x14ac:dyDescent="0.2">
      <c r="A91" s="150" t="s">
        <v>35</v>
      </c>
      <c r="B91" s="147"/>
      <c r="C91" s="171">
        <f>$M$45</f>
        <v>0.22309999999999999</v>
      </c>
      <c r="D91" s="147"/>
      <c r="E91" s="158">
        <f>C91*E88</f>
        <v>48420.410890317689</v>
      </c>
      <c r="F91" s="210"/>
      <c r="G91" s="208"/>
      <c r="H91" s="148"/>
      <c r="I91" s="149"/>
    </row>
    <row r="92" spans="1:9" x14ac:dyDescent="0.2">
      <c r="A92" s="167" t="s">
        <v>36</v>
      </c>
      <c r="B92" s="168"/>
      <c r="C92" s="168"/>
      <c r="D92" s="172">
        <f>E92/E76</f>
        <v>145.45477993147017</v>
      </c>
      <c r="E92" s="170">
        <f>E91+E88</f>
        <v>265454.97337493306</v>
      </c>
      <c r="F92" s="210"/>
      <c r="G92" s="208"/>
      <c r="H92" s="148"/>
      <c r="I92" s="149"/>
    </row>
    <row r="93" spans="1:9" x14ac:dyDescent="0.2">
      <c r="A93" s="150" t="str">
        <f>'[3]Master Data '!B128</f>
        <v>PFMLA Trust Contribution</v>
      </c>
      <c r="B93" s="150">
        <f>'[3]Master Data '!D128</f>
        <v>3.7000000000000002E-3</v>
      </c>
      <c r="C93" s="147"/>
      <c r="D93" s="147"/>
      <c r="E93" s="173">
        <f>B93*E88</f>
        <v>803.02788119307684</v>
      </c>
      <c r="F93" s="210"/>
      <c r="G93" s="208"/>
      <c r="H93" s="148"/>
      <c r="I93" s="149"/>
    </row>
    <row r="94" spans="1:9" x14ac:dyDescent="0.2">
      <c r="A94" s="150" t="s">
        <v>38</v>
      </c>
      <c r="B94" s="147"/>
      <c r="C94" s="147"/>
      <c r="D94" s="174">
        <f>$M$47</f>
        <v>28.402985999999999</v>
      </c>
      <c r="E94" s="175">
        <f>D94*E76</f>
        <v>51835.44945</v>
      </c>
      <c r="F94" s="210"/>
      <c r="G94" s="208"/>
      <c r="H94" s="148"/>
      <c r="I94" s="149"/>
    </row>
    <row r="95" spans="1:9" x14ac:dyDescent="0.2">
      <c r="A95" s="150" t="s">
        <v>39</v>
      </c>
      <c r="B95" s="147"/>
      <c r="C95" s="147"/>
      <c r="D95" s="174">
        <f>$M$48</f>
        <v>12.872</v>
      </c>
      <c r="E95" s="175">
        <f>D95*E76</f>
        <v>23491.4</v>
      </c>
      <c r="F95" s="210"/>
      <c r="G95" s="208"/>
      <c r="H95" s="148"/>
      <c r="I95" s="149"/>
    </row>
    <row r="96" spans="1:9" x14ac:dyDescent="0.2">
      <c r="A96" s="150"/>
      <c r="B96" s="147"/>
      <c r="C96" s="147"/>
      <c r="D96" s="176">
        <f>SUM(D94:D95)</f>
        <v>41.274985999999998</v>
      </c>
      <c r="E96" s="148"/>
      <c r="F96" s="210"/>
      <c r="G96" s="208"/>
      <c r="H96" s="148"/>
      <c r="I96" s="149"/>
    </row>
    <row r="97" spans="1:9" x14ac:dyDescent="0.2">
      <c r="A97" s="150"/>
      <c r="B97" s="147"/>
      <c r="C97" s="147"/>
      <c r="D97" s="147"/>
      <c r="E97" s="148"/>
      <c r="F97" s="210"/>
      <c r="G97" s="208"/>
      <c r="H97" s="148"/>
      <c r="I97" s="149"/>
    </row>
    <row r="98" spans="1:9" x14ac:dyDescent="0.2">
      <c r="A98" s="167" t="s">
        <v>40</v>
      </c>
      <c r="B98" s="168"/>
      <c r="C98" s="168"/>
      <c r="D98" s="168"/>
      <c r="E98" s="170">
        <f>SUM(E92:E95)</f>
        <v>341584.85070612619</v>
      </c>
      <c r="F98" s="210"/>
      <c r="G98" s="208"/>
      <c r="H98" s="148"/>
      <c r="I98" s="149"/>
    </row>
    <row r="99" spans="1:9" x14ac:dyDescent="0.2">
      <c r="A99" s="150"/>
      <c r="B99" s="147"/>
      <c r="C99" s="147"/>
      <c r="D99" s="147"/>
      <c r="E99" s="148"/>
      <c r="F99" s="210"/>
      <c r="G99" s="208"/>
      <c r="H99" s="148"/>
      <c r="I99" s="149"/>
    </row>
    <row r="100" spans="1:9" x14ac:dyDescent="0.2">
      <c r="A100" s="150" t="s">
        <v>47</v>
      </c>
      <c r="B100" s="147"/>
      <c r="C100" s="171">
        <f>$M$51</f>
        <v>0.11849999999999999</v>
      </c>
      <c r="D100" s="147"/>
      <c r="E100" s="158">
        <f>C100*E98</f>
        <v>40477.804808675952</v>
      </c>
      <c r="F100" s="210"/>
      <c r="G100" s="208"/>
      <c r="H100" s="148"/>
      <c r="I100" s="149"/>
    </row>
    <row r="101" spans="1:9" x14ac:dyDescent="0.2">
      <c r="A101" s="150"/>
      <c r="B101" s="147"/>
      <c r="C101" s="147"/>
      <c r="D101" s="147"/>
      <c r="E101" s="148"/>
      <c r="F101" s="210"/>
      <c r="G101" s="208"/>
      <c r="H101" s="148"/>
      <c r="I101" s="149"/>
    </row>
    <row r="102" spans="1:9" ht="13.5" thickBot="1" x14ac:dyDescent="0.25">
      <c r="A102" s="182" t="s">
        <v>49</v>
      </c>
      <c r="B102" s="183"/>
      <c r="C102" s="183"/>
      <c r="D102" s="183"/>
      <c r="E102" s="184">
        <f>SUM(E98:E100)</f>
        <v>382062.65551480214</v>
      </c>
      <c r="F102" s="210"/>
      <c r="G102" s="208"/>
      <c r="H102" s="223"/>
      <c r="I102" s="149"/>
    </row>
    <row r="103" spans="1:9" ht="13.5" thickTop="1" x14ac:dyDescent="0.2">
      <c r="A103" s="150"/>
      <c r="B103" s="147"/>
      <c r="C103" s="147"/>
      <c r="D103" s="147"/>
      <c r="E103" s="148"/>
      <c r="F103" s="210"/>
      <c r="G103" s="208"/>
      <c r="H103" s="148"/>
      <c r="I103" s="149"/>
    </row>
    <row r="104" spans="1:9" x14ac:dyDescent="0.2">
      <c r="A104" s="150" t="str">
        <f>A67</f>
        <v>CAF Rate Review (FY21 7 FY22)</v>
      </c>
      <c r="B104" s="147"/>
      <c r="C104" s="171">
        <f>C67</f>
        <v>1.78E-2</v>
      </c>
      <c r="D104" s="147"/>
      <c r="E104" s="187">
        <f>(E102*C104)-(E88*C104)+E102</f>
        <v>385000.15557073947</v>
      </c>
      <c r="F104" s="210"/>
      <c r="G104" s="208"/>
      <c r="H104" s="175"/>
      <c r="I104" s="149"/>
    </row>
    <row r="105" spans="1:9" ht="13.5" thickBot="1" x14ac:dyDescent="0.25">
      <c r="A105" s="150"/>
      <c r="B105" s="147"/>
      <c r="C105" s="147"/>
      <c r="D105" s="188"/>
      <c r="E105" s="189"/>
      <c r="F105" s="210"/>
      <c r="G105" s="208"/>
      <c r="H105" s="175">
        <f>E104/12</f>
        <v>32083.346297561624</v>
      </c>
      <c r="I105" s="149"/>
    </row>
    <row r="106" spans="1:9" ht="13.5" thickBot="1" x14ac:dyDescent="0.25">
      <c r="A106" s="230" t="s">
        <v>314</v>
      </c>
      <c r="B106" s="231"/>
      <c r="C106" s="232"/>
      <c r="D106" s="233"/>
      <c r="E106" s="234"/>
      <c r="F106" s="210"/>
      <c r="G106" s="222">
        <f>E102</f>
        <v>382062.65551480214</v>
      </c>
      <c r="H106" s="240">
        <f>H105/B76</f>
        <v>6416.669259512325</v>
      </c>
      <c r="I106" s="149"/>
    </row>
    <row r="107" spans="1:9" ht="13.5" thickBot="1" x14ac:dyDescent="0.25">
      <c r="A107" s="199"/>
      <c r="B107" s="200"/>
      <c r="C107" s="201"/>
      <c r="D107" s="79"/>
      <c r="E107" s="85"/>
      <c r="F107" s="210"/>
      <c r="G107" s="208"/>
      <c r="H107" s="238">
        <f>H106*(C107+1)</f>
        <v>6416.669259512325</v>
      </c>
      <c r="I107" s="149"/>
    </row>
    <row r="108" spans="1:9" x14ac:dyDescent="0.2">
      <c r="A108" s="106"/>
      <c r="B108" s="107"/>
      <c r="C108" s="108"/>
      <c r="D108" s="89"/>
      <c r="E108" s="89"/>
      <c r="F108" s="210"/>
      <c r="G108" s="227" t="s">
        <v>59</v>
      </c>
      <c r="H108" s="202"/>
      <c r="I108" s="149"/>
    </row>
    <row r="109" spans="1:9" ht="13.5" thickBot="1" x14ac:dyDescent="0.25">
      <c r="A109" s="149"/>
      <c r="B109" s="204"/>
      <c r="C109" s="149"/>
      <c r="D109" s="89"/>
      <c r="E109" s="89"/>
      <c r="F109" s="210"/>
      <c r="G109" s="225" t="e">
        <f>#REF!/12</f>
        <v>#REF!</v>
      </c>
      <c r="H109" s="202"/>
      <c r="I109" s="149"/>
    </row>
    <row r="110" spans="1:9" ht="13.5" thickBot="1" x14ac:dyDescent="0.25">
      <c r="F110" s="233">
        <f>E105*(1+C106)</f>
        <v>0</v>
      </c>
      <c r="G110" s="239" t="e">
        <f>ROUND(G109*(1+C106),0)</f>
        <v>#REF!</v>
      </c>
      <c r="I110" s="149"/>
    </row>
    <row r="111" spans="1:9" ht="13.5" thickBot="1" x14ac:dyDescent="0.25">
      <c r="F111" s="202"/>
      <c r="G111" s="202"/>
      <c r="I111" s="226"/>
    </row>
    <row r="112" spans="1:9" ht="13.5" thickBot="1" x14ac:dyDescent="0.25">
      <c r="A112" s="787" t="s">
        <v>60</v>
      </c>
      <c r="B112" s="788"/>
      <c r="C112" s="788"/>
      <c r="D112" s="788"/>
      <c r="E112" s="789"/>
      <c r="F112" s="202"/>
      <c r="G112" s="202"/>
      <c r="H112" s="785" t="s">
        <v>52</v>
      </c>
      <c r="I112" s="149"/>
    </row>
    <row r="113" spans="1:9" x14ac:dyDescent="0.2">
      <c r="A113" s="143" t="s">
        <v>4</v>
      </c>
      <c r="B113" s="6">
        <f>O$29</f>
        <v>4</v>
      </c>
      <c r="C113" s="144"/>
      <c r="D113" s="144" t="s">
        <v>5</v>
      </c>
      <c r="E113" s="145">
        <f>B113*365</f>
        <v>1460</v>
      </c>
      <c r="F113" s="202"/>
      <c r="G113" s="202"/>
      <c r="H113" s="786"/>
      <c r="I113" s="228"/>
    </row>
    <row r="114" spans="1:9" x14ac:dyDescent="0.2">
      <c r="A114" s="150"/>
      <c r="B114" s="147"/>
      <c r="C114" s="147"/>
      <c r="D114" s="147"/>
      <c r="E114" s="148"/>
      <c r="H114" s="786"/>
      <c r="I114" s="226"/>
    </row>
    <row r="115" spans="1:9" ht="13.5" thickBot="1" x14ac:dyDescent="0.25">
      <c r="A115" s="152"/>
      <c r="B115" s="153"/>
      <c r="C115" s="154" t="s">
        <v>10</v>
      </c>
      <c r="D115" s="154" t="s">
        <v>11</v>
      </c>
      <c r="E115" s="155" t="s">
        <v>12</v>
      </c>
      <c r="H115" s="148"/>
      <c r="I115" s="241"/>
    </row>
    <row r="116" spans="1:9" x14ac:dyDescent="0.2">
      <c r="A116" s="28" t="s">
        <v>14</v>
      </c>
      <c r="B116" s="147"/>
      <c r="C116" s="156">
        <f>M13</f>
        <v>57593.3511</v>
      </c>
      <c r="D116" s="157">
        <f>O30</f>
        <v>0.2</v>
      </c>
      <c r="E116" s="158">
        <f>C116*D116</f>
        <v>11518.67022</v>
      </c>
      <c r="F116" s="790" t="s">
        <v>0</v>
      </c>
      <c r="G116" s="792" t="s">
        <v>51</v>
      </c>
      <c r="H116" s="148"/>
      <c r="I116" s="202"/>
    </row>
    <row r="117" spans="1:9" x14ac:dyDescent="0.2">
      <c r="A117" s="17" t="s">
        <v>20</v>
      </c>
      <c r="B117" s="147"/>
      <c r="C117" s="156"/>
      <c r="D117" s="157"/>
      <c r="E117" s="158"/>
      <c r="F117" s="764"/>
      <c r="G117" s="793"/>
      <c r="H117" s="148"/>
      <c r="I117" s="202"/>
    </row>
    <row r="118" spans="1:9" ht="13.5" thickBot="1" x14ac:dyDescent="0.25">
      <c r="A118" s="25" t="s">
        <v>114</v>
      </c>
      <c r="B118" s="147"/>
      <c r="C118" s="156">
        <f>M21</f>
        <v>43971.200000000004</v>
      </c>
      <c r="D118" s="157">
        <f>O38</f>
        <v>1</v>
      </c>
      <c r="E118" s="158">
        <f>C118*D118</f>
        <v>43971.200000000004</v>
      </c>
      <c r="F118" s="791"/>
      <c r="G118" s="794"/>
      <c r="H118" s="148"/>
      <c r="I118" s="202"/>
    </row>
    <row r="119" spans="1:9" x14ac:dyDescent="0.2">
      <c r="A119" s="167" t="s">
        <v>30</v>
      </c>
      <c r="B119" s="168"/>
      <c r="C119" s="168"/>
      <c r="D119" s="169">
        <f>SUM(D116:D118)</f>
        <v>1.2</v>
      </c>
      <c r="E119" s="170">
        <f>SUM(E116:E118)</f>
        <v>55489.870220000004</v>
      </c>
      <c r="F119" s="207"/>
      <c r="G119" s="208"/>
      <c r="H119" s="148"/>
    </row>
    <row r="120" spans="1:9" x14ac:dyDescent="0.2">
      <c r="A120" s="150"/>
      <c r="B120" s="147"/>
      <c r="C120" s="147"/>
      <c r="D120" s="147"/>
      <c r="E120" s="148"/>
      <c r="F120" s="210"/>
      <c r="G120" s="208"/>
      <c r="H120" s="148"/>
    </row>
    <row r="121" spans="1:9" x14ac:dyDescent="0.2">
      <c r="A121" s="143" t="s">
        <v>32</v>
      </c>
      <c r="B121" s="147"/>
      <c r="C121" s="147"/>
      <c r="D121" s="144" t="s">
        <v>33</v>
      </c>
      <c r="E121" s="148"/>
      <c r="F121" s="210"/>
      <c r="G121" s="208"/>
      <c r="H121" s="148"/>
      <c r="I121" s="2"/>
    </row>
    <row r="122" spans="1:9" x14ac:dyDescent="0.2">
      <c r="A122" s="150" t="s">
        <v>35</v>
      </c>
      <c r="B122" s="147"/>
      <c r="C122" s="171">
        <f>$M$45</f>
        <v>0.22309999999999999</v>
      </c>
      <c r="D122" s="147"/>
      <c r="E122" s="158">
        <f>C122*E119</f>
        <v>12379.790046082</v>
      </c>
      <c r="F122" s="210"/>
      <c r="G122" s="208"/>
      <c r="H122" s="148"/>
      <c r="I122" s="2"/>
    </row>
    <row r="123" spans="1:9" x14ac:dyDescent="0.2">
      <c r="A123" s="167" t="s">
        <v>36</v>
      </c>
      <c r="B123" s="168"/>
      <c r="C123" s="168"/>
      <c r="D123" s="172">
        <f>E123/E113</f>
        <v>46.486068675398634</v>
      </c>
      <c r="E123" s="170">
        <f>E122+E119</f>
        <v>67869.660266082006</v>
      </c>
      <c r="F123" s="210"/>
      <c r="G123" s="208"/>
      <c r="H123" s="148"/>
      <c r="I123" s="2"/>
    </row>
    <row r="124" spans="1:9" x14ac:dyDescent="0.2">
      <c r="A124" s="150" t="str">
        <f>'[3]Master Data '!B128</f>
        <v>PFMLA Trust Contribution</v>
      </c>
      <c r="B124" s="150">
        <f>'[3]Master Data '!D128</f>
        <v>3.7000000000000002E-3</v>
      </c>
      <c r="C124" s="147"/>
      <c r="D124" s="147"/>
      <c r="E124" s="173">
        <f>E119*B124</f>
        <v>205.31251981400001</v>
      </c>
      <c r="F124" s="210"/>
      <c r="G124" s="208"/>
      <c r="H124" s="148"/>
      <c r="I124" s="149"/>
    </row>
    <row r="125" spans="1:9" x14ac:dyDescent="0.2">
      <c r="A125" s="150" t="s">
        <v>38</v>
      </c>
      <c r="B125" s="147"/>
      <c r="C125" s="147"/>
      <c r="D125" s="174">
        <f>$M$47</f>
        <v>28.402985999999999</v>
      </c>
      <c r="E125" s="175">
        <f>D125*E113</f>
        <v>41468.359559999997</v>
      </c>
      <c r="F125" s="210"/>
      <c r="G125" s="208"/>
      <c r="H125" s="148"/>
      <c r="I125" s="149"/>
    </row>
    <row r="126" spans="1:9" ht="13.15" customHeight="1" x14ac:dyDescent="0.2">
      <c r="A126" s="150" t="s">
        <v>39</v>
      </c>
      <c r="B126" s="147"/>
      <c r="C126" s="147"/>
      <c r="D126" s="174">
        <f>$M$48</f>
        <v>12.872</v>
      </c>
      <c r="E126" s="175">
        <f>D126*E113</f>
        <v>18793.12</v>
      </c>
      <c r="F126" s="210"/>
      <c r="G126" s="208"/>
      <c r="H126" s="148"/>
      <c r="I126" s="149"/>
    </row>
    <row r="127" spans="1:9" ht="15" customHeight="1" x14ac:dyDescent="0.2">
      <c r="A127" s="150"/>
      <c r="B127" s="147"/>
      <c r="C127" s="147"/>
      <c r="D127" s="176">
        <f>SUM(D125:D126)</f>
        <v>41.274985999999998</v>
      </c>
      <c r="E127" s="148"/>
      <c r="F127" s="210"/>
      <c r="G127" s="208"/>
      <c r="H127" s="148"/>
      <c r="I127" s="149"/>
    </row>
    <row r="128" spans="1:9" x14ac:dyDescent="0.2">
      <c r="A128" s="150"/>
      <c r="B128" s="147"/>
      <c r="C128" s="147"/>
      <c r="D128" s="147"/>
      <c r="E128" s="148"/>
      <c r="F128" s="210"/>
      <c r="G128" s="208"/>
      <c r="H128" s="148"/>
      <c r="I128" s="149"/>
    </row>
    <row r="129" spans="1:9" x14ac:dyDescent="0.2">
      <c r="A129" s="167" t="s">
        <v>40</v>
      </c>
      <c r="B129" s="168"/>
      <c r="C129" s="168"/>
      <c r="D129" s="168"/>
      <c r="E129" s="170">
        <f>SUM(E123:E126)</f>
        <v>128336.452345896</v>
      </c>
      <c r="F129" s="210"/>
      <c r="G129" s="208"/>
      <c r="H129" s="148"/>
      <c r="I129" s="149"/>
    </row>
    <row r="130" spans="1:9" x14ac:dyDescent="0.2">
      <c r="A130" s="150"/>
      <c r="B130" s="147"/>
      <c r="C130" s="147"/>
      <c r="D130" s="147"/>
      <c r="E130" s="148"/>
      <c r="F130" s="210"/>
      <c r="G130" s="208"/>
      <c r="H130" s="148"/>
      <c r="I130" s="149"/>
    </row>
    <row r="131" spans="1:9" x14ac:dyDescent="0.2">
      <c r="A131" s="150" t="s">
        <v>47</v>
      </c>
      <c r="B131" s="147"/>
      <c r="C131" s="171">
        <f>$M$51</f>
        <v>0.11849999999999999</v>
      </c>
      <c r="D131" s="147"/>
      <c r="E131" s="158">
        <f>C131*E129</f>
        <v>15207.869602988676</v>
      </c>
      <c r="F131" s="210"/>
      <c r="G131" s="208"/>
      <c r="H131" s="148"/>
      <c r="I131" s="149"/>
    </row>
    <row r="132" spans="1:9" x14ac:dyDescent="0.2">
      <c r="A132" s="150"/>
      <c r="B132" s="147"/>
      <c r="C132" s="147"/>
      <c r="D132" s="147"/>
      <c r="E132" s="148"/>
      <c r="F132" s="210"/>
      <c r="G132" s="208"/>
      <c r="H132" s="148"/>
      <c r="I132" s="149"/>
    </row>
    <row r="133" spans="1:9" ht="13.5" thickBot="1" x14ac:dyDescent="0.25">
      <c r="A133" s="182" t="s">
        <v>49</v>
      </c>
      <c r="B133" s="183"/>
      <c r="C133" s="183"/>
      <c r="D133" s="183"/>
      <c r="E133" s="184">
        <f>SUM(E129:E131)</f>
        <v>143544.32194888467</v>
      </c>
      <c r="F133" s="210"/>
      <c r="G133" s="208"/>
      <c r="H133" s="223"/>
      <c r="I133" s="149"/>
    </row>
    <row r="134" spans="1:9" ht="14.25" thickTop="1" thickBot="1" x14ac:dyDescent="0.25">
      <c r="A134" s="150"/>
      <c r="B134" s="147"/>
      <c r="C134" s="147"/>
      <c r="D134" s="147"/>
      <c r="E134" s="148"/>
      <c r="F134" s="210"/>
      <c r="G134" s="208"/>
      <c r="H134" s="175">
        <f>E135/12</f>
        <v>12092.640932471566</v>
      </c>
      <c r="I134" s="149"/>
    </row>
    <row r="135" spans="1:9" ht="13.5" thickBot="1" x14ac:dyDescent="0.25">
      <c r="A135" s="150" t="str">
        <f>A104</f>
        <v>CAF Rate Review (FY21 7 FY22)</v>
      </c>
      <c r="B135" s="147"/>
      <c r="C135" s="171">
        <f>C104</f>
        <v>1.78E-2</v>
      </c>
      <c r="D135" s="147"/>
      <c r="E135" s="187">
        <f>(E133*C135)-(E119*C135)+E133</f>
        <v>145111.6911896588</v>
      </c>
      <c r="F135" s="210"/>
      <c r="G135" s="208"/>
      <c r="H135" s="240">
        <f>H134/B113</f>
        <v>3023.1602331178915</v>
      </c>
      <c r="I135" s="149"/>
    </row>
    <row r="136" spans="1:9" ht="13.5" thickBot="1" x14ac:dyDescent="0.25">
      <c r="A136" s="199" t="s">
        <v>314</v>
      </c>
      <c r="B136" s="200"/>
      <c r="C136" s="201"/>
      <c r="D136" s="79"/>
      <c r="E136" s="85"/>
      <c r="F136" s="210"/>
      <c r="G136" s="208"/>
      <c r="H136" s="238">
        <f>H135*(C136+1)</f>
        <v>3023.1602331178915</v>
      </c>
      <c r="I136" s="149"/>
    </row>
    <row r="137" spans="1:9" x14ac:dyDescent="0.2">
      <c r="F137" s="210"/>
      <c r="G137" s="208"/>
      <c r="I137" s="149"/>
    </row>
    <row r="138" spans="1:9" x14ac:dyDescent="0.2">
      <c r="F138" s="210"/>
      <c r="G138" s="208"/>
      <c r="I138" s="149"/>
    </row>
    <row r="139" spans="1:9" ht="13.5" thickBot="1" x14ac:dyDescent="0.25">
      <c r="F139" s="210"/>
      <c r="G139" s="222">
        <f>E133</f>
        <v>143544.32194888467</v>
      </c>
      <c r="I139" s="149"/>
    </row>
    <row r="140" spans="1:9" ht="14.25" thickTop="1" thickBot="1" x14ac:dyDescent="0.25">
      <c r="F140" s="210"/>
      <c r="G140" s="225" t="e">
        <f>#REF!/12</f>
        <v>#REF!</v>
      </c>
      <c r="I140" s="149"/>
    </row>
    <row r="141" spans="1:9" ht="13.5" thickBot="1" x14ac:dyDescent="0.25">
      <c r="F141" s="233" t="e">
        <f>#REF!*(1+#REF!)</f>
        <v>#REF!</v>
      </c>
      <c r="G141" s="239" t="e">
        <f>ROUND(G140*(1+#REF!),0)</f>
        <v>#REF!</v>
      </c>
      <c r="I141" s="149"/>
    </row>
    <row r="142" spans="1:9" x14ac:dyDescent="0.2">
      <c r="F142" s="202"/>
      <c r="G142" s="202"/>
      <c r="I142" s="149"/>
    </row>
    <row r="143" spans="1:9" x14ac:dyDescent="0.2">
      <c r="I143" s="149"/>
    </row>
    <row r="144" spans="1:9" x14ac:dyDescent="0.2">
      <c r="I144" s="228"/>
    </row>
    <row r="145" spans="9:9" x14ac:dyDescent="0.2">
      <c r="I145" s="226"/>
    </row>
    <row r="146" spans="9:9" x14ac:dyDescent="0.2">
      <c r="I146" s="237"/>
    </row>
  </sheetData>
  <mergeCells count="17">
    <mergeCell ref="F116:F118"/>
    <mergeCell ref="G116:G118"/>
    <mergeCell ref="H112:H114"/>
    <mergeCell ref="A112:E112"/>
    <mergeCell ref="F39:F40"/>
    <mergeCell ref="G39:G40"/>
    <mergeCell ref="H38:H39"/>
    <mergeCell ref="A38:E38"/>
    <mergeCell ref="F77:F79"/>
    <mergeCell ref="G77:G79"/>
    <mergeCell ref="H75:H77"/>
    <mergeCell ref="A75:E75"/>
    <mergeCell ref="F1:F2"/>
    <mergeCell ref="H1:H2"/>
    <mergeCell ref="K1:N1"/>
    <mergeCell ref="A1:E1"/>
    <mergeCell ref="L3:M3"/>
  </mergeCells>
  <pageMargins left="0.7" right="0.7" top="0.75" bottom="0.75" header="0.3" footer="0.3"/>
  <pageSetup scale="39" orientation="portrait" r:id="rId1"/>
  <headerFooter>
    <oddFooter>&amp;R2016-04-12
&amp;A
Caring Together rate review</oddFooter>
  </headerFooter>
  <rowBreaks count="3" manualBreakCount="3">
    <brk id="46" max="16383" man="1"/>
    <brk id="85" max="16383" man="1"/>
    <brk id="1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8"/>
  <sheetViews>
    <sheetView topLeftCell="K1" zoomScale="85" zoomScaleNormal="85" zoomScaleSheetLayoutView="80" workbookViewId="0">
      <selection activeCell="S22" sqref="S22"/>
    </sheetView>
  </sheetViews>
  <sheetFormatPr defaultColWidth="9.140625" defaultRowHeight="12.75" x14ac:dyDescent="0.2"/>
  <cols>
    <col min="1" max="1" width="31.85546875" style="205" hidden="1" customWidth="1"/>
    <col min="2" max="2" width="5.7109375" style="205" hidden="1" customWidth="1"/>
    <col min="3" max="3" width="12.85546875" style="205" hidden="1" customWidth="1"/>
    <col min="4" max="4" width="10.85546875" style="205" hidden="1" customWidth="1"/>
    <col min="5" max="6" width="13.140625" style="205" hidden="1" customWidth="1"/>
    <col min="7" max="7" width="13.140625" style="205" customWidth="1"/>
    <col min="8" max="8" width="31.85546875" style="205" customWidth="1"/>
    <col min="9" max="9" width="8.85546875" style="205" customWidth="1"/>
    <col min="10" max="10" width="12.85546875" style="205" customWidth="1"/>
    <col min="11" max="11" width="10.85546875" style="205" customWidth="1"/>
    <col min="12" max="12" width="13.140625" style="205" customWidth="1"/>
    <col min="13" max="13" width="23.7109375" style="205" customWidth="1"/>
    <col min="14" max="14" width="31.85546875" style="205" bestFit="1" customWidth="1"/>
    <col min="15" max="15" width="10.140625" style="205" customWidth="1"/>
    <col min="16" max="16" width="12.140625" style="205" customWidth="1"/>
    <col min="17" max="18" width="10.140625" style="205" customWidth="1"/>
    <col min="19" max="19" width="25.7109375" style="205" customWidth="1"/>
    <col min="20" max="16384" width="9.140625" style="205"/>
  </cols>
  <sheetData>
    <row r="1" spans="1:19" ht="13.5" thickBot="1" x14ac:dyDescent="0.25">
      <c r="H1" s="803" t="s">
        <v>177</v>
      </c>
      <c r="I1" s="804"/>
      <c r="J1" s="804"/>
      <c r="K1" s="804"/>
      <c r="L1" s="805"/>
      <c r="N1" s="771" t="s">
        <v>178</v>
      </c>
      <c r="O1" s="771"/>
      <c r="P1" s="771"/>
      <c r="Q1" s="771"/>
    </row>
    <row r="2" spans="1:19" ht="13.5" thickBot="1" x14ac:dyDescent="0.25">
      <c r="H2" s="806"/>
      <c r="I2" s="807"/>
      <c r="J2" s="807"/>
      <c r="K2" s="807"/>
      <c r="L2" s="808"/>
    </row>
    <row r="3" spans="1:19" ht="13.15" x14ac:dyDescent="0.25">
      <c r="H3" s="458" t="s">
        <v>4</v>
      </c>
      <c r="I3" s="470">
        <v>12</v>
      </c>
      <c r="J3" s="418"/>
      <c r="K3" s="418" t="s">
        <v>5</v>
      </c>
      <c r="L3" s="485">
        <f>I3*365</f>
        <v>4380</v>
      </c>
      <c r="N3" s="345" t="s">
        <v>6</v>
      </c>
      <c r="O3" s="760" t="s">
        <v>7</v>
      </c>
      <c r="P3" s="760"/>
      <c r="Q3" s="14"/>
      <c r="R3" s="387"/>
      <c r="S3" s="387"/>
    </row>
    <row r="4" spans="1:19" ht="13.15" x14ac:dyDescent="0.25">
      <c r="H4" s="190"/>
      <c r="I4" s="149"/>
      <c r="J4" s="149"/>
      <c r="K4" s="149"/>
      <c r="L4" s="402"/>
      <c r="N4" s="346"/>
      <c r="O4" s="4" t="s">
        <v>8</v>
      </c>
      <c r="P4" s="347" t="s">
        <v>9</v>
      </c>
      <c r="Q4" s="151"/>
      <c r="R4" s="387"/>
      <c r="S4" s="387"/>
    </row>
    <row r="5" spans="1:19" ht="15" customHeight="1" x14ac:dyDescent="0.25">
      <c r="H5" s="453"/>
      <c r="I5" s="394"/>
      <c r="J5" s="395" t="s">
        <v>10</v>
      </c>
      <c r="K5" s="395" t="s">
        <v>11</v>
      </c>
      <c r="L5" s="486" t="s">
        <v>12</v>
      </c>
      <c r="N5" s="348" t="s">
        <v>13</v>
      </c>
      <c r="O5" s="27">
        <v>15</v>
      </c>
      <c r="P5" s="27">
        <f>O5*8</f>
        <v>120</v>
      </c>
      <c r="Q5" s="151"/>
      <c r="R5" s="387"/>
      <c r="S5" s="387"/>
    </row>
    <row r="6" spans="1:19" ht="13.15" customHeight="1" x14ac:dyDescent="0.2">
      <c r="A6" s="775" t="s">
        <v>179</v>
      </c>
      <c r="B6" s="801"/>
      <c r="C6" s="801"/>
      <c r="D6" s="801"/>
      <c r="E6" s="801"/>
      <c r="F6" s="775" t="s">
        <v>0</v>
      </c>
      <c r="G6" s="2"/>
      <c r="H6" s="455" t="s">
        <v>14</v>
      </c>
      <c r="I6" s="149"/>
      <c r="J6" s="161">
        <f>P13</f>
        <v>57593.3511</v>
      </c>
      <c r="K6" s="166">
        <f>O31</f>
        <v>1.75</v>
      </c>
      <c r="L6" s="488">
        <f>J6*K6</f>
        <v>100788.36442500001</v>
      </c>
      <c r="N6" s="348" t="s">
        <v>15</v>
      </c>
      <c r="O6" s="27">
        <v>8</v>
      </c>
      <c r="P6" s="27">
        <f>O6*8</f>
        <v>64</v>
      </c>
      <c r="Q6" s="151"/>
      <c r="R6" s="387"/>
      <c r="S6" s="387"/>
    </row>
    <row r="7" spans="1:19" ht="17.45" customHeight="1" thickBot="1" x14ac:dyDescent="0.25">
      <c r="A7" s="776"/>
      <c r="B7" s="776"/>
      <c r="C7" s="776"/>
      <c r="D7" s="776"/>
      <c r="E7" s="776"/>
      <c r="F7" s="802"/>
      <c r="G7" s="4"/>
      <c r="H7" s="346" t="s">
        <v>16</v>
      </c>
      <c r="I7" s="149"/>
      <c r="J7" s="161"/>
      <c r="K7" s="166"/>
      <c r="L7" s="488"/>
      <c r="N7" s="348" t="s">
        <v>17</v>
      </c>
      <c r="O7" s="27">
        <v>10</v>
      </c>
      <c r="P7" s="27">
        <f>O7*8</f>
        <v>80</v>
      </c>
      <c r="Q7" s="151"/>
      <c r="R7" s="387"/>
      <c r="S7" s="387"/>
    </row>
    <row r="8" spans="1:19" ht="13.15" x14ac:dyDescent="0.25">
      <c r="A8" s="390" t="s">
        <v>4</v>
      </c>
      <c r="B8" s="349">
        <f>O$30</f>
        <v>12</v>
      </c>
      <c r="C8" s="390"/>
      <c r="D8" s="390" t="s">
        <v>5</v>
      </c>
      <c r="E8" s="301">
        <f>B8*365</f>
        <v>4380</v>
      </c>
      <c r="F8" s="391"/>
      <c r="G8" s="149"/>
      <c r="H8" s="348" t="s">
        <v>124</v>
      </c>
      <c r="I8" s="149"/>
      <c r="J8" s="161">
        <f>P15</f>
        <v>220355.5668</v>
      </c>
      <c r="K8" s="166">
        <f>O33</f>
        <v>0.1</v>
      </c>
      <c r="L8" s="488">
        <f>J8*K8</f>
        <v>22035.556680000002</v>
      </c>
      <c r="N8" s="351" t="s">
        <v>19</v>
      </c>
      <c r="O8" s="34">
        <v>7</v>
      </c>
      <c r="P8" s="34">
        <f>O8*8</f>
        <v>56</v>
      </c>
      <c r="Q8" s="159"/>
      <c r="R8" s="387"/>
      <c r="S8" s="387"/>
    </row>
    <row r="9" spans="1:19" ht="13.15" x14ac:dyDescent="0.25">
      <c r="F9" s="392"/>
      <c r="G9" s="149"/>
      <c r="H9" s="348" t="s">
        <v>18</v>
      </c>
      <c r="I9" s="149"/>
      <c r="J9" s="161">
        <f>P16</f>
        <v>86860.800000000003</v>
      </c>
      <c r="K9" s="166">
        <f>O34</f>
        <v>0.4</v>
      </c>
      <c r="L9" s="488">
        <f>J9*K9</f>
        <v>34744.32</v>
      </c>
      <c r="N9" s="348"/>
      <c r="O9" s="36" t="s">
        <v>21</v>
      </c>
      <c r="P9" s="27">
        <f>SUM(P5:P8)</f>
        <v>320</v>
      </c>
      <c r="Q9" s="160"/>
      <c r="R9" s="387"/>
      <c r="S9" s="387"/>
    </row>
    <row r="10" spans="1:19" ht="13.9" thickBot="1" x14ac:dyDescent="0.3">
      <c r="A10" s="394"/>
      <c r="B10" s="394"/>
      <c r="C10" s="395" t="s">
        <v>10</v>
      </c>
      <c r="D10" s="395" t="s">
        <v>11</v>
      </c>
      <c r="E10" s="395" t="s">
        <v>12</v>
      </c>
      <c r="F10" s="392"/>
      <c r="G10" s="149"/>
      <c r="H10" s="348" t="s">
        <v>125</v>
      </c>
      <c r="I10" s="149"/>
      <c r="J10" s="161">
        <f>P17</f>
        <v>67962.386400000003</v>
      </c>
      <c r="K10" s="166">
        <f>O35</f>
        <v>0.5</v>
      </c>
      <c r="L10" s="488">
        <f>J10*K10</f>
        <v>33981.193200000002</v>
      </c>
      <c r="N10" s="352"/>
      <c r="O10" s="39" t="s">
        <v>23</v>
      </c>
      <c r="P10" s="40">
        <f>P9/(52*40)</f>
        <v>0.15384615384615385</v>
      </c>
      <c r="Q10" s="41"/>
    </row>
    <row r="11" spans="1:19" ht="13.9" thickBot="1" x14ac:dyDescent="0.3">
      <c r="A11" s="353" t="s">
        <v>14</v>
      </c>
      <c r="C11" s="303">
        <f>P$13</f>
        <v>57593.3511</v>
      </c>
      <c r="D11" s="396">
        <f>O$31</f>
        <v>1.75</v>
      </c>
      <c r="E11" s="303">
        <f>C11*D11</f>
        <v>100788.36442500001</v>
      </c>
      <c r="F11" s="392"/>
      <c r="G11" s="149"/>
      <c r="H11" s="348" t="s">
        <v>31</v>
      </c>
      <c r="I11" s="149"/>
      <c r="J11" s="161">
        <f>P18</f>
        <v>60923.199999999997</v>
      </c>
      <c r="K11" s="166">
        <f>O36</f>
        <v>1</v>
      </c>
      <c r="L11" s="488">
        <f>J11*K11</f>
        <v>60923.199999999997</v>
      </c>
    </row>
    <row r="12" spans="1:19" ht="13.15" x14ac:dyDescent="0.25">
      <c r="A12" s="355" t="s">
        <v>16</v>
      </c>
      <c r="C12" s="303"/>
      <c r="D12" s="396"/>
      <c r="E12" s="303"/>
      <c r="F12" s="392"/>
      <c r="G12" s="149"/>
      <c r="H12" s="346" t="s">
        <v>20</v>
      </c>
      <c r="I12" s="149"/>
      <c r="J12" s="161"/>
      <c r="K12" s="166"/>
      <c r="L12" s="488"/>
      <c r="N12" s="398"/>
      <c r="O12" s="399"/>
      <c r="P12" s="400" t="s">
        <v>180</v>
      </c>
      <c r="Q12" s="400"/>
      <c r="R12" s="401"/>
    </row>
    <row r="13" spans="1:19" ht="13.15" x14ac:dyDescent="0.25">
      <c r="A13" s="359" t="s">
        <v>124</v>
      </c>
      <c r="C13" s="303">
        <f>P15</f>
        <v>220355.5668</v>
      </c>
      <c r="D13" s="396">
        <f>O33</f>
        <v>0.1</v>
      </c>
      <c r="E13" s="303">
        <f t="shared" ref="E13:E22" si="0">C13*D13</f>
        <v>22035.556680000002</v>
      </c>
      <c r="F13" s="392"/>
      <c r="G13" s="149"/>
      <c r="H13" s="348" t="s">
        <v>24</v>
      </c>
      <c r="I13" s="149"/>
      <c r="J13" s="161">
        <f>P21</f>
        <v>52665.599999999999</v>
      </c>
      <c r="K13" s="166">
        <f>O39</f>
        <v>1</v>
      </c>
      <c r="L13" s="488">
        <f>J13*K13</f>
        <v>52665.599999999999</v>
      </c>
      <c r="N13" s="346" t="s">
        <v>14</v>
      </c>
      <c r="O13" s="149"/>
      <c r="P13" s="161">
        <f>'[3]Master Data '!D40</f>
        <v>57593.3511</v>
      </c>
      <c r="Q13" s="161"/>
      <c r="R13" s="402"/>
    </row>
    <row r="14" spans="1:19" ht="13.15" x14ac:dyDescent="0.25">
      <c r="A14" s="359" t="s">
        <v>18</v>
      </c>
      <c r="C14" s="303">
        <f>P16</f>
        <v>86860.800000000003</v>
      </c>
      <c r="D14" s="396">
        <f>O34</f>
        <v>0.4</v>
      </c>
      <c r="E14" s="303">
        <f t="shared" si="0"/>
        <v>34744.32</v>
      </c>
      <c r="F14" s="392"/>
      <c r="G14" s="149"/>
      <c r="H14" s="348" t="s">
        <v>25</v>
      </c>
      <c r="I14" s="149"/>
      <c r="J14" s="161">
        <f>P23</f>
        <v>32198.400000000001</v>
      </c>
      <c r="K14" s="166">
        <f>O41</f>
        <v>15</v>
      </c>
      <c r="L14" s="488">
        <f>J14*K14</f>
        <v>482976</v>
      </c>
      <c r="N14" s="346" t="s">
        <v>16</v>
      </c>
      <c r="O14" s="149"/>
      <c r="P14" s="161"/>
      <c r="Q14" s="161"/>
      <c r="R14" s="402"/>
    </row>
    <row r="15" spans="1:19" ht="13.15" x14ac:dyDescent="0.25">
      <c r="A15" s="359" t="s">
        <v>125</v>
      </c>
      <c r="C15" s="303">
        <f>P17</f>
        <v>67962.386400000003</v>
      </c>
      <c r="D15" s="396">
        <f>O35</f>
        <v>0.5</v>
      </c>
      <c r="E15" s="303">
        <f t="shared" si="0"/>
        <v>33981.193200000002</v>
      </c>
      <c r="F15" s="392"/>
      <c r="G15" s="149"/>
      <c r="H15" s="362" t="s">
        <v>27</v>
      </c>
      <c r="I15" s="149"/>
      <c r="J15" s="161">
        <f>P24</f>
        <v>32198.400000000001</v>
      </c>
      <c r="K15" s="166">
        <f>O42</f>
        <v>2.3076923076923079</v>
      </c>
      <c r="L15" s="488">
        <f>J15*K15</f>
        <v>74304.000000000015</v>
      </c>
      <c r="N15" s="348" t="s">
        <v>124</v>
      </c>
      <c r="O15" s="149"/>
      <c r="P15" s="161">
        <f>'[3]Master Data '!D15</f>
        <v>220355.5668</v>
      </c>
      <c r="Q15" s="484"/>
      <c r="R15" s="402"/>
    </row>
    <row r="16" spans="1:19" ht="13.15" x14ac:dyDescent="0.25">
      <c r="A16" s="359" t="s">
        <v>31</v>
      </c>
      <c r="C16" s="303">
        <f>P18</f>
        <v>60923.199999999997</v>
      </c>
      <c r="D16" s="396">
        <f>O36</f>
        <v>1</v>
      </c>
      <c r="E16" s="303">
        <f t="shared" si="0"/>
        <v>60923.199999999997</v>
      </c>
      <c r="F16" s="392"/>
      <c r="G16" s="149"/>
      <c r="H16" s="346" t="s">
        <v>28</v>
      </c>
      <c r="I16" s="149"/>
      <c r="J16" s="161"/>
      <c r="K16" s="166"/>
      <c r="L16" s="488"/>
      <c r="N16" s="348" t="s">
        <v>18</v>
      </c>
      <c r="O16" s="149"/>
      <c r="P16" s="161">
        <f>'Salary Bench Chart'!C20</f>
        <v>86860.800000000003</v>
      </c>
      <c r="Q16" s="484"/>
      <c r="R16" s="402"/>
    </row>
    <row r="17" spans="1:18" ht="13.15" x14ac:dyDescent="0.25">
      <c r="A17" s="355" t="s">
        <v>20</v>
      </c>
      <c r="C17" s="303"/>
      <c r="D17" s="396"/>
      <c r="E17" s="303"/>
      <c r="F17" s="392"/>
      <c r="G17" s="149"/>
      <c r="H17" s="348" t="s">
        <v>29</v>
      </c>
      <c r="I17" s="149"/>
      <c r="J17" s="161">
        <f>P26</f>
        <v>32198.400000000001</v>
      </c>
      <c r="K17" s="166">
        <f>O44</f>
        <v>0.25</v>
      </c>
      <c r="L17" s="488">
        <f>J17*K17</f>
        <v>8049.6</v>
      </c>
      <c r="N17" s="348" t="s">
        <v>125</v>
      </c>
      <c r="O17" s="149"/>
      <c r="P17" s="161">
        <f>'[3]Master Data '!D30</f>
        <v>67962.386400000003</v>
      </c>
      <c r="Q17" s="484"/>
      <c r="R17" s="402"/>
    </row>
    <row r="18" spans="1:18" ht="13.15" x14ac:dyDescent="0.25">
      <c r="A18" s="359" t="s">
        <v>24</v>
      </c>
      <c r="C18" s="303">
        <f>P21</f>
        <v>52665.599999999999</v>
      </c>
      <c r="D18" s="396">
        <f>O39</f>
        <v>1</v>
      </c>
      <c r="E18" s="303">
        <f t="shared" si="0"/>
        <v>52665.599999999999</v>
      </c>
      <c r="F18" s="392"/>
      <c r="G18" s="149"/>
      <c r="H18" s="457" t="s">
        <v>30</v>
      </c>
      <c r="I18" s="404"/>
      <c r="J18" s="404"/>
      <c r="K18" s="405">
        <f>SUM(K6:K17)</f>
        <v>22.307692307692307</v>
      </c>
      <c r="L18" s="489">
        <f>SUM(L6:L17)</f>
        <v>870467.83430499991</v>
      </c>
      <c r="N18" s="348" t="s">
        <v>31</v>
      </c>
      <c r="O18" s="149"/>
      <c r="P18" s="161">
        <f>'Salary Bench Chart'!C14</f>
        <v>60923.199999999997</v>
      </c>
      <c r="Q18" s="484"/>
      <c r="R18" s="402"/>
    </row>
    <row r="19" spans="1:18" ht="13.15" x14ac:dyDescent="0.25">
      <c r="A19" s="359" t="s">
        <v>25</v>
      </c>
      <c r="C19" s="303">
        <f>P23</f>
        <v>32198.400000000001</v>
      </c>
      <c r="D19" s="396">
        <f>O41</f>
        <v>15</v>
      </c>
      <c r="E19" s="303">
        <f t="shared" si="0"/>
        <v>482976</v>
      </c>
      <c r="F19" s="392"/>
      <c r="G19" s="149"/>
      <c r="H19" s="190"/>
      <c r="I19" s="149"/>
      <c r="J19" s="149"/>
      <c r="K19" s="149"/>
      <c r="L19" s="402"/>
      <c r="N19" s="346" t="s">
        <v>20</v>
      </c>
      <c r="O19" s="149"/>
      <c r="P19" s="161"/>
      <c r="Q19" s="484"/>
      <c r="R19" s="402"/>
    </row>
    <row r="20" spans="1:18" ht="13.15" x14ac:dyDescent="0.25">
      <c r="A20" s="361" t="s">
        <v>27</v>
      </c>
      <c r="C20" s="303">
        <f>P24</f>
        <v>32198.400000000001</v>
      </c>
      <c r="D20" s="396">
        <f>O42</f>
        <v>2.3076923076923079</v>
      </c>
      <c r="E20" s="303">
        <f>C20*D20</f>
        <v>74304.000000000015</v>
      </c>
      <c r="F20" s="392"/>
      <c r="G20" s="149"/>
      <c r="H20" s="458" t="s">
        <v>32</v>
      </c>
      <c r="I20" s="149"/>
      <c r="J20" s="149"/>
      <c r="K20" s="418" t="s">
        <v>33</v>
      </c>
      <c r="L20" s="402"/>
      <c r="N20" s="348" t="s">
        <v>34</v>
      </c>
      <c r="O20" s="149"/>
      <c r="P20" s="161">
        <f>'Salary Bench Chart'!C4</f>
        <v>32198.400000000001</v>
      </c>
      <c r="Q20" s="142"/>
      <c r="R20" s="142"/>
    </row>
    <row r="21" spans="1:18" ht="13.15" x14ac:dyDescent="0.25">
      <c r="A21" s="355" t="s">
        <v>28</v>
      </c>
      <c r="C21" s="303"/>
      <c r="D21" s="396"/>
      <c r="E21" s="303"/>
      <c r="F21" s="392"/>
      <c r="G21" s="149"/>
      <c r="H21" s="190" t="s">
        <v>35</v>
      </c>
      <c r="I21" s="149"/>
      <c r="J21" s="191">
        <f>$P$47</f>
        <v>0.22309999999999999</v>
      </c>
      <c r="K21" s="149"/>
      <c r="L21" s="488">
        <f>J21*L18</f>
        <v>194201.37383344548</v>
      </c>
      <c r="N21" s="348" t="s">
        <v>24</v>
      </c>
      <c r="O21" s="149"/>
      <c r="P21" s="161">
        <f>'Salary Bench Chart'!C12</f>
        <v>52665.599999999999</v>
      </c>
      <c r="Q21" s="484"/>
      <c r="R21" s="402"/>
    </row>
    <row r="22" spans="1:18" ht="13.15" x14ac:dyDescent="0.25">
      <c r="A22" s="359" t="s">
        <v>29</v>
      </c>
      <c r="C22" s="303">
        <f>P26</f>
        <v>32198.400000000001</v>
      </c>
      <c r="D22" s="396">
        <f>O44</f>
        <v>0.25</v>
      </c>
      <c r="E22" s="303">
        <f t="shared" si="0"/>
        <v>8049.6</v>
      </c>
      <c r="F22" s="392"/>
      <c r="G22" s="149"/>
      <c r="H22" s="457" t="s">
        <v>36</v>
      </c>
      <c r="I22" s="404"/>
      <c r="J22" s="404"/>
      <c r="K22" s="413">
        <f>L22/L3</f>
        <v>243.07516167544415</v>
      </c>
      <c r="L22" s="489">
        <f>L21+L18</f>
        <v>1064669.2081384454</v>
      </c>
      <c r="N22" s="348" t="s">
        <v>114</v>
      </c>
      <c r="O22" s="149"/>
      <c r="P22" s="161">
        <f>'Salary Bench Chart'!C10</f>
        <v>43971.200000000004</v>
      </c>
      <c r="Q22" s="142"/>
      <c r="R22" s="142"/>
    </row>
    <row r="23" spans="1:18" ht="13.15" x14ac:dyDescent="0.25">
      <c r="A23" s="404" t="s">
        <v>30</v>
      </c>
      <c r="B23" s="404"/>
      <c r="C23" s="404"/>
      <c r="D23" s="405">
        <f>SUM(D11:D22)</f>
        <v>22.307692307692307</v>
      </c>
      <c r="E23" s="406">
        <f>SUM(E11:E22)</f>
        <v>870467.83430499991</v>
      </c>
      <c r="F23" s="392"/>
      <c r="G23" s="149"/>
      <c r="H23" s="190" t="str">
        <f>'[3]Master Data '!B128</f>
        <v>PFMLA Trust Contribution</v>
      </c>
      <c r="I23" s="503">
        <f>P48</f>
        <v>3.7000000000000002E-3</v>
      </c>
      <c r="J23" s="149"/>
      <c r="K23" s="149"/>
      <c r="L23" s="490">
        <f>L18*I23</f>
        <v>3220.7309869285</v>
      </c>
      <c r="N23" s="348" t="s">
        <v>25</v>
      </c>
      <c r="O23" s="149"/>
      <c r="P23" s="161">
        <f>'Salary Bench Chart'!C4</f>
        <v>32198.400000000001</v>
      </c>
      <c r="Q23" s="484"/>
      <c r="R23" s="402"/>
    </row>
    <row r="24" spans="1:18" ht="13.15" x14ac:dyDescent="0.25">
      <c r="F24" s="392"/>
      <c r="G24" s="149"/>
      <c r="H24" s="190" t="s">
        <v>38</v>
      </c>
      <c r="I24" s="149"/>
      <c r="J24" s="149"/>
      <c r="K24" s="202">
        <f>$P$49</f>
        <v>22.6302378</v>
      </c>
      <c r="L24" s="491">
        <f>K24*L3</f>
        <v>99120.441563999993</v>
      </c>
      <c r="N24" s="362" t="s">
        <v>27</v>
      </c>
      <c r="O24" s="149"/>
      <c r="P24" s="161">
        <f>'Salary Bench Chart'!C4</f>
        <v>32198.400000000001</v>
      </c>
      <c r="Q24" s="484"/>
      <c r="R24" s="402"/>
    </row>
    <row r="25" spans="1:18" ht="13.15" x14ac:dyDescent="0.25">
      <c r="A25" s="390" t="s">
        <v>32</v>
      </c>
      <c r="D25" s="390" t="s">
        <v>33</v>
      </c>
      <c r="F25" s="392"/>
      <c r="G25" s="149"/>
      <c r="H25" s="190" t="s">
        <v>39</v>
      </c>
      <c r="I25" s="149"/>
      <c r="J25" s="149"/>
      <c r="K25" s="202">
        <f>P50</f>
        <v>17.654</v>
      </c>
      <c r="L25" s="491">
        <f>K25*L3</f>
        <v>77324.52</v>
      </c>
      <c r="N25" s="346" t="s">
        <v>28</v>
      </c>
      <c r="O25" s="149"/>
      <c r="P25" s="161"/>
      <c r="Q25" s="484"/>
      <c r="R25" s="402"/>
    </row>
    <row r="26" spans="1:18" ht="13.15" x14ac:dyDescent="0.25">
      <c r="A26" s="205" t="s">
        <v>35</v>
      </c>
      <c r="C26" s="410">
        <f>$P$47</f>
        <v>0.22309999999999999</v>
      </c>
      <c r="E26" s="303">
        <f>C26*E23</f>
        <v>194201.37383344548</v>
      </c>
      <c r="F26" s="392"/>
      <c r="G26" s="149"/>
      <c r="H26" s="190" t="s">
        <v>173</v>
      </c>
      <c r="I26" s="149"/>
      <c r="J26" s="149"/>
      <c r="K26" s="202">
        <f>$P$51</f>
        <v>0.71</v>
      </c>
      <c r="L26" s="491">
        <f>K26*L3</f>
        <v>3109.7999999999997</v>
      </c>
      <c r="N26" s="348" t="s">
        <v>29</v>
      </c>
      <c r="O26" s="149"/>
      <c r="P26" s="161">
        <f>'Salary Bench Chart'!C4</f>
        <v>32198.400000000001</v>
      </c>
      <c r="Q26" s="484"/>
      <c r="R26" s="402"/>
    </row>
    <row r="27" spans="1:18" ht="13.15" x14ac:dyDescent="0.25">
      <c r="A27" s="404" t="s">
        <v>36</v>
      </c>
      <c r="B27" s="404"/>
      <c r="C27" s="404"/>
      <c r="D27" s="413">
        <f>E27/E8</f>
        <v>243.07516167544415</v>
      </c>
      <c r="E27" s="406">
        <f>E26+E23</f>
        <v>1064669.2081384454</v>
      </c>
      <c r="F27" s="392"/>
      <c r="G27" s="149"/>
      <c r="H27" s="190" t="s">
        <v>174</v>
      </c>
      <c r="I27" s="149"/>
      <c r="J27" s="149"/>
      <c r="K27" s="202">
        <f>$P$52</f>
        <v>-1.9951315068493152</v>
      </c>
      <c r="L27" s="491">
        <f>K27*L3</f>
        <v>-8738.6760000000013</v>
      </c>
      <c r="N27" s="348"/>
      <c r="O27" s="149"/>
      <c r="P27" s="161"/>
      <c r="Q27" s="161"/>
      <c r="R27" s="402"/>
    </row>
    <row r="28" spans="1:18" ht="13.15" x14ac:dyDescent="0.25">
      <c r="F28" s="392"/>
      <c r="G28" s="149"/>
      <c r="H28" s="190"/>
      <c r="I28" s="149"/>
      <c r="J28" s="149"/>
      <c r="K28" s="420">
        <f>SUM(K24:K27)</f>
        <v>38.999106293150689</v>
      </c>
      <c r="L28" s="402"/>
      <c r="N28" s="190"/>
      <c r="O28" s="149"/>
      <c r="P28" s="411" t="s">
        <v>41</v>
      </c>
      <c r="Q28" s="411"/>
      <c r="R28" s="402"/>
    </row>
    <row r="29" spans="1:18" ht="13.15" x14ac:dyDescent="0.25">
      <c r="A29" s="205" t="s">
        <v>38</v>
      </c>
      <c r="D29" s="326">
        <f>$P$49</f>
        <v>22.6302378</v>
      </c>
      <c r="E29" s="333">
        <f>D29*E8</f>
        <v>99120.441563999993</v>
      </c>
      <c r="F29" s="392"/>
      <c r="G29" s="149"/>
      <c r="H29" s="190"/>
      <c r="I29" s="149"/>
      <c r="J29" s="149"/>
      <c r="K29" s="149"/>
      <c r="L29" s="402"/>
      <c r="N29" s="190" t="s">
        <v>42</v>
      </c>
      <c r="O29" s="414" t="s">
        <v>169</v>
      </c>
      <c r="P29" s="414" t="s">
        <v>170</v>
      </c>
      <c r="Q29" s="414" t="s">
        <v>171</v>
      </c>
      <c r="R29" s="415" t="s">
        <v>172</v>
      </c>
    </row>
    <row r="30" spans="1:18" ht="13.15" x14ac:dyDescent="0.25">
      <c r="A30" s="149" t="s">
        <v>39</v>
      </c>
      <c r="D30" s="326">
        <f>$P$50</f>
        <v>17.654</v>
      </c>
      <c r="E30" s="333">
        <f>D30*E8</f>
        <v>77324.52</v>
      </c>
      <c r="F30" s="392"/>
      <c r="G30" s="149"/>
      <c r="H30" s="457" t="s">
        <v>40</v>
      </c>
      <c r="I30" s="404"/>
      <c r="J30" s="404"/>
      <c r="K30" s="404"/>
      <c r="L30" s="489">
        <f>SUM(L22:L27)</f>
        <v>1238706.024689374</v>
      </c>
      <c r="N30" s="190" t="s">
        <v>48</v>
      </c>
      <c r="O30" s="34">
        <f>'[6]Rate Options'!I28</f>
        <v>12</v>
      </c>
      <c r="P30" s="34">
        <f>'[6]Rate Options'!J28</f>
        <v>12</v>
      </c>
      <c r="Q30" s="34">
        <f>'[6]Rate Options'!K28</f>
        <v>10</v>
      </c>
      <c r="R30" s="416">
        <f>'[6]Rate Options'!L28</f>
        <v>12</v>
      </c>
    </row>
    <row r="31" spans="1:18" ht="13.15" x14ac:dyDescent="0.25">
      <c r="A31" s="149" t="s">
        <v>173</v>
      </c>
      <c r="D31" s="326">
        <f>$P$51</f>
        <v>0.71</v>
      </c>
      <c r="E31" s="333">
        <f>D31*E8</f>
        <v>3109.7999999999997</v>
      </c>
      <c r="F31" s="392"/>
      <c r="G31" s="149"/>
      <c r="H31" s="190" t="s">
        <v>47</v>
      </c>
      <c r="I31" s="149"/>
      <c r="J31" s="191">
        <f>$P$55</f>
        <v>0.11849999999999999</v>
      </c>
      <c r="K31" s="149"/>
      <c r="L31" s="488">
        <f>J31*L30</f>
        <v>146786.66392569081</v>
      </c>
      <c r="N31" s="346" t="s">
        <v>14</v>
      </c>
      <c r="O31" s="185">
        <f>'[6]Rate Options'!I30</f>
        <v>1.75</v>
      </c>
      <c r="P31" s="185">
        <f>'[6]Rate Options'!J30</f>
        <v>1.75</v>
      </c>
      <c r="Q31" s="185">
        <f>'[6]Rate Options'!K30</f>
        <v>1</v>
      </c>
      <c r="R31" s="186">
        <f>'[6]Rate Options'!L30</f>
        <v>1</v>
      </c>
    </row>
    <row r="32" spans="1:18" ht="13.9" thickBot="1" x14ac:dyDescent="0.3">
      <c r="A32" s="149" t="s">
        <v>174</v>
      </c>
      <c r="D32" s="326">
        <f>$P$52</f>
        <v>-1.9951315068493152</v>
      </c>
      <c r="E32" s="333">
        <f>D32*E8</f>
        <v>-8738.6760000000013</v>
      </c>
      <c r="F32" s="392"/>
      <c r="G32" s="149"/>
      <c r="H32" s="460" t="s">
        <v>49</v>
      </c>
      <c r="I32" s="423"/>
      <c r="J32" s="423"/>
      <c r="K32" s="423"/>
      <c r="L32" s="492">
        <f>SUM(L30:L31)</f>
        <v>1385492.6886150648</v>
      </c>
      <c r="N32" s="346" t="s">
        <v>16</v>
      </c>
      <c r="O32" s="185"/>
      <c r="P32" s="185"/>
      <c r="Q32" s="185"/>
      <c r="R32" s="186"/>
    </row>
    <row r="33" spans="1:19" ht="13.9" thickTop="1" x14ac:dyDescent="0.25">
      <c r="D33" s="420">
        <f>SUM(D29:D32)</f>
        <v>38.999106293150689</v>
      </c>
      <c r="F33" s="392"/>
      <c r="G33" s="149"/>
      <c r="H33" s="190" t="str">
        <f>N57</f>
        <v>CAF (Rate review FY21)</v>
      </c>
      <c r="I33" s="191"/>
      <c r="J33" s="191">
        <f>P57</f>
        <v>1.78E-2</v>
      </c>
      <c r="K33" s="149"/>
      <c r="L33" s="277">
        <f>(L32*J33)-(L18*J33)+L32</f>
        <v>1394660.1310217839</v>
      </c>
      <c r="N33" s="348" t="s">
        <v>124</v>
      </c>
      <c r="O33" s="185">
        <f>'[6]Rate Options'!I32</f>
        <v>0.1</v>
      </c>
      <c r="P33" s="185"/>
      <c r="Q33" s="185"/>
      <c r="R33" s="186"/>
    </row>
    <row r="34" spans="1:19" ht="13.15" x14ac:dyDescent="0.25">
      <c r="F34" s="392"/>
      <c r="G34" s="149"/>
      <c r="H34" s="190"/>
      <c r="I34" s="149"/>
      <c r="J34" s="149"/>
      <c r="K34" s="149"/>
      <c r="L34" s="493" t="s">
        <v>119</v>
      </c>
      <c r="N34" s="348" t="s">
        <v>18</v>
      </c>
      <c r="O34" s="185">
        <v>0.4</v>
      </c>
      <c r="P34" s="185">
        <v>0.4</v>
      </c>
      <c r="Q34" s="185">
        <f>'[6]Rate Options'!K33</f>
        <v>0.1</v>
      </c>
      <c r="R34" s="186"/>
    </row>
    <row r="35" spans="1:19" ht="13.9" thickBot="1" x14ac:dyDescent="0.3">
      <c r="A35" s="404" t="s">
        <v>40</v>
      </c>
      <c r="B35" s="404"/>
      <c r="C35" s="404"/>
      <c r="D35" s="404"/>
      <c r="E35" s="406">
        <f>SUM(E27:E32)</f>
        <v>1235485.2937024455</v>
      </c>
      <c r="F35" s="392"/>
      <c r="G35" s="149"/>
      <c r="H35" s="190"/>
      <c r="I35" s="149"/>
      <c r="J35" s="149"/>
      <c r="K35" s="192"/>
      <c r="L35" s="193">
        <f>L33/L3</f>
        <v>318.41555502780454</v>
      </c>
      <c r="N35" s="348" t="s">
        <v>125</v>
      </c>
      <c r="O35" s="185">
        <f>'[6]Rate Options'!I34</f>
        <v>0.5</v>
      </c>
      <c r="P35" s="185"/>
      <c r="Q35" s="185"/>
      <c r="R35" s="186"/>
    </row>
    <row r="36" spans="1:19" ht="13.9" thickBot="1" x14ac:dyDescent="0.3">
      <c r="F36" s="392"/>
      <c r="G36" s="149"/>
      <c r="H36" s="76" t="s">
        <v>50</v>
      </c>
      <c r="I36" s="77">
        <v>0.9</v>
      </c>
      <c r="J36" s="78"/>
      <c r="K36" s="79"/>
      <c r="L36" s="476">
        <f>L35/I36</f>
        <v>353.79506114200507</v>
      </c>
      <c r="N36" s="348" t="s">
        <v>31</v>
      </c>
      <c r="O36" s="185">
        <f>'[6]Rate Options'!I35</f>
        <v>1</v>
      </c>
      <c r="P36" s="185">
        <f>'[6]Rate Options'!J35</f>
        <v>0.5</v>
      </c>
      <c r="Q36" s="185" t="s">
        <v>175</v>
      </c>
      <c r="R36" s="186"/>
    </row>
    <row r="37" spans="1:19" ht="13.15" x14ac:dyDescent="0.25">
      <c r="A37" s="205" t="s">
        <v>47</v>
      </c>
      <c r="C37" s="410">
        <f>$P$55</f>
        <v>0.11849999999999999</v>
      </c>
      <c r="E37" s="303">
        <f>C37*E35</f>
        <v>146405.00730373978</v>
      </c>
      <c r="F37" s="392"/>
      <c r="G37" s="149"/>
      <c r="N37" s="346" t="s">
        <v>20</v>
      </c>
      <c r="O37" s="185"/>
      <c r="P37" s="185"/>
      <c r="Q37" s="185"/>
      <c r="R37" s="186"/>
    </row>
    <row r="38" spans="1:19" ht="13.9" thickBot="1" x14ac:dyDescent="0.3">
      <c r="F38" s="392"/>
      <c r="G38" s="149"/>
      <c r="N38" s="348" t="s">
        <v>34</v>
      </c>
      <c r="O38" s="185"/>
      <c r="P38" s="185"/>
      <c r="Q38" s="185">
        <f>'[6]Rate Options'!K37</f>
        <v>0.5</v>
      </c>
      <c r="R38" s="186">
        <f>'[6]Rate Options'!L37</f>
        <v>0.5</v>
      </c>
    </row>
    <row r="39" spans="1:19" ht="13.5" thickBot="1" x14ac:dyDescent="0.25">
      <c r="A39" s="422" t="s">
        <v>49</v>
      </c>
      <c r="B39" s="423"/>
      <c r="C39" s="423"/>
      <c r="D39" s="423"/>
      <c r="E39" s="424">
        <f>SUM(E35:E37)</f>
        <v>1381890.3010061854</v>
      </c>
      <c r="F39" s="392"/>
      <c r="G39" s="149"/>
      <c r="H39" s="795" t="s">
        <v>200</v>
      </c>
      <c r="I39" s="796"/>
      <c r="J39" s="796"/>
      <c r="K39" s="796"/>
      <c r="L39" s="797"/>
      <c r="N39" s="348" t="s">
        <v>24</v>
      </c>
      <c r="O39" s="185">
        <f>'[6]Rate Options'!I38</f>
        <v>1</v>
      </c>
      <c r="P39" s="185">
        <f>'[6]Rate Options'!J38</f>
        <v>1</v>
      </c>
      <c r="Q39" s="185"/>
      <c r="R39" s="186"/>
    </row>
    <row r="40" spans="1:19" ht="14.25" thickTop="1" thickBot="1" x14ac:dyDescent="0.25">
      <c r="F40" s="392"/>
      <c r="G40" s="149"/>
      <c r="H40" s="798"/>
      <c r="I40" s="799"/>
      <c r="J40" s="799"/>
      <c r="K40" s="799"/>
      <c r="L40" s="800"/>
      <c r="N40" s="348" t="s">
        <v>37</v>
      </c>
      <c r="O40" s="185"/>
      <c r="P40" s="185"/>
      <c r="Q40" s="185">
        <f>'[6]Rate Options'!K39</f>
        <v>1</v>
      </c>
      <c r="R40" s="186">
        <f>'[6]Rate Options'!L39</f>
        <v>2</v>
      </c>
    </row>
    <row r="41" spans="1:19" x14ac:dyDescent="0.2">
      <c r="A41" s="205" t="s">
        <v>132</v>
      </c>
      <c r="C41" s="410">
        <f>$P$57</f>
        <v>1.78E-2</v>
      </c>
      <c r="E41" s="317">
        <f>E39*(1+C41)</f>
        <v>1406487.9483640955</v>
      </c>
      <c r="F41" s="392"/>
      <c r="G41" s="149"/>
      <c r="H41" s="458" t="s">
        <v>4</v>
      </c>
      <c r="I41" s="470">
        <v>12</v>
      </c>
      <c r="J41" s="418"/>
      <c r="K41" s="418" t="s">
        <v>5</v>
      </c>
      <c r="L41" s="485">
        <f>I41*365</f>
        <v>4380</v>
      </c>
      <c r="M41" s="474"/>
      <c r="N41" s="348" t="s">
        <v>25</v>
      </c>
      <c r="O41" s="185">
        <f>'[6]Rate Options'!I40</f>
        <v>15</v>
      </c>
      <c r="P41" s="185">
        <f>'[6]Rate Options'!J40</f>
        <v>13</v>
      </c>
      <c r="Q41" s="185">
        <f>'[6]Rate Options'!K40</f>
        <v>6</v>
      </c>
      <c r="R41" s="186"/>
      <c r="S41" s="494"/>
    </row>
    <row r="42" spans="1:19" x14ac:dyDescent="0.2">
      <c r="F42" s="392"/>
      <c r="G42" s="149"/>
      <c r="H42" s="190"/>
      <c r="I42" s="149"/>
      <c r="J42" s="149"/>
      <c r="K42" s="149"/>
      <c r="L42" s="402"/>
      <c r="M42" s="474"/>
      <c r="N42" s="362" t="s">
        <v>27</v>
      </c>
      <c r="O42" s="87">
        <f>O41*$P$10</f>
        <v>2.3076923076923079</v>
      </c>
      <c r="P42" s="87">
        <f>P41*$P$10</f>
        <v>2</v>
      </c>
      <c r="Q42" s="87">
        <f>Q41*$P$10</f>
        <v>0.92307692307692313</v>
      </c>
      <c r="R42" s="88"/>
    </row>
    <row r="43" spans="1:19" x14ac:dyDescent="0.2">
      <c r="E43" s="319" t="s">
        <v>59</v>
      </c>
      <c r="F43" s="392"/>
      <c r="G43" s="149"/>
      <c r="H43" s="453"/>
      <c r="I43" s="394"/>
      <c r="J43" s="395" t="s">
        <v>10</v>
      </c>
      <c r="K43" s="395" t="s">
        <v>11</v>
      </c>
      <c r="L43" s="486" t="s">
        <v>12</v>
      </c>
      <c r="N43" s="346" t="s">
        <v>28</v>
      </c>
      <c r="O43" s="185"/>
      <c r="P43" s="185"/>
      <c r="Q43" s="185"/>
      <c r="R43" s="186"/>
    </row>
    <row r="44" spans="1:19" x14ac:dyDescent="0.2">
      <c r="A44" s="205" t="s">
        <v>133</v>
      </c>
      <c r="D44" s="321">
        <f>E39/E8</f>
        <v>315.50006872287338</v>
      </c>
      <c r="E44" s="321">
        <f>D44*(1+C41)</f>
        <v>321.11596994614052</v>
      </c>
      <c r="F44" s="392"/>
      <c r="G44" s="149"/>
      <c r="H44" s="455" t="s">
        <v>14</v>
      </c>
      <c r="I44" s="149"/>
      <c r="J44" s="161">
        <f>P13</f>
        <v>57593.3511</v>
      </c>
      <c r="K44" s="166">
        <f>P31</f>
        <v>1.75</v>
      </c>
      <c r="L44" s="488">
        <f>J44*K44</f>
        <v>100788.36442500001</v>
      </c>
      <c r="N44" s="348" t="s">
        <v>29</v>
      </c>
      <c r="O44" s="185">
        <f>'[6]Rate Options'!I43</f>
        <v>0.25</v>
      </c>
      <c r="P44" s="185">
        <f>'[6]Rate Options'!J43</f>
        <v>0.25</v>
      </c>
      <c r="Q44" s="185">
        <f>'[6]Rate Options'!K43</f>
        <v>0.25</v>
      </c>
      <c r="R44" s="186">
        <f>'[6]Rate Options'!L43</f>
        <v>0.25</v>
      </c>
    </row>
    <row r="45" spans="1:19" ht="13.5" thickBot="1" x14ac:dyDescent="0.25">
      <c r="A45" s="205" t="s">
        <v>176</v>
      </c>
      <c r="C45" s="410">
        <f>'[3]CAF Spring 2015'!$BC$24</f>
        <v>2.0354406130268236E-2</v>
      </c>
      <c r="D45" s="321"/>
      <c r="E45" s="321"/>
      <c r="F45" s="495">
        <f>E44*(1+C45)</f>
        <v>327.65209481333932</v>
      </c>
      <c r="G45" s="192"/>
      <c r="H45" s="346" t="s">
        <v>16</v>
      </c>
      <c r="I45" s="149"/>
      <c r="J45" s="161"/>
      <c r="K45" s="166"/>
      <c r="L45" s="488"/>
      <c r="N45" s="190"/>
      <c r="O45" s="149"/>
      <c r="P45" s="149"/>
      <c r="Q45" s="149"/>
      <c r="R45" s="402"/>
    </row>
    <row r="46" spans="1:19" ht="13.5" thickBot="1" x14ac:dyDescent="0.25">
      <c r="A46" s="371" t="s">
        <v>50</v>
      </c>
      <c r="B46" s="372">
        <v>0.9</v>
      </c>
      <c r="C46" s="373"/>
      <c r="D46" s="374">
        <f>E39/(E8*B46)</f>
        <v>350.55563191430372</v>
      </c>
      <c r="E46" s="374">
        <f>D46*(1+C41)</f>
        <v>356.79552216237835</v>
      </c>
      <c r="F46" s="496">
        <f>F45/B46</f>
        <v>364.05788312593256</v>
      </c>
      <c r="G46" s="202"/>
      <c r="H46" s="348" t="s">
        <v>18</v>
      </c>
      <c r="I46" s="149"/>
      <c r="J46" s="161">
        <f>P16</f>
        <v>86860.800000000003</v>
      </c>
      <c r="K46" s="166">
        <f>P34</f>
        <v>0.4</v>
      </c>
      <c r="L46" s="488">
        <f>J46*K46</f>
        <v>34744.32</v>
      </c>
      <c r="N46" s="190"/>
      <c r="O46" s="149"/>
      <c r="P46" s="411" t="s">
        <v>135</v>
      </c>
      <c r="Q46" s="411"/>
      <c r="R46" s="402"/>
    </row>
    <row r="47" spans="1:19" x14ac:dyDescent="0.2">
      <c r="A47" s="375"/>
      <c r="B47" s="107">
        <v>0.85</v>
      </c>
      <c r="C47" s="108"/>
      <c r="D47" s="89">
        <f>E39/(E8*B47)</f>
        <v>371.17655143867455</v>
      </c>
      <c r="E47" s="475">
        <f>D47*(1+C41)</f>
        <v>377.78349405428298</v>
      </c>
      <c r="F47" s="427"/>
      <c r="G47" s="202"/>
      <c r="H47" s="348" t="s">
        <v>31</v>
      </c>
      <c r="I47" s="149"/>
      <c r="J47" s="161">
        <f>P18</f>
        <v>60923.199999999997</v>
      </c>
      <c r="K47" s="166">
        <f>P36</f>
        <v>0.5</v>
      </c>
      <c r="L47" s="488">
        <f>J47*K47</f>
        <v>30461.599999999999</v>
      </c>
      <c r="N47" s="190" t="s">
        <v>35</v>
      </c>
      <c r="O47" s="149"/>
      <c r="P47" s="435">
        <f>'Salary Bench Chart'!C30</f>
        <v>0.22309999999999999</v>
      </c>
      <c r="Q47" s="435"/>
      <c r="R47" s="402"/>
    </row>
    <row r="48" spans="1:19" x14ac:dyDescent="0.2">
      <c r="A48" s="431"/>
      <c r="B48" s="432">
        <v>0.8</v>
      </c>
      <c r="C48" s="433"/>
      <c r="D48" s="379">
        <f>E39/(E8*B48)</f>
        <v>394.3750859035917</v>
      </c>
      <c r="E48" s="477">
        <f>D48*(1+C41)</f>
        <v>401.39496243267564</v>
      </c>
      <c r="F48" s="497"/>
      <c r="G48" s="202"/>
      <c r="H48" s="346" t="s">
        <v>20</v>
      </c>
      <c r="I48" s="149"/>
      <c r="J48" s="161"/>
      <c r="K48" s="166"/>
      <c r="L48" s="488"/>
      <c r="N48" s="190" t="s">
        <v>184</v>
      </c>
      <c r="O48" s="149"/>
      <c r="P48" s="191">
        <f>'Salary Bench Chart'!C32</f>
        <v>3.7000000000000002E-3</v>
      </c>
      <c r="Q48" s="149"/>
      <c r="R48" s="402"/>
    </row>
    <row r="49" spans="1:18" x14ac:dyDescent="0.2">
      <c r="H49" s="348" t="s">
        <v>24</v>
      </c>
      <c r="I49" s="149"/>
      <c r="J49" s="161">
        <f>P21</f>
        <v>52665.599999999999</v>
      </c>
      <c r="K49" s="166">
        <f>P39</f>
        <v>1</v>
      </c>
      <c r="L49" s="488">
        <f>J49*K49</f>
        <v>52665.599999999999</v>
      </c>
      <c r="N49" s="190" t="s">
        <v>38</v>
      </c>
      <c r="O49" s="149"/>
      <c r="P49" s="438">
        <f>'[3]Master Data '!F93</f>
        <v>22.6302378</v>
      </c>
      <c r="Q49" s="438"/>
      <c r="R49" s="402"/>
    </row>
    <row r="50" spans="1:18" x14ac:dyDescent="0.2">
      <c r="H50" s="348" t="s">
        <v>25</v>
      </c>
      <c r="I50" s="149"/>
      <c r="J50" s="161">
        <f>P23</f>
        <v>32198.400000000001</v>
      </c>
      <c r="K50" s="166">
        <f>P41</f>
        <v>13</v>
      </c>
      <c r="L50" s="488">
        <f>J50*K50</f>
        <v>418579.20000000001</v>
      </c>
      <c r="N50" s="190" t="s">
        <v>39</v>
      </c>
      <c r="O50" s="149"/>
      <c r="P50" s="438">
        <v>17.654</v>
      </c>
      <c r="Q50" s="438"/>
      <c r="R50" s="402"/>
    </row>
    <row r="51" spans="1:18" ht="13.15" customHeight="1" x14ac:dyDescent="0.2">
      <c r="A51" s="775" t="s">
        <v>181</v>
      </c>
      <c r="B51" s="801"/>
      <c r="C51" s="801"/>
      <c r="D51" s="801"/>
      <c r="E51" s="801"/>
      <c r="F51" s="775" t="s">
        <v>0</v>
      </c>
      <c r="G51" s="2"/>
      <c r="H51" s="362" t="s">
        <v>27</v>
      </c>
      <c r="I51" s="149"/>
      <c r="J51" s="161">
        <f>P24</f>
        <v>32198.400000000001</v>
      </c>
      <c r="K51" s="166">
        <f>P42</f>
        <v>2</v>
      </c>
      <c r="L51" s="488">
        <f>J51*K51</f>
        <v>64396.800000000003</v>
      </c>
      <c r="N51" s="190" t="s">
        <v>173</v>
      </c>
      <c r="O51" s="149"/>
      <c r="P51" s="438">
        <v>0.71</v>
      </c>
      <c r="Q51" s="438"/>
      <c r="R51" s="402"/>
    </row>
    <row r="52" spans="1:18" ht="15" customHeight="1" thickBot="1" x14ac:dyDescent="0.25">
      <c r="A52" s="776"/>
      <c r="B52" s="776"/>
      <c r="C52" s="776"/>
      <c r="D52" s="776"/>
      <c r="E52" s="776"/>
      <c r="F52" s="802"/>
      <c r="G52" s="4"/>
      <c r="H52" s="346" t="s">
        <v>28</v>
      </c>
      <c r="I52" s="149"/>
      <c r="J52" s="161"/>
      <c r="K52" s="166"/>
      <c r="L52" s="488"/>
      <c r="N52" s="190" t="s">
        <v>174</v>
      </c>
      <c r="O52" s="149"/>
      <c r="P52" s="438">
        <f>-1*[7]Sheet1!$F$26</f>
        <v>-1.9951315068493152</v>
      </c>
      <c r="Q52" s="438"/>
      <c r="R52" s="402"/>
    </row>
    <row r="53" spans="1:18" x14ac:dyDescent="0.2">
      <c r="A53" s="390" t="s">
        <v>4</v>
      </c>
      <c r="B53" s="349">
        <f>P$30</f>
        <v>12</v>
      </c>
      <c r="C53" s="390"/>
      <c r="D53" s="390" t="s">
        <v>5</v>
      </c>
      <c r="E53" s="301">
        <f>B53*365</f>
        <v>4380</v>
      </c>
      <c r="F53" s="391"/>
      <c r="G53" s="149"/>
      <c r="H53" s="348" t="s">
        <v>29</v>
      </c>
      <c r="I53" s="149"/>
      <c r="J53" s="161">
        <f>P26</f>
        <v>32198.400000000001</v>
      </c>
      <c r="K53" s="166">
        <f>P44</f>
        <v>0.25</v>
      </c>
      <c r="L53" s="488">
        <f>J53*K53</f>
        <v>8049.6</v>
      </c>
      <c r="N53" s="439" t="s">
        <v>40</v>
      </c>
      <c r="O53" s="440"/>
      <c r="P53" s="441">
        <f>SUM(P49:P52)</f>
        <v>38.999106293150689</v>
      </c>
      <c r="Q53" s="441"/>
      <c r="R53" s="442"/>
    </row>
    <row r="54" spans="1:18" x14ac:dyDescent="0.2">
      <c r="F54" s="392"/>
      <c r="G54" s="149"/>
      <c r="H54" s="457" t="s">
        <v>30</v>
      </c>
      <c r="I54" s="404"/>
      <c r="J54" s="404"/>
      <c r="K54" s="405">
        <f>SUM(K44:K53)</f>
        <v>18.899999999999999</v>
      </c>
      <c r="L54" s="489">
        <f>SUM(L44:L53)</f>
        <v>709685.48442500003</v>
      </c>
      <c r="N54" s="190"/>
      <c r="O54" s="149"/>
      <c r="P54" s="149"/>
      <c r="Q54" s="149"/>
      <c r="R54" s="402"/>
    </row>
    <row r="55" spans="1:18" x14ac:dyDescent="0.2">
      <c r="A55" s="394"/>
      <c r="B55" s="394"/>
      <c r="C55" s="395" t="s">
        <v>10</v>
      </c>
      <c r="D55" s="395" t="s">
        <v>11</v>
      </c>
      <c r="E55" s="395" t="s">
        <v>12</v>
      </c>
      <c r="F55" s="392"/>
      <c r="G55" s="149"/>
      <c r="H55" s="190"/>
      <c r="I55" s="149"/>
      <c r="J55" s="149"/>
      <c r="K55" s="149"/>
      <c r="L55" s="402"/>
      <c r="N55" s="190" t="s">
        <v>47</v>
      </c>
      <c r="O55" s="149"/>
      <c r="P55" s="435">
        <f>'[3]STARR (rebased)'!T47</f>
        <v>0.11849999999999999</v>
      </c>
      <c r="Q55" s="435"/>
      <c r="R55" s="402"/>
    </row>
    <row r="56" spans="1:18" x14ac:dyDescent="0.2">
      <c r="A56" s="353" t="s">
        <v>14</v>
      </c>
      <c r="C56" s="303">
        <f>P$13</f>
        <v>57593.3511</v>
      </c>
      <c r="D56" s="396">
        <f>P$31</f>
        <v>1.75</v>
      </c>
      <c r="E56" s="303">
        <f>C56*D56</f>
        <v>100788.36442500001</v>
      </c>
      <c r="F56" s="392"/>
      <c r="G56" s="149"/>
      <c r="H56" s="458" t="s">
        <v>32</v>
      </c>
      <c r="I56" s="149"/>
      <c r="J56" s="149"/>
      <c r="K56" s="418" t="s">
        <v>33</v>
      </c>
      <c r="L56" s="402"/>
      <c r="N56" s="190"/>
      <c r="O56" s="149"/>
      <c r="P56" s="149"/>
      <c r="Q56" s="149"/>
      <c r="R56" s="402"/>
    </row>
    <row r="57" spans="1:18" ht="13.5" thickBot="1" x14ac:dyDescent="0.25">
      <c r="A57" s="355" t="s">
        <v>16</v>
      </c>
      <c r="C57" s="303"/>
      <c r="D57" s="396"/>
      <c r="E57" s="303"/>
      <c r="F57" s="392"/>
      <c r="G57" s="149"/>
      <c r="H57" s="190" t="s">
        <v>35</v>
      </c>
      <c r="I57" s="149"/>
      <c r="J57" s="191">
        <f>P47</f>
        <v>0.22309999999999999</v>
      </c>
      <c r="K57" s="149"/>
      <c r="L57" s="488">
        <f>J57*L54</f>
        <v>158330.83157521751</v>
      </c>
      <c r="N57" s="443" t="str">
        <f>'[3]Master Data '!B126</f>
        <v>CAF (Rate review FY21)</v>
      </c>
      <c r="O57" s="444"/>
      <c r="P57" s="445">
        <f>'[3]Master Data '!D126</f>
        <v>1.78E-2</v>
      </c>
      <c r="Q57" s="445"/>
      <c r="R57" s="446"/>
    </row>
    <row r="58" spans="1:18" x14ac:dyDescent="0.2">
      <c r="A58" s="359" t="s">
        <v>18</v>
      </c>
      <c r="C58" s="303">
        <f>P16</f>
        <v>86860.800000000003</v>
      </c>
      <c r="D58" s="396">
        <f>P34</f>
        <v>0.4</v>
      </c>
      <c r="E58" s="303">
        <f>C58*D58</f>
        <v>34744.32</v>
      </c>
      <c r="F58" s="392"/>
      <c r="G58" s="149"/>
      <c r="H58" s="457" t="s">
        <v>36</v>
      </c>
      <c r="I58" s="404"/>
      <c r="J58" s="404"/>
      <c r="K58" s="413">
        <f>L58/L41</f>
        <v>198.17724109594008</v>
      </c>
      <c r="L58" s="489">
        <f>L57+L54</f>
        <v>868016.31600021757</v>
      </c>
      <c r="N58" s="387"/>
      <c r="O58" s="447"/>
    </row>
    <row r="59" spans="1:18" x14ac:dyDescent="0.2">
      <c r="A59" s="359" t="s">
        <v>31</v>
      </c>
      <c r="C59" s="303">
        <f>P18</f>
        <v>60923.199999999997</v>
      </c>
      <c r="D59" s="396">
        <f>P36</f>
        <v>0.5</v>
      </c>
      <c r="E59" s="303">
        <f>C59*D59</f>
        <v>30461.599999999999</v>
      </c>
      <c r="F59" s="392"/>
      <c r="G59" s="149"/>
      <c r="H59" s="190" t="str">
        <f>'[3]Master Data '!B128</f>
        <v>PFMLA Trust Contribution</v>
      </c>
      <c r="I59" s="503">
        <f>P48</f>
        <v>3.7000000000000002E-3</v>
      </c>
      <c r="J59" s="149"/>
      <c r="K59" s="149"/>
      <c r="L59" s="490">
        <f>L54*I59</f>
        <v>2625.8362923725003</v>
      </c>
      <c r="N59" s="387"/>
    </row>
    <row r="60" spans="1:18" x14ac:dyDescent="0.2">
      <c r="A60" s="355" t="s">
        <v>20</v>
      </c>
      <c r="C60" s="303"/>
      <c r="D60" s="396"/>
      <c r="E60" s="303"/>
      <c r="F60" s="392"/>
      <c r="G60" s="149"/>
      <c r="H60" s="190" t="s">
        <v>38</v>
      </c>
      <c r="I60" s="149"/>
      <c r="J60" s="149"/>
      <c r="K60" s="202">
        <f>$P$49</f>
        <v>22.6302378</v>
      </c>
      <c r="L60" s="491">
        <f>K60*L41</f>
        <v>99120.441563999993</v>
      </c>
    </row>
    <row r="61" spans="1:18" x14ac:dyDescent="0.2">
      <c r="A61" s="359" t="s">
        <v>24</v>
      </c>
      <c r="C61" s="303">
        <f>P21</f>
        <v>52665.599999999999</v>
      </c>
      <c r="D61" s="396">
        <f>P39</f>
        <v>1</v>
      </c>
      <c r="E61" s="303">
        <f>C61*D61</f>
        <v>52665.599999999999</v>
      </c>
      <c r="F61" s="392"/>
      <c r="G61" s="149"/>
      <c r="H61" s="190" t="s">
        <v>39</v>
      </c>
      <c r="I61" s="149"/>
      <c r="J61" s="149"/>
      <c r="K61" s="202">
        <f>$P$50</f>
        <v>17.654</v>
      </c>
      <c r="L61" s="491">
        <f>K61*L41</f>
        <v>77324.52</v>
      </c>
      <c r="N61" s="387"/>
    </row>
    <row r="62" spans="1:18" x14ac:dyDescent="0.2">
      <c r="A62" s="359" t="s">
        <v>25</v>
      </c>
      <c r="C62" s="303">
        <f>P23</f>
        <v>32198.400000000001</v>
      </c>
      <c r="D62" s="396">
        <f>P41</f>
        <v>13</v>
      </c>
      <c r="E62" s="303">
        <f>C62*D62</f>
        <v>418579.20000000001</v>
      </c>
      <c r="F62" s="392"/>
      <c r="G62" s="149"/>
      <c r="H62" s="190" t="s">
        <v>173</v>
      </c>
      <c r="I62" s="149"/>
      <c r="J62" s="149"/>
      <c r="K62" s="202">
        <f>$P$51</f>
        <v>0.71</v>
      </c>
      <c r="L62" s="491">
        <f>K62*L41</f>
        <v>3109.7999999999997</v>
      </c>
    </row>
    <row r="63" spans="1:18" x14ac:dyDescent="0.2">
      <c r="A63" s="361" t="s">
        <v>27</v>
      </c>
      <c r="C63" s="303">
        <f>P24</f>
        <v>32198.400000000001</v>
      </c>
      <c r="D63" s="396">
        <f>P42</f>
        <v>2</v>
      </c>
      <c r="E63" s="303">
        <f>C63*D63</f>
        <v>64396.800000000003</v>
      </c>
      <c r="F63" s="392"/>
      <c r="G63" s="149"/>
      <c r="H63" s="190" t="s">
        <v>174</v>
      </c>
      <c r="I63" s="149"/>
      <c r="J63" s="149"/>
      <c r="K63" s="202">
        <f>$P$52</f>
        <v>-1.9951315068493152</v>
      </c>
      <c r="L63" s="491">
        <f>K63*L41</f>
        <v>-8738.6760000000013</v>
      </c>
      <c r="N63" s="448"/>
    </row>
    <row r="64" spans="1:18" x14ac:dyDescent="0.2">
      <c r="A64" s="355" t="s">
        <v>28</v>
      </c>
      <c r="C64" s="303"/>
      <c r="D64" s="396"/>
      <c r="E64" s="303"/>
      <c r="F64" s="392"/>
      <c r="G64" s="149"/>
      <c r="H64" s="190"/>
      <c r="I64" s="149"/>
      <c r="J64" s="149"/>
      <c r="K64" s="420">
        <f>SUM(K60:K63)</f>
        <v>38.999106293150689</v>
      </c>
      <c r="L64" s="402"/>
    </row>
    <row r="65" spans="1:14" x14ac:dyDescent="0.2">
      <c r="A65" s="359" t="s">
        <v>29</v>
      </c>
      <c r="C65" s="303">
        <f>P26</f>
        <v>32198.400000000001</v>
      </c>
      <c r="D65" s="396">
        <f>P44</f>
        <v>0.25</v>
      </c>
      <c r="E65" s="303">
        <f>C65*D65</f>
        <v>8049.6</v>
      </c>
      <c r="F65" s="392"/>
      <c r="G65" s="149"/>
      <c r="H65" s="190"/>
      <c r="I65" s="149"/>
      <c r="J65" s="149"/>
      <c r="K65" s="149"/>
      <c r="L65" s="402"/>
    </row>
    <row r="66" spans="1:14" x14ac:dyDescent="0.2">
      <c r="A66" s="404" t="s">
        <v>30</v>
      </c>
      <c r="B66" s="404"/>
      <c r="C66" s="404"/>
      <c r="D66" s="405">
        <f>SUM(D56:D65)</f>
        <v>18.899999999999999</v>
      </c>
      <c r="E66" s="406">
        <f>SUM(E56:E65)</f>
        <v>709685.48442500003</v>
      </c>
      <c r="F66" s="392"/>
      <c r="G66" s="149"/>
      <c r="H66" s="457" t="s">
        <v>40</v>
      </c>
      <c r="I66" s="404"/>
      <c r="J66" s="404"/>
      <c r="K66" s="404"/>
      <c r="L66" s="489">
        <f>SUM(L58:L63)</f>
        <v>1041458.2378565902</v>
      </c>
    </row>
    <row r="67" spans="1:14" x14ac:dyDescent="0.2">
      <c r="F67" s="392"/>
      <c r="G67" s="149"/>
      <c r="H67" s="190" t="s">
        <v>47</v>
      </c>
      <c r="I67" s="149"/>
      <c r="J67" s="191">
        <f>$P$55</f>
        <v>0.11849999999999999</v>
      </c>
      <c r="K67" s="149"/>
      <c r="L67" s="488">
        <f>J67*L66</f>
        <v>123412.80118600593</v>
      </c>
      <c r="N67" s="359"/>
    </row>
    <row r="68" spans="1:14" ht="13.5" thickBot="1" x14ac:dyDescent="0.25">
      <c r="A68" s="390" t="s">
        <v>32</v>
      </c>
      <c r="D68" s="390" t="s">
        <v>33</v>
      </c>
      <c r="F68" s="392"/>
      <c r="G68" s="149"/>
      <c r="H68" s="460" t="s">
        <v>49</v>
      </c>
      <c r="I68" s="423"/>
      <c r="J68" s="423"/>
      <c r="K68" s="423"/>
      <c r="L68" s="492">
        <f>SUM(L66:L67)</f>
        <v>1164871.0390425962</v>
      </c>
      <c r="N68" s="498"/>
    </row>
    <row r="69" spans="1:14" ht="13.5" thickTop="1" x14ac:dyDescent="0.2">
      <c r="A69" s="205" t="s">
        <v>35</v>
      </c>
      <c r="C69" s="410">
        <f>$P$47</f>
        <v>0.22309999999999999</v>
      </c>
      <c r="E69" s="303">
        <f>C69*E66</f>
        <v>158330.83157521751</v>
      </c>
      <c r="F69" s="392"/>
      <c r="G69" s="149"/>
      <c r="H69" s="190" t="str">
        <f>N57</f>
        <v>CAF (Rate review FY21)</v>
      </c>
      <c r="I69" s="149"/>
      <c r="J69" s="191">
        <f>P57</f>
        <v>1.78E-2</v>
      </c>
      <c r="K69" s="149"/>
      <c r="L69" s="277">
        <f>(L68*J69)-(L54*J69)+L68</f>
        <v>1172973.3419147895</v>
      </c>
      <c r="N69" s="387"/>
    </row>
    <row r="70" spans="1:14" x14ac:dyDescent="0.2">
      <c r="A70" s="404" t="s">
        <v>36</v>
      </c>
      <c r="B70" s="404"/>
      <c r="C70" s="404"/>
      <c r="D70" s="413">
        <f>E70/E53</f>
        <v>198.17724109594008</v>
      </c>
      <c r="E70" s="406">
        <f>E69+E66</f>
        <v>868016.31600021757</v>
      </c>
      <c r="F70" s="392"/>
      <c r="G70" s="149"/>
      <c r="H70" s="190"/>
      <c r="I70" s="149"/>
      <c r="J70" s="149"/>
      <c r="K70" s="149"/>
      <c r="L70" s="493" t="s">
        <v>119</v>
      </c>
      <c r="N70" s="499"/>
    </row>
    <row r="71" spans="1:14" ht="13.5" thickBot="1" x14ac:dyDescent="0.25">
      <c r="F71" s="392"/>
      <c r="G71" s="149"/>
      <c r="H71" s="190"/>
      <c r="I71" s="149"/>
      <c r="J71" s="191"/>
      <c r="K71" s="192"/>
      <c r="L71" s="193">
        <f>L69/L41</f>
        <v>267.8021328572579</v>
      </c>
      <c r="N71" s="387"/>
    </row>
    <row r="72" spans="1:14" ht="13.5" thickBot="1" x14ac:dyDescent="0.25">
      <c r="A72" s="205" t="s">
        <v>38</v>
      </c>
      <c r="D72" s="326">
        <f>$P$49</f>
        <v>22.6302378</v>
      </c>
      <c r="E72" s="333">
        <f>D72*E53</f>
        <v>99120.441563999993</v>
      </c>
      <c r="F72" s="392"/>
      <c r="G72" s="149"/>
      <c r="H72" s="478" t="s">
        <v>50</v>
      </c>
      <c r="I72" s="479">
        <v>0.9</v>
      </c>
      <c r="J72" s="480"/>
      <c r="K72" s="284"/>
      <c r="L72" s="481"/>
    </row>
    <row r="73" spans="1:14" ht="13.5" thickBot="1" x14ac:dyDescent="0.25">
      <c r="A73" s="149" t="s">
        <v>39</v>
      </c>
      <c r="D73" s="326">
        <f>$P$50</f>
        <v>17.654</v>
      </c>
      <c r="E73" s="333">
        <f>D73*E53</f>
        <v>77324.52</v>
      </c>
      <c r="F73" s="392"/>
      <c r="G73" s="149"/>
      <c r="H73" s="199"/>
      <c r="I73" s="200"/>
      <c r="J73" s="201"/>
      <c r="K73" s="79"/>
      <c r="L73" s="476">
        <f>L71/I72</f>
        <v>297.55792539695324</v>
      </c>
    </row>
    <row r="74" spans="1:14" x14ac:dyDescent="0.2">
      <c r="A74" s="149" t="s">
        <v>173</v>
      </c>
      <c r="D74" s="326">
        <f>$P$51</f>
        <v>0.71</v>
      </c>
      <c r="E74" s="333">
        <f>D74*E53</f>
        <v>3109.7999999999997</v>
      </c>
      <c r="F74" s="392"/>
      <c r="G74" s="149"/>
      <c r="H74" s="431"/>
      <c r="I74" s="432"/>
      <c r="J74" s="433"/>
      <c r="K74" s="379"/>
      <c r="L74" s="477"/>
    </row>
    <row r="75" spans="1:14" x14ac:dyDescent="0.2">
      <c r="A75" s="149" t="s">
        <v>174</v>
      </c>
      <c r="D75" s="326">
        <f>$P$52</f>
        <v>-1.9951315068493152</v>
      </c>
      <c r="E75" s="333">
        <f>D75*E53</f>
        <v>-8738.6760000000013</v>
      </c>
      <c r="F75" s="392"/>
      <c r="G75" s="149"/>
    </row>
    <row r="76" spans="1:14" ht="13.5" thickBot="1" x14ac:dyDescent="0.25">
      <c r="D76" s="420">
        <f>SUM(D72:D75)</f>
        <v>38.999106293150689</v>
      </c>
      <c r="F76" s="392"/>
      <c r="G76" s="149"/>
    </row>
    <row r="77" spans="1:14" x14ac:dyDescent="0.2">
      <c r="F77" s="392"/>
      <c r="G77" s="149"/>
      <c r="H77" s="795" t="s">
        <v>199</v>
      </c>
      <c r="I77" s="796"/>
      <c r="J77" s="796"/>
      <c r="K77" s="796"/>
      <c r="L77" s="797"/>
    </row>
    <row r="78" spans="1:14" ht="13.5" thickBot="1" x14ac:dyDescent="0.25">
      <c r="A78" s="404" t="s">
        <v>40</v>
      </c>
      <c r="B78" s="404"/>
      <c r="C78" s="404"/>
      <c r="D78" s="404"/>
      <c r="E78" s="406">
        <f>SUM(E70:E75)</f>
        <v>1038832.4015642176</v>
      </c>
      <c r="F78" s="392"/>
      <c r="G78" s="149"/>
      <c r="H78" s="798"/>
      <c r="I78" s="799"/>
      <c r="J78" s="799"/>
      <c r="K78" s="799"/>
      <c r="L78" s="800"/>
    </row>
    <row r="79" spans="1:14" x14ac:dyDescent="0.2">
      <c r="F79" s="392"/>
      <c r="G79" s="149"/>
      <c r="H79" s="458" t="s">
        <v>4</v>
      </c>
      <c r="I79" s="470">
        <v>10</v>
      </c>
      <c r="J79" s="418"/>
      <c r="K79" s="418" t="s">
        <v>5</v>
      </c>
      <c r="L79" s="485">
        <f>I79*365</f>
        <v>3650</v>
      </c>
    </row>
    <row r="80" spans="1:14" x14ac:dyDescent="0.2">
      <c r="A80" s="205" t="s">
        <v>47</v>
      </c>
      <c r="C80" s="410">
        <f>$P$55</f>
        <v>0.11849999999999999</v>
      </c>
      <c r="E80" s="303">
        <f>C80*E78</f>
        <v>123101.63958535978</v>
      </c>
      <c r="F80" s="392"/>
      <c r="G80" s="149"/>
      <c r="H80" s="190"/>
      <c r="I80" s="149"/>
      <c r="J80" s="149"/>
      <c r="K80" s="149"/>
      <c r="L80" s="402"/>
    </row>
    <row r="81" spans="1:13" x14ac:dyDescent="0.2">
      <c r="F81" s="392"/>
      <c r="G81" s="149"/>
      <c r="H81" s="453"/>
      <c r="I81" s="394"/>
      <c r="J81" s="395" t="s">
        <v>10</v>
      </c>
      <c r="K81" s="395" t="s">
        <v>11</v>
      </c>
      <c r="L81" s="486" t="s">
        <v>12</v>
      </c>
    </row>
    <row r="82" spans="1:13" ht="13.5" thickBot="1" x14ac:dyDescent="0.25">
      <c r="A82" s="422" t="s">
        <v>49</v>
      </c>
      <c r="B82" s="423"/>
      <c r="C82" s="423"/>
      <c r="D82" s="423"/>
      <c r="E82" s="424">
        <f>SUM(E78:E80)</f>
        <v>1161934.0411495774</v>
      </c>
      <c r="F82" s="392"/>
      <c r="G82" s="149"/>
      <c r="H82" s="455" t="s">
        <v>14</v>
      </c>
      <c r="I82" s="149"/>
      <c r="J82" s="161">
        <f>P13</f>
        <v>57593.3511</v>
      </c>
      <c r="K82" s="166">
        <v>1</v>
      </c>
      <c r="L82" s="488">
        <f>J82*K82</f>
        <v>57593.3511</v>
      </c>
    </row>
    <row r="83" spans="1:13" ht="13.5" thickTop="1" x14ac:dyDescent="0.2">
      <c r="F83" s="392"/>
      <c r="G83" s="149"/>
      <c r="H83" s="346" t="s">
        <v>16</v>
      </c>
      <c r="I83" s="149"/>
      <c r="J83" s="161"/>
      <c r="K83" s="166"/>
      <c r="L83" s="488"/>
    </row>
    <row r="84" spans="1:13" x14ac:dyDescent="0.2">
      <c r="A84" s="205" t="s">
        <v>132</v>
      </c>
      <c r="C84" s="410">
        <f>$P$57</f>
        <v>1.78E-2</v>
      </c>
      <c r="E84" s="317">
        <f>E82*(1+C84)</f>
        <v>1182616.4670820399</v>
      </c>
      <c r="F84" s="392"/>
      <c r="G84" s="149"/>
      <c r="H84" s="348" t="s">
        <v>18</v>
      </c>
      <c r="I84" s="149"/>
      <c r="J84" s="161">
        <f>P16</f>
        <v>86860.800000000003</v>
      </c>
      <c r="K84" s="166">
        <f>0.1 + (I79*0.5/40)</f>
        <v>0.22500000000000001</v>
      </c>
      <c r="L84" s="488">
        <f>J84*K84</f>
        <v>19543.68</v>
      </c>
      <c r="M84" s="474"/>
    </row>
    <row r="85" spans="1:13" x14ac:dyDescent="0.2">
      <c r="F85" s="392"/>
      <c r="G85" s="149"/>
      <c r="H85" s="346" t="s">
        <v>20</v>
      </c>
      <c r="I85" s="149"/>
      <c r="J85" s="161"/>
      <c r="K85" s="166"/>
      <c r="L85" s="488"/>
      <c r="M85" s="474"/>
    </row>
    <row r="86" spans="1:13" x14ac:dyDescent="0.2">
      <c r="E86" s="319" t="s">
        <v>59</v>
      </c>
      <c r="F86" s="392"/>
      <c r="G86" s="149"/>
      <c r="H86" s="348" t="s">
        <v>34</v>
      </c>
      <c r="I86" s="149"/>
      <c r="J86" s="161">
        <f>P20</f>
        <v>32198.400000000001</v>
      </c>
      <c r="K86" s="166">
        <v>0.5</v>
      </c>
      <c r="L86" s="488">
        <f>J86*K86</f>
        <v>16099.2</v>
      </c>
    </row>
    <row r="87" spans="1:13" x14ac:dyDescent="0.2">
      <c r="A87" s="205" t="s">
        <v>133</v>
      </c>
      <c r="D87" s="321">
        <f>E82/E53</f>
        <v>265.28174455469804</v>
      </c>
      <c r="E87" s="321">
        <f>D87*(1+C84)</f>
        <v>270.00375960777166</v>
      </c>
      <c r="F87" s="392"/>
      <c r="G87" s="149"/>
      <c r="H87" s="348" t="s">
        <v>114</v>
      </c>
      <c r="I87" s="149"/>
      <c r="J87" s="161">
        <f>P22</f>
        <v>43971.200000000004</v>
      </c>
      <c r="K87" s="166">
        <v>1</v>
      </c>
      <c r="L87" s="488">
        <f>J87*K87</f>
        <v>43971.200000000004</v>
      </c>
      <c r="M87" s="500"/>
    </row>
    <row r="88" spans="1:13" ht="13.5" thickBot="1" x14ac:dyDescent="0.25">
      <c r="A88" s="205" t="s">
        <v>176</v>
      </c>
      <c r="C88" s="410">
        <f>'[3]CAF Spring 2015'!$BC$24</f>
        <v>2.0354406130268236E-2</v>
      </c>
      <c r="D88" s="321"/>
      <c r="E88" s="321"/>
      <c r="F88" s="495">
        <f>E87*(1+C88)</f>
        <v>275.49952578752755</v>
      </c>
      <c r="G88" s="192"/>
      <c r="H88" s="348" t="s">
        <v>25</v>
      </c>
      <c r="I88" s="149"/>
      <c r="J88" s="161">
        <f>P23</f>
        <v>32198.400000000001</v>
      </c>
      <c r="K88" s="166">
        <v>9.1999999999999993</v>
      </c>
      <c r="L88" s="488">
        <f>J88*K88</f>
        <v>296225.27999999997</v>
      </c>
      <c r="M88" s="149"/>
    </row>
    <row r="89" spans="1:13" ht="13.5" thickBot="1" x14ac:dyDescent="0.25">
      <c r="A89" s="371" t="s">
        <v>50</v>
      </c>
      <c r="B89" s="372">
        <v>0.9</v>
      </c>
      <c r="C89" s="373"/>
      <c r="D89" s="374">
        <f>E82/(E53*B89)</f>
        <v>294.75749394966448</v>
      </c>
      <c r="E89" s="374">
        <f>D89*(1+C84)</f>
        <v>300.0041773419685</v>
      </c>
      <c r="F89" s="496">
        <f>F88/B89</f>
        <v>306.11058420836395</v>
      </c>
      <c r="G89" s="202"/>
      <c r="H89" s="362" t="s">
        <v>27</v>
      </c>
      <c r="I89" s="149"/>
      <c r="J89" s="161">
        <f>P24</f>
        <v>32198.400000000001</v>
      </c>
      <c r="K89" s="166">
        <f>K88*P10</f>
        <v>1.4153846153846155</v>
      </c>
      <c r="L89" s="488">
        <f>J89*K89</f>
        <v>45573.120000000003</v>
      </c>
      <c r="M89" s="149"/>
    </row>
    <row r="90" spans="1:13" x14ac:dyDescent="0.2">
      <c r="A90" s="375"/>
      <c r="B90" s="107">
        <v>0.85</v>
      </c>
      <c r="C90" s="108"/>
      <c r="D90" s="89">
        <f>E82/(E53*B90)</f>
        <v>312.09617006435064</v>
      </c>
      <c r="E90" s="475">
        <f>D90*(1+C84)</f>
        <v>317.65148189149608</v>
      </c>
      <c r="F90" s="427"/>
      <c r="G90" s="202"/>
      <c r="H90" s="346" t="s">
        <v>28</v>
      </c>
      <c r="I90" s="149"/>
      <c r="J90" s="161"/>
      <c r="K90" s="166"/>
      <c r="L90" s="488"/>
      <c r="M90" s="4"/>
    </row>
    <row r="91" spans="1:13" x14ac:dyDescent="0.2">
      <c r="A91" s="431"/>
      <c r="B91" s="432">
        <v>0.8</v>
      </c>
      <c r="C91" s="433"/>
      <c r="D91" s="379">
        <f>E82/(E53*B91)</f>
        <v>331.60218069337253</v>
      </c>
      <c r="E91" s="477">
        <f>D91*(1+C84)</f>
        <v>337.50469950971456</v>
      </c>
      <c r="F91" s="497"/>
      <c r="G91" s="202"/>
      <c r="H91" s="348" t="s">
        <v>29</v>
      </c>
      <c r="I91" s="149"/>
      <c r="J91" s="161">
        <f>P26</f>
        <v>32198.400000000001</v>
      </c>
      <c r="K91" s="166">
        <v>0.25</v>
      </c>
      <c r="L91" s="488">
        <f>J91*K91</f>
        <v>8049.6</v>
      </c>
      <c r="M91" s="226"/>
    </row>
    <row r="92" spans="1:13" x14ac:dyDescent="0.2">
      <c r="H92" s="457" t="s">
        <v>30</v>
      </c>
      <c r="I92" s="404"/>
      <c r="J92" s="404"/>
      <c r="K92" s="405">
        <f>SUM(K82:K91)</f>
        <v>13.590384615384615</v>
      </c>
      <c r="L92" s="489">
        <f>SUM(L82:L91)</f>
        <v>487055.43109999993</v>
      </c>
      <c r="M92" s="226"/>
    </row>
    <row r="93" spans="1:13" x14ac:dyDescent="0.2">
      <c r="H93" s="190"/>
      <c r="I93" s="149"/>
      <c r="J93" s="149"/>
      <c r="K93" s="149"/>
      <c r="L93" s="402"/>
    </row>
    <row r="94" spans="1:13" ht="13.15" customHeight="1" x14ac:dyDescent="0.2">
      <c r="A94" s="775" t="s">
        <v>182</v>
      </c>
      <c r="B94" s="801"/>
      <c r="C94" s="801"/>
      <c r="D94" s="801"/>
      <c r="E94" s="801"/>
      <c r="F94" s="775" t="s">
        <v>0</v>
      </c>
      <c r="G94" s="2"/>
      <c r="H94" s="458" t="s">
        <v>32</v>
      </c>
      <c r="I94" s="149"/>
      <c r="J94" s="149"/>
      <c r="K94" s="418" t="s">
        <v>33</v>
      </c>
      <c r="L94" s="402"/>
    </row>
    <row r="95" spans="1:13" ht="15" customHeight="1" thickBot="1" x14ac:dyDescent="0.25">
      <c r="A95" s="776"/>
      <c r="B95" s="776"/>
      <c r="C95" s="776"/>
      <c r="D95" s="776"/>
      <c r="E95" s="776"/>
      <c r="F95" s="802"/>
      <c r="G95" s="4"/>
      <c r="H95" s="190" t="s">
        <v>35</v>
      </c>
      <c r="I95" s="149"/>
      <c r="J95" s="191">
        <f>$P$47</f>
        <v>0.22309999999999999</v>
      </c>
      <c r="K95" s="149"/>
      <c r="L95" s="488">
        <f>J95*L92</f>
        <v>108662.06667840997</v>
      </c>
    </row>
    <row r="96" spans="1:13" x14ac:dyDescent="0.2">
      <c r="A96" s="390" t="s">
        <v>4</v>
      </c>
      <c r="B96" s="349">
        <f>Q$30</f>
        <v>10</v>
      </c>
      <c r="C96" s="390"/>
      <c r="D96" s="390" t="s">
        <v>5</v>
      </c>
      <c r="E96" s="301">
        <f>B96*365</f>
        <v>3650</v>
      </c>
      <c r="F96" s="391"/>
      <c r="G96" s="149"/>
      <c r="H96" s="457" t="s">
        <v>36</v>
      </c>
      <c r="I96" s="404"/>
      <c r="J96" s="404"/>
      <c r="K96" s="413">
        <f>L96/L79</f>
        <v>163.21027336394792</v>
      </c>
      <c r="L96" s="489">
        <f>L95+L92</f>
        <v>595717.49777840986</v>
      </c>
    </row>
    <row r="97" spans="1:15" x14ac:dyDescent="0.2">
      <c r="F97" s="392"/>
      <c r="G97" s="149"/>
      <c r="H97" s="190" t="str">
        <f>'[3]Master Data '!B128</f>
        <v>PFMLA Trust Contribution</v>
      </c>
      <c r="I97" s="190">
        <f>'[3]Master Data '!D128</f>
        <v>3.7000000000000002E-3</v>
      </c>
      <c r="J97" s="149"/>
      <c r="K97" s="149"/>
      <c r="L97" s="490">
        <f>L92*I97</f>
        <v>1802.1050950699998</v>
      </c>
    </row>
    <row r="98" spans="1:15" x14ac:dyDescent="0.2">
      <c r="A98" s="394"/>
      <c r="B98" s="394"/>
      <c r="C98" s="395" t="s">
        <v>10</v>
      </c>
      <c r="D98" s="395" t="s">
        <v>11</v>
      </c>
      <c r="E98" s="395" t="s">
        <v>12</v>
      </c>
      <c r="F98" s="392"/>
      <c r="G98" s="149"/>
      <c r="H98" s="190" t="s">
        <v>38</v>
      </c>
      <c r="I98" s="149"/>
      <c r="J98" s="149"/>
      <c r="K98" s="202">
        <f>$P$49</f>
        <v>22.6302378</v>
      </c>
      <c r="L98" s="491">
        <f>K98*L79</f>
        <v>82600.367969999992</v>
      </c>
    </row>
    <row r="99" spans="1:15" x14ac:dyDescent="0.2">
      <c r="A99" s="353" t="s">
        <v>14</v>
      </c>
      <c r="C99" s="303">
        <f>P13</f>
        <v>57593.3511</v>
      </c>
      <c r="D99" s="396">
        <f>Q31</f>
        <v>1</v>
      </c>
      <c r="E99" s="303">
        <f>C99*D99</f>
        <v>57593.3511</v>
      </c>
      <c r="F99" s="392"/>
      <c r="G99" s="149"/>
      <c r="H99" s="190" t="s">
        <v>39</v>
      </c>
      <c r="I99" s="149"/>
      <c r="J99" s="149"/>
      <c r="K99" s="202">
        <f>$P$50</f>
        <v>17.654</v>
      </c>
      <c r="L99" s="491">
        <f>K99*L79</f>
        <v>64437.1</v>
      </c>
    </row>
    <row r="100" spans="1:15" x14ac:dyDescent="0.2">
      <c r="A100" s="355" t="s">
        <v>16</v>
      </c>
      <c r="C100" s="303"/>
      <c r="D100" s="396"/>
      <c r="E100" s="303"/>
      <c r="F100" s="392"/>
      <c r="G100" s="149"/>
      <c r="H100" s="190"/>
      <c r="I100" s="149"/>
      <c r="J100" s="149"/>
      <c r="K100" s="420">
        <f>SUM(K98:K99)</f>
        <v>40.2842378</v>
      </c>
      <c r="L100" s="402"/>
    </row>
    <row r="101" spans="1:15" x14ac:dyDescent="0.2">
      <c r="A101" s="359" t="s">
        <v>18</v>
      </c>
      <c r="C101" s="303">
        <f>P16</f>
        <v>86860.800000000003</v>
      </c>
      <c r="D101" s="396">
        <f>Q34</f>
        <v>0.1</v>
      </c>
      <c r="E101" s="303">
        <f>C101*D101</f>
        <v>8686.08</v>
      </c>
      <c r="F101" s="392"/>
      <c r="G101" s="149"/>
      <c r="H101" s="190"/>
      <c r="I101" s="149"/>
      <c r="J101" s="149"/>
      <c r="K101" s="149"/>
      <c r="L101" s="402"/>
    </row>
    <row r="102" spans="1:15" x14ac:dyDescent="0.2">
      <c r="A102" s="355" t="s">
        <v>20</v>
      </c>
      <c r="C102" s="303"/>
      <c r="D102" s="396"/>
      <c r="E102" s="303"/>
      <c r="F102" s="392"/>
      <c r="G102" s="149"/>
      <c r="H102" s="457" t="s">
        <v>40</v>
      </c>
      <c r="I102" s="404"/>
      <c r="J102" s="404"/>
      <c r="K102" s="404"/>
      <c r="L102" s="489">
        <f>SUM(L96:L99)</f>
        <v>744557.07084347983</v>
      </c>
    </row>
    <row r="103" spans="1:15" x14ac:dyDescent="0.2">
      <c r="A103" s="359" t="s">
        <v>37</v>
      </c>
      <c r="C103" s="303">
        <f>P22</f>
        <v>43971.200000000004</v>
      </c>
      <c r="D103" s="396">
        <f>Q40</f>
        <v>1</v>
      </c>
      <c r="E103" s="303">
        <f>C103*D103</f>
        <v>43971.200000000004</v>
      </c>
      <c r="F103" s="392"/>
      <c r="G103" s="149"/>
      <c r="H103" s="190" t="s">
        <v>47</v>
      </c>
      <c r="I103" s="149"/>
      <c r="J103" s="191">
        <f>$P$55</f>
        <v>0.11849999999999999</v>
      </c>
      <c r="K103" s="149"/>
      <c r="L103" s="488">
        <f>J103*L102</f>
        <v>88230.01289495235</v>
      </c>
    </row>
    <row r="104" spans="1:15" ht="13.5" thickBot="1" x14ac:dyDescent="0.25">
      <c r="A104" s="361" t="s">
        <v>27</v>
      </c>
      <c r="C104" s="303">
        <f>P24</f>
        <v>32198.400000000001</v>
      </c>
      <c r="D104" s="396">
        <f>Q42</f>
        <v>0.92307692307692313</v>
      </c>
      <c r="E104" s="303">
        <f>C104*D104</f>
        <v>29721.600000000002</v>
      </c>
      <c r="F104" s="392"/>
      <c r="G104" s="149"/>
      <c r="H104" s="460" t="s">
        <v>49</v>
      </c>
      <c r="I104" s="423"/>
      <c r="J104" s="423"/>
      <c r="K104" s="423"/>
      <c r="L104" s="492">
        <f>SUM(L102:L103)</f>
        <v>832787.08373843215</v>
      </c>
    </row>
    <row r="105" spans="1:15" ht="13.5" thickTop="1" x14ac:dyDescent="0.2">
      <c r="A105" s="359" t="s">
        <v>29</v>
      </c>
      <c r="C105" s="303">
        <f>P26</f>
        <v>32198.400000000001</v>
      </c>
      <c r="D105" s="396">
        <f>Q44</f>
        <v>0.25</v>
      </c>
      <c r="E105" s="303">
        <f>C105*D105</f>
        <v>8049.6</v>
      </c>
      <c r="F105" s="392"/>
      <c r="G105" s="149"/>
      <c r="H105" s="190" t="str">
        <f>H69</f>
        <v>CAF (Rate review FY21)</v>
      </c>
      <c r="I105" s="149"/>
      <c r="J105" s="191">
        <f>J69</f>
        <v>1.78E-2</v>
      </c>
      <c r="K105" s="149"/>
      <c r="L105" s="277">
        <f>(L104*J105)-(L92*J105)+L104</f>
        <v>838941.10715539625</v>
      </c>
      <c r="O105" s="149"/>
    </row>
    <row r="106" spans="1:15" x14ac:dyDescent="0.2">
      <c r="F106" s="392"/>
      <c r="G106" s="149"/>
      <c r="H106" s="190"/>
      <c r="I106" s="149"/>
      <c r="J106" s="149"/>
      <c r="K106" s="149"/>
      <c r="L106" s="493" t="s">
        <v>119</v>
      </c>
    </row>
    <row r="107" spans="1:15" ht="13.5" thickBot="1" x14ac:dyDescent="0.25">
      <c r="A107" s="205" t="s">
        <v>35</v>
      </c>
      <c r="C107" s="410">
        <f>$P$47</f>
        <v>0.22309999999999999</v>
      </c>
      <c r="E107" s="303" t="e">
        <f>C107*#REF!</f>
        <v>#REF!</v>
      </c>
      <c r="F107" s="392"/>
      <c r="G107" s="149"/>
      <c r="H107" s="190"/>
      <c r="I107" s="149"/>
      <c r="J107" s="191"/>
      <c r="K107" s="192"/>
      <c r="L107" s="193">
        <f>L105/L79</f>
        <v>229.84687867271131</v>
      </c>
    </row>
    <row r="108" spans="1:15" ht="13.5" thickBot="1" x14ac:dyDescent="0.25">
      <c r="A108" s="404" t="s">
        <v>36</v>
      </c>
      <c r="B108" s="404"/>
      <c r="C108" s="404"/>
      <c r="D108" s="413" t="e">
        <f>E108/E96</f>
        <v>#REF!</v>
      </c>
      <c r="E108" s="406" t="e">
        <f>E107+#REF!</f>
        <v>#REF!</v>
      </c>
      <c r="F108" s="392"/>
      <c r="G108" s="149"/>
      <c r="H108" s="76" t="s">
        <v>50</v>
      </c>
      <c r="I108" s="77">
        <v>0.9</v>
      </c>
      <c r="J108" s="78"/>
      <c r="K108" s="79"/>
      <c r="L108" s="482"/>
    </row>
    <row r="109" spans="1:15" ht="13.5" thickBot="1" x14ac:dyDescent="0.25">
      <c r="F109" s="392"/>
      <c r="G109" s="149"/>
      <c r="H109" s="199"/>
      <c r="I109" s="200"/>
      <c r="J109" s="201"/>
      <c r="K109" s="79"/>
      <c r="L109" s="476">
        <f>L107/I108</f>
        <v>255.385420747457</v>
      </c>
    </row>
    <row r="110" spans="1:15" x14ac:dyDescent="0.2">
      <c r="A110" s="205" t="s">
        <v>38</v>
      </c>
      <c r="D110" s="326">
        <f>$P$49</f>
        <v>22.6302378</v>
      </c>
      <c r="E110" s="333">
        <f>D110*E96</f>
        <v>82600.367969999992</v>
      </c>
      <c r="F110" s="392"/>
      <c r="G110" s="149"/>
      <c r="H110" s="149"/>
      <c r="I110" s="204"/>
      <c r="J110" s="149"/>
      <c r="K110" s="89"/>
      <c r="L110" s="89"/>
    </row>
    <row r="111" spans="1:15" x14ac:dyDescent="0.2">
      <c r="A111" s="149" t="s">
        <v>39</v>
      </c>
      <c r="D111" s="326">
        <f>$P$50</f>
        <v>17.654</v>
      </c>
      <c r="E111" s="333">
        <f>D111*E96</f>
        <v>64437.1</v>
      </c>
      <c r="F111" s="392"/>
      <c r="G111" s="149"/>
      <c r="H111" s="149"/>
      <c r="I111" s="149"/>
      <c r="J111" s="149"/>
      <c r="K111" s="149"/>
      <c r="L111" s="149"/>
    </row>
    <row r="112" spans="1:15" ht="13.5" thickBot="1" x14ac:dyDescent="0.25">
      <c r="D112" s="420">
        <f>SUM(D110:D111)</f>
        <v>40.2842378</v>
      </c>
      <c r="F112" s="392"/>
      <c r="G112" s="149"/>
      <c r="H112" s="149"/>
      <c r="I112" s="149"/>
      <c r="J112" s="149"/>
      <c r="K112" s="149"/>
      <c r="L112" s="149"/>
    </row>
    <row r="113" spans="1:14" x14ac:dyDescent="0.2">
      <c r="F113" s="392"/>
      <c r="G113" s="149"/>
      <c r="H113" s="795" t="s">
        <v>198</v>
      </c>
      <c r="I113" s="796"/>
      <c r="J113" s="796"/>
      <c r="K113" s="796"/>
      <c r="L113" s="797"/>
    </row>
    <row r="114" spans="1:14" ht="13.5" thickBot="1" x14ac:dyDescent="0.25">
      <c r="A114" s="404" t="s">
        <v>40</v>
      </c>
      <c r="B114" s="404"/>
      <c r="C114" s="404"/>
      <c r="D114" s="404"/>
      <c r="E114" s="406" t="e">
        <f>SUM(E108:E111)</f>
        <v>#REF!</v>
      </c>
      <c r="F114" s="392"/>
      <c r="G114" s="149"/>
      <c r="H114" s="798"/>
      <c r="I114" s="799"/>
      <c r="J114" s="799"/>
      <c r="K114" s="799"/>
      <c r="L114" s="800"/>
    </row>
    <row r="115" spans="1:14" x14ac:dyDescent="0.2">
      <c r="F115" s="392"/>
      <c r="G115" s="149"/>
      <c r="H115" s="458" t="s">
        <v>4</v>
      </c>
      <c r="I115" s="470">
        <v>12</v>
      </c>
      <c r="J115" s="418"/>
      <c r="K115" s="418" t="s">
        <v>5</v>
      </c>
      <c r="L115" s="485">
        <f>I115*365</f>
        <v>4380</v>
      </c>
    </row>
    <row r="116" spans="1:14" x14ac:dyDescent="0.2">
      <c r="A116" s="205" t="s">
        <v>47</v>
      </c>
      <c r="C116" s="410">
        <f>$P$55</f>
        <v>0.11849999999999999</v>
      </c>
      <c r="E116" s="303" t="e">
        <f>C116*E114</f>
        <v>#REF!</v>
      </c>
      <c r="F116" s="392"/>
      <c r="G116" s="149"/>
      <c r="H116" s="190"/>
      <c r="I116" s="149"/>
      <c r="J116" s="149"/>
      <c r="K116" s="149"/>
      <c r="L116" s="402"/>
    </row>
    <row r="117" spans="1:14" x14ac:dyDescent="0.2">
      <c r="F117" s="392"/>
      <c r="G117" s="149"/>
      <c r="H117" s="453"/>
      <c r="I117" s="394"/>
      <c r="J117" s="395" t="s">
        <v>10</v>
      </c>
      <c r="K117" s="395" t="s">
        <v>11</v>
      </c>
      <c r="L117" s="486" t="s">
        <v>12</v>
      </c>
    </row>
    <row r="118" spans="1:14" ht="13.5" thickBot="1" x14ac:dyDescent="0.25">
      <c r="A118" s="422" t="s">
        <v>49</v>
      </c>
      <c r="B118" s="423"/>
      <c r="C118" s="423"/>
      <c r="D118" s="423"/>
      <c r="E118" s="424" t="e">
        <f>SUM(E114:E116)</f>
        <v>#REF!</v>
      </c>
      <c r="F118" s="392"/>
      <c r="G118" s="149"/>
      <c r="H118" s="455" t="s">
        <v>14</v>
      </c>
      <c r="I118" s="149"/>
      <c r="J118" s="161">
        <f>P13</f>
        <v>57593.3511</v>
      </c>
      <c r="K118" s="166">
        <v>1</v>
      </c>
      <c r="L118" s="488">
        <f>J118*K118</f>
        <v>57593.3511</v>
      </c>
    </row>
    <row r="119" spans="1:14" ht="13.5" thickTop="1" x14ac:dyDescent="0.2">
      <c r="F119" s="392"/>
      <c r="G119" s="149"/>
      <c r="H119" s="346" t="s">
        <v>20</v>
      </c>
      <c r="I119" s="149"/>
      <c r="J119" s="161"/>
      <c r="K119" s="166"/>
      <c r="L119" s="488"/>
    </row>
    <row r="120" spans="1:14" x14ac:dyDescent="0.2">
      <c r="A120" s="205" t="s">
        <v>132</v>
      </c>
      <c r="C120" s="410"/>
      <c r="E120" s="317" t="e">
        <f>E118*(1+C120)</f>
        <v>#REF!</v>
      </c>
      <c r="F120" s="392"/>
      <c r="G120" s="149"/>
      <c r="H120" s="348" t="s">
        <v>34</v>
      </c>
      <c r="I120" s="149"/>
      <c r="J120" s="161">
        <f>P20</f>
        <v>32198.400000000001</v>
      </c>
      <c r="K120" s="166">
        <v>0.5</v>
      </c>
      <c r="L120" s="488">
        <f>J120*K120</f>
        <v>16099.2</v>
      </c>
      <c r="M120" s="474"/>
    </row>
    <row r="121" spans="1:14" x14ac:dyDescent="0.2">
      <c r="F121" s="392"/>
      <c r="G121" s="149"/>
      <c r="H121" s="348" t="s">
        <v>114</v>
      </c>
      <c r="I121" s="149"/>
      <c r="J121" s="161">
        <f>P22</f>
        <v>43971.200000000004</v>
      </c>
      <c r="K121" s="166">
        <v>2</v>
      </c>
      <c r="L121" s="488">
        <f>J121*K121</f>
        <v>87942.400000000009</v>
      </c>
      <c r="M121" s="474"/>
    </row>
    <row r="122" spans="1:14" x14ac:dyDescent="0.2">
      <c r="E122" s="319" t="s">
        <v>59</v>
      </c>
      <c r="F122" s="392"/>
      <c r="G122" s="149"/>
      <c r="H122" s="346" t="s">
        <v>28</v>
      </c>
      <c r="I122" s="149"/>
      <c r="J122" s="161"/>
      <c r="K122" s="166"/>
      <c r="L122" s="488"/>
    </row>
    <row r="123" spans="1:14" x14ac:dyDescent="0.2">
      <c r="A123" s="205" t="s">
        <v>133</v>
      </c>
      <c r="D123" s="321" t="e">
        <f>E118/E96</f>
        <v>#REF!</v>
      </c>
      <c r="E123" s="321" t="e">
        <f>D123*(1+C120)</f>
        <v>#REF!</v>
      </c>
      <c r="F123" s="427"/>
      <c r="G123" s="202"/>
      <c r="H123" s="348" t="s">
        <v>29</v>
      </c>
      <c r="I123" s="149"/>
      <c r="J123" s="161">
        <f>P26</f>
        <v>32198.400000000001</v>
      </c>
      <c r="K123" s="166">
        <v>0.25</v>
      </c>
      <c r="L123" s="488">
        <f>J123*K123</f>
        <v>8049.6</v>
      </c>
      <c r="N123" s="501"/>
    </row>
    <row r="124" spans="1:14" ht="13.5" thickBot="1" x14ac:dyDescent="0.25">
      <c r="A124" s="205" t="s">
        <v>176</v>
      </c>
      <c r="C124" s="410"/>
      <c r="D124" s="321"/>
      <c r="E124" s="321"/>
      <c r="F124" s="495" t="e">
        <f>E123*(1+C124)</f>
        <v>#REF!</v>
      </c>
      <c r="G124" s="192"/>
      <c r="H124" s="457" t="s">
        <v>30</v>
      </c>
      <c r="I124" s="404"/>
      <c r="J124" s="404"/>
      <c r="K124" s="405">
        <f>SUM(K118:K123)</f>
        <v>3.75</v>
      </c>
      <c r="L124" s="489">
        <f>SUM(L118:L123)</f>
        <v>169684.55110000001</v>
      </c>
    </row>
    <row r="125" spans="1:14" ht="13.5" thickBot="1" x14ac:dyDescent="0.25">
      <c r="A125" s="371" t="s">
        <v>50</v>
      </c>
      <c r="B125" s="372">
        <v>0.9</v>
      </c>
      <c r="C125" s="373"/>
      <c r="D125" s="374" t="e">
        <f>E118/(E96*B125)</f>
        <v>#REF!</v>
      </c>
      <c r="E125" s="374" t="e">
        <f>D125*(1+C120)</f>
        <v>#REF!</v>
      </c>
      <c r="F125" s="496" t="e">
        <f>F124/B125</f>
        <v>#REF!</v>
      </c>
      <c r="G125" s="202"/>
      <c r="H125" s="190"/>
      <c r="I125" s="149"/>
      <c r="J125" s="149"/>
      <c r="K125" s="149"/>
      <c r="L125" s="402"/>
      <c r="N125" s="502"/>
    </row>
    <row r="126" spans="1:14" x14ac:dyDescent="0.2">
      <c r="A126" s="375"/>
      <c r="B126" s="107">
        <v>0.85</v>
      </c>
      <c r="C126" s="108"/>
      <c r="D126" s="89" t="e">
        <f>E118/(E96*B126)</f>
        <v>#REF!</v>
      </c>
      <c r="E126" s="475" t="e">
        <f>D126*(1+C120)</f>
        <v>#REF!</v>
      </c>
      <c r="F126" s="427"/>
      <c r="G126" s="202"/>
      <c r="H126" s="458" t="s">
        <v>32</v>
      </c>
      <c r="I126" s="149"/>
      <c r="J126" s="149"/>
      <c r="K126" s="418" t="s">
        <v>33</v>
      </c>
      <c r="L126" s="402"/>
    </row>
    <row r="127" spans="1:14" x14ac:dyDescent="0.2">
      <c r="A127" s="431"/>
      <c r="B127" s="432">
        <v>0.8</v>
      </c>
      <c r="C127" s="433"/>
      <c r="D127" s="379" t="e">
        <f>E118/(E96*B127)</f>
        <v>#REF!</v>
      </c>
      <c r="E127" s="477" t="e">
        <f>D127*(1+C120)</f>
        <v>#REF!</v>
      </c>
      <c r="F127" s="497"/>
      <c r="G127" s="202"/>
      <c r="H127" s="190" t="s">
        <v>35</v>
      </c>
      <c r="I127" s="149"/>
      <c r="J127" s="191">
        <f>$P$47</f>
        <v>0.22309999999999999</v>
      </c>
      <c r="K127" s="149"/>
      <c r="L127" s="488">
        <f>J127*L124</f>
        <v>37856.623350410002</v>
      </c>
    </row>
    <row r="128" spans="1:14" x14ac:dyDescent="0.2">
      <c r="H128" s="457" t="s">
        <v>36</v>
      </c>
      <c r="I128" s="404"/>
      <c r="J128" s="404"/>
      <c r="K128" s="413">
        <f>L128/L115</f>
        <v>47.383829783198628</v>
      </c>
      <c r="L128" s="489">
        <f>L127+L124</f>
        <v>207541.17445041001</v>
      </c>
    </row>
    <row r="129" spans="1:12" x14ac:dyDescent="0.2">
      <c r="F129" s="501"/>
      <c r="G129" s="501"/>
      <c r="H129" s="190" t="str">
        <f>'[3]Master Data '!B128</f>
        <v>PFMLA Trust Contribution</v>
      </c>
      <c r="I129" s="190">
        <f>'[3]Master Data '!D128</f>
        <v>3.7000000000000002E-3</v>
      </c>
      <c r="J129" s="149"/>
      <c r="K129" s="149"/>
      <c r="L129" s="490">
        <f>L124*I129</f>
        <v>627.83283907000009</v>
      </c>
    </row>
    <row r="130" spans="1:12" ht="13.15" customHeight="1" x14ac:dyDescent="0.2">
      <c r="A130" s="775" t="s">
        <v>183</v>
      </c>
      <c r="B130" s="801"/>
      <c r="C130" s="801"/>
      <c r="D130" s="801"/>
      <c r="E130" s="801"/>
      <c r="F130" s="775" t="s">
        <v>0</v>
      </c>
      <c r="G130" s="2"/>
      <c r="H130" s="190" t="s">
        <v>38</v>
      </c>
      <c r="I130" s="149"/>
      <c r="J130" s="149"/>
      <c r="K130" s="202">
        <f>$P$49</f>
        <v>22.6302378</v>
      </c>
      <c r="L130" s="491">
        <f>K130*L115</f>
        <v>99120.441563999993</v>
      </c>
    </row>
    <row r="131" spans="1:12" ht="15" customHeight="1" thickBot="1" x14ac:dyDescent="0.25">
      <c r="A131" s="776"/>
      <c r="B131" s="776"/>
      <c r="C131" s="776"/>
      <c r="D131" s="776"/>
      <c r="E131" s="776"/>
      <c r="F131" s="802"/>
      <c r="G131" s="4"/>
      <c r="H131" s="190" t="s">
        <v>39</v>
      </c>
      <c r="I131" s="149"/>
      <c r="J131" s="149"/>
      <c r="K131" s="202">
        <f>$P$50</f>
        <v>17.654</v>
      </c>
      <c r="L131" s="491">
        <f>K131*L115</f>
        <v>77324.52</v>
      </c>
    </row>
    <row r="132" spans="1:12" x14ac:dyDescent="0.2">
      <c r="A132" s="390" t="s">
        <v>4</v>
      </c>
      <c r="B132" s="349">
        <f>R$30</f>
        <v>12</v>
      </c>
      <c r="C132" s="390"/>
      <c r="D132" s="390" t="s">
        <v>5</v>
      </c>
      <c r="E132" s="301">
        <f>B132*365</f>
        <v>4380</v>
      </c>
      <c r="F132" s="391"/>
      <c r="G132" s="149"/>
      <c r="H132" s="190"/>
      <c r="I132" s="149"/>
      <c r="J132" s="149"/>
      <c r="K132" s="420">
        <f>SUM(K130:K131)</f>
        <v>40.2842378</v>
      </c>
      <c r="L132" s="402"/>
    </row>
    <row r="133" spans="1:12" x14ac:dyDescent="0.2">
      <c r="A133" s="394"/>
      <c r="B133" s="394"/>
      <c r="C133" s="395" t="s">
        <v>10</v>
      </c>
      <c r="D133" s="395" t="s">
        <v>11</v>
      </c>
      <c r="E133" s="395" t="s">
        <v>12</v>
      </c>
      <c r="F133" s="392"/>
      <c r="G133" s="149"/>
      <c r="H133" s="457" t="s">
        <v>40</v>
      </c>
      <c r="I133" s="404"/>
      <c r="J133" s="404"/>
      <c r="K133" s="404"/>
      <c r="L133" s="489">
        <f>SUM(L128:L131)</f>
        <v>384613.96885348001</v>
      </c>
    </row>
    <row r="134" spans="1:12" x14ac:dyDescent="0.2">
      <c r="A134" s="355" t="s">
        <v>20</v>
      </c>
      <c r="C134" s="303"/>
      <c r="D134" s="396"/>
      <c r="E134" s="303"/>
      <c r="F134" s="392"/>
      <c r="G134" s="149"/>
      <c r="H134" s="190" t="s">
        <v>47</v>
      </c>
      <c r="I134" s="149"/>
      <c r="J134" s="191">
        <f>$P$55</f>
        <v>0.11849999999999999</v>
      </c>
      <c r="K134" s="149"/>
      <c r="L134" s="488">
        <f>J134*L133</f>
        <v>45576.755309137377</v>
      </c>
    </row>
    <row r="135" spans="1:12" ht="13.5" thickBot="1" x14ac:dyDescent="0.25">
      <c r="A135" s="359" t="s">
        <v>37</v>
      </c>
      <c r="C135" s="303">
        <f>P22</f>
        <v>43971.200000000004</v>
      </c>
      <c r="D135" s="396">
        <f>R40</f>
        <v>2</v>
      </c>
      <c r="E135" s="303">
        <f>C135*D135</f>
        <v>87942.400000000009</v>
      </c>
      <c r="F135" s="392"/>
      <c r="G135" s="149"/>
      <c r="H135" s="460" t="s">
        <v>49</v>
      </c>
      <c r="I135" s="423"/>
      <c r="J135" s="423"/>
      <c r="K135" s="423"/>
      <c r="L135" s="492">
        <f>SUM(L133:L134)</f>
        <v>430190.72416261741</v>
      </c>
    </row>
    <row r="136" spans="1:12" ht="13.5" thickTop="1" x14ac:dyDescent="0.2">
      <c r="A136" s="359" t="s">
        <v>29</v>
      </c>
      <c r="C136" s="303">
        <f>P26</f>
        <v>32198.400000000001</v>
      </c>
      <c r="D136" s="396">
        <f>R44</f>
        <v>0.25</v>
      </c>
      <c r="E136" s="303">
        <f>C136*D136</f>
        <v>8049.6</v>
      </c>
      <c r="F136" s="392"/>
      <c r="G136" s="149"/>
      <c r="H136" s="190" t="str">
        <f>H105</f>
        <v>CAF (Rate review FY21)</v>
      </c>
      <c r="I136" s="149"/>
      <c r="J136" s="191">
        <f>J105</f>
        <v>1.78E-2</v>
      </c>
      <c r="K136" s="149"/>
      <c r="L136" s="277">
        <f>(L135*J136)-(L124*J136)+L135</f>
        <v>434827.73404313199</v>
      </c>
    </row>
    <row r="137" spans="1:12" x14ac:dyDescent="0.2">
      <c r="A137" s="404" t="s">
        <v>30</v>
      </c>
      <c r="B137" s="404"/>
      <c r="C137" s="404"/>
      <c r="D137" s="405">
        <f>SUM(D134:D136)</f>
        <v>2.25</v>
      </c>
      <c r="E137" s="406">
        <f>SUM(E134:E136)</f>
        <v>95992.000000000015</v>
      </c>
      <c r="F137" s="392"/>
      <c r="G137" s="149"/>
      <c r="H137" s="190"/>
      <c r="I137" s="149"/>
      <c r="J137" s="149"/>
      <c r="K137" s="149"/>
      <c r="L137" s="493" t="s">
        <v>119</v>
      </c>
    </row>
    <row r="138" spans="1:12" ht="13.5" thickBot="1" x14ac:dyDescent="0.25">
      <c r="A138" s="390" t="s">
        <v>32</v>
      </c>
      <c r="D138" s="390" t="s">
        <v>33</v>
      </c>
      <c r="F138" s="392"/>
      <c r="G138" s="149"/>
      <c r="H138" s="190"/>
      <c r="I138" s="149"/>
      <c r="J138" s="149"/>
      <c r="K138" s="192"/>
      <c r="L138" s="193">
        <f>L136/L115</f>
        <v>99.275738366011865</v>
      </c>
    </row>
    <row r="139" spans="1:12" ht="13.5" thickBot="1" x14ac:dyDescent="0.25">
      <c r="A139" s="404" t="s">
        <v>36</v>
      </c>
      <c r="B139" s="404"/>
      <c r="C139" s="404"/>
      <c r="D139" s="413" t="e">
        <f>E139/E132</f>
        <v>#REF!</v>
      </c>
      <c r="E139" s="406" t="e">
        <f>#REF!+E137</f>
        <v>#REF!</v>
      </c>
      <c r="F139" s="392"/>
      <c r="G139" s="149"/>
      <c r="H139" s="76" t="s">
        <v>50</v>
      </c>
      <c r="I139" s="77">
        <v>0.9</v>
      </c>
      <c r="J139" s="78"/>
      <c r="K139" s="79"/>
      <c r="L139" s="481"/>
    </row>
    <row r="140" spans="1:12" ht="13.5" thickBot="1" x14ac:dyDescent="0.25">
      <c r="F140" s="392"/>
      <c r="G140" s="149"/>
      <c r="H140" s="199"/>
      <c r="I140" s="200"/>
      <c r="J140" s="201"/>
      <c r="K140" s="79"/>
      <c r="L140" s="476">
        <f>L138/I139</f>
        <v>110.30637596223541</v>
      </c>
    </row>
    <row r="141" spans="1:12" x14ac:dyDescent="0.2">
      <c r="A141" s="205" t="s">
        <v>38</v>
      </c>
      <c r="D141" s="326">
        <f>$P$49</f>
        <v>22.6302378</v>
      </c>
      <c r="E141" s="333">
        <f>D141*E132</f>
        <v>99120.441563999993</v>
      </c>
      <c r="F141" s="392"/>
      <c r="G141" s="149"/>
      <c r="H141" s="431"/>
      <c r="I141" s="432"/>
      <c r="J141" s="433"/>
      <c r="K141" s="379"/>
      <c r="L141" s="483"/>
    </row>
    <row r="142" spans="1:12" x14ac:dyDescent="0.2">
      <c r="A142" s="149" t="s">
        <v>39</v>
      </c>
      <c r="D142" s="326">
        <f>$P$50</f>
        <v>17.654</v>
      </c>
      <c r="E142" s="333">
        <f>D142*E132</f>
        <v>77324.52</v>
      </c>
      <c r="F142" s="392"/>
      <c r="G142" s="149"/>
    </row>
    <row r="143" spans="1:12" x14ac:dyDescent="0.2">
      <c r="D143" s="420">
        <f>SUM(D141:D142)</f>
        <v>40.2842378</v>
      </c>
      <c r="F143" s="392"/>
      <c r="G143" s="149"/>
    </row>
    <row r="144" spans="1:12" x14ac:dyDescent="0.2">
      <c r="F144" s="392"/>
      <c r="G144" s="149"/>
    </row>
    <row r="145" spans="1:7" x14ac:dyDescent="0.2">
      <c r="A145" s="404" t="s">
        <v>40</v>
      </c>
      <c r="B145" s="404"/>
      <c r="C145" s="404"/>
      <c r="D145" s="404"/>
      <c r="E145" s="406" t="e">
        <f>SUM(E139:E142)</f>
        <v>#REF!</v>
      </c>
      <c r="F145" s="392"/>
      <c r="G145" s="149"/>
    </row>
    <row r="146" spans="1:7" x14ac:dyDescent="0.2">
      <c r="F146" s="392"/>
      <c r="G146" s="149"/>
    </row>
    <row r="147" spans="1:7" x14ac:dyDescent="0.2">
      <c r="A147" s="205" t="s">
        <v>47</v>
      </c>
      <c r="C147" s="410">
        <f>$P$55</f>
        <v>0.11849999999999999</v>
      </c>
      <c r="E147" s="303" t="e">
        <f>C147*E145</f>
        <v>#REF!</v>
      </c>
      <c r="F147" s="392"/>
      <c r="G147" s="149"/>
    </row>
    <row r="148" spans="1:7" x14ac:dyDescent="0.2">
      <c r="F148" s="392"/>
      <c r="G148" s="149"/>
    </row>
    <row r="149" spans="1:7" ht="13.5" thickBot="1" x14ac:dyDescent="0.25">
      <c r="A149" s="422" t="s">
        <v>49</v>
      </c>
      <c r="B149" s="423"/>
      <c r="C149" s="423"/>
      <c r="D149" s="423"/>
      <c r="E149" s="424" t="e">
        <f>SUM(E145:E147)</f>
        <v>#REF!</v>
      </c>
      <c r="F149" s="392"/>
      <c r="G149" s="149"/>
    </row>
    <row r="150" spans="1:7" ht="13.5" thickTop="1" x14ac:dyDescent="0.2">
      <c r="F150" s="392"/>
      <c r="G150" s="149"/>
    </row>
    <row r="151" spans="1:7" x14ac:dyDescent="0.2">
      <c r="A151" s="205" t="s">
        <v>132</v>
      </c>
      <c r="C151" s="410">
        <f>$P$57</f>
        <v>1.78E-2</v>
      </c>
      <c r="E151" s="317" t="e">
        <f>E149*(1+C151)</f>
        <v>#REF!</v>
      </c>
      <c r="F151" s="392"/>
      <c r="G151" s="149"/>
    </row>
    <row r="152" spans="1:7" x14ac:dyDescent="0.2">
      <c r="F152" s="392"/>
      <c r="G152" s="149"/>
    </row>
    <row r="153" spans="1:7" x14ac:dyDescent="0.2">
      <c r="E153" s="319" t="s">
        <v>59</v>
      </c>
      <c r="F153" s="392"/>
      <c r="G153" s="149"/>
    </row>
    <row r="154" spans="1:7" x14ac:dyDescent="0.2">
      <c r="A154" s="205" t="s">
        <v>133</v>
      </c>
      <c r="D154" s="321" t="e">
        <f>E149/E132</f>
        <v>#REF!</v>
      </c>
      <c r="E154" s="321" t="e">
        <f>D154*(1+C151)</f>
        <v>#REF!</v>
      </c>
      <c r="F154" s="392"/>
      <c r="G154" s="149"/>
    </row>
    <row r="155" spans="1:7" ht="13.5" thickBot="1" x14ac:dyDescent="0.25">
      <c r="A155" s="205" t="s">
        <v>176</v>
      </c>
      <c r="C155" s="410">
        <f>'[3]CAF Spring 2015'!$BC$24</f>
        <v>2.0354406130268236E-2</v>
      </c>
      <c r="D155" s="321"/>
      <c r="E155" s="321"/>
      <c r="F155" s="495" t="e">
        <f>E154*(1+C155)</f>
        <v>#REF!</v>
      </c>
      <c r="G155" s="192"/>
    </row>
    <row r="156" spans="1:7" ht="13.5" thickBot="1" x14ac:dyDescent="0.25">
      <c r="A156" s="371" t="s">
        <v>50</v>
      </c>
      <c r="B156" s="372">
        <v>0.9</v>
      </c>
      <c r="C156" s="373"/>
      <c r="D156" s="374" t="e">
        <f>E149/(E132*B156)</f>
        <v>#REF!</v>
      </c>
      <c r="E156" s="374" t="e">
        <f>D156*(1+C151)</f>
        <v>#REF!</v>
      </c>
      <c r="F156" s="496" t="e">
        <f>F155/B156</f>
        <v>#REF!</v>
      </c>
      <c r="G156" s="202"/>
    </row>
    <row r="157" spans="1:7" x14ac:dyDescent="0.2">
      <c r="A157" s="375"/>
      <c r="B157" s="107">
        <v>0.85</v>
      </c>
      <c r="C157" s="108"/>
      <c r="D157" s="89" t="e">
        <f>E149/(E132*B157)</f>
        <v>#REF!</v>
      </c>
      <c r="E157" s="475" t="e">
        <f>D157*(1+C151)</f>
        <v>#REF!</v>
      </c>
      <c r="F157" s="427"/>
      <c r="G157" s="202"/>
    </row>
    <row r="158" spans="1:7" x14ac:dyDescent="0.2">
      <c r="A158" s="431"/>
      <c r="B158" s="432">
        <v>0.8</v>
      </c>
      <c r="C158" s="433"/>
      <c r="D158" s="379" t="e">
        <f>E149/(E132*B158)</f>
        <v>#REF!</v>
      </c>
      <c r="E158" s="477" t="e">
        <f>D158*(1+C151)</f>
        <v>#REF!</v>
      </c>
      <c r="F158" s="497"/>
      <c r="G158" s="202"/>
    </row>
  </sheetData>
  <mergeCells count="14">
    <mergeCell ref="A130:E131"/>
    <mergeCell ref="F130:F131"/>
    <mergeCell ref="H113:L114"/>
    <mergeCell ref="A51:E52"/>
    <mergeCell ref="F51:F52"/>
    <mergeCell ref="H39:L40"/>
    <mergeCell ref="A94:E95"/>
    <mergeCell ref="F94:F95"/>
    <mergeCell ref="H77:L78"/>
    <mergeCell ref="N1:Q1"/>
    <mergeCell ref="O3:P3"/>
    <mergeCell ref="A6:E7"/>
    <mergeCell ref="F6:F7"/>
    <mergeCell ref="H1:L2"/>
  </mergeCells>
  <pageMargins left="0.7" right="0.7" top="0.75" bottom="0.75" header="0.3" footer="0.3"/>
  <pageSetup scale="44" fitToHeight="0" orientation="portrait" r:id="rId1"/>
  <rowBreaks count="3" manualBreakCount="3">
    <brk id="50" min="7" max="18" man="1"/>
    <brk id="76" min="7" max="11" man="1"/>
    <brk id="112" min="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61"/>
  <sheetViews>
    <sheetView topLeftCell="H19" zoomScale="90" zoomScaleNormal="90" zoomScalePageLayoutView="85" workbookViewId="0">
      <selection activeCell="Z19" sqref="Z19"/>
    </sheetView>
  </sheetViews>
  <sheetFormatPr defaultColWidth="9.140625" defaultRowHeight="12.75" x14ac:dyDescent="0.2"/>
  <cols>
    <col min="1" max="1" width="25.5703125" style="205" hidden="1" customWidth="1"/>
    <col min="2" max="2" width="5.7109375" style="205" hidden="1" customWidth="1"/>
    <col min="3" max="3" width="12.85546875" style="205" hidden="1" customWidth="1"/>
    <col min="4" max="4" width="10.85546875" style="205" hidden="1" customWidth="1"/>
    <col min="5" max="6" width="13.140625" style="205" hidden="1" customWidth="1"/>
    <col min="7" max="7" width="9.140625" style="205" customWidth="1"/>
    <col min="8" max="8" width="25.5703125" style="205" customWidth="1"/>
    <col min="9" max="9" width="14.7109375" style="205" customWidth="1"/>
    <col min="10" max="10" width="12.85546875" style="205" customWidth="1"/>
    <col min="11" max="11" width="10.85546875" style="205" hidden="1" customWidth="1"/>
    <col min="12" max="12" width="13.140625" style="205" hidden="1" customWidth="1"/>
    <col min="13" max="13" width="10.85546875" style="205" customWidth="1"/>
    <col min="14" max="14" width="13.140625" style="205" customWidth="1"/>
    <col min="15" max="15" width="17.28515625" style="205" hidden="1" customWidth="1"/>
    <col min="16" max="16" width="1.42578125" style="205" customWidth="1"/>
    <col min="17" max="17" width="17.140625" style="522" customWidth="1"/>
    <col min="18" max="18" width="31.85546875" style="205" bestFit="1" customWidth="1"/>
    <col min="19" max="22" width="10.140625" style="205" customWidth="1"/>
    <col min="23" max="25" width="9.140625" style="205"/>
    <col min="26" max="26" width="10.42578125" style="205" bestFit="1" customWidth="1"/>
    <col min="27" max="16384" width="9.140625" style="205"/>
  </cols>
  <sheetData>
    <row r="1" spans="1:23" ht="15.75" customHeight="1" thickBot="1" x14ac:dyDescent="0.25">
      <c r="H1" s="803" t="s">
        <v>187</v>
      </c>
      <c r="I1" s="809"/>
      <c r="J1" s="809"/>
      <c r="K1" s="809"/>
      <c r="L1" s="809"/>
      <c r="M1" s="809"/>
      <c r="N1" s="810"/>
      <c r="O1" s="814" t="s">
        <v>51</v>
      </c>
      <c r="R1" s="771" t="s">
        <v>202</v>
      </c>
      <c r="S1" s="771"/>
      <c r="T1" s="771"/>
      <c r="U1" s="771"/>
      <c r="V1" s="771"/>
    </row>
    <row r="2" spans="1:23" ht="13.5" thickBot="1" x14ac:dyDescent="0.25">
      <c r="H2" s="811"/>
      <c r="I2" s="812"/>
      <c r="J2" s="812"/>
      <c r="K2" s="812"/>
      <c r="L2" s="812"/>
      <c r="M2" s="812"/>
      <c r="N2" s="813"/>
      <c r="O2" s="815"/>
    </row>
    <row r="3" spans="1:23" ht="13.15" x14ac:dyDescent="0.25">
      <c r="H3" s="458" t="s">
        <v>4</v>
      </c>
      <c r="I3" s="470">
        <v>12</v>
      </c>
      <c r="J3" s="418"/>
      <c r="K3" s="418" t="s">
        <v>5</v>
      </c>
      <c r="L3" s="451">
        <f>$I$3*365</f>
        <v>4380</v>
      </c>
      <c r="M3" s="418" t="s">
        <v>5</v>
      </c>
      <c r="N3" s="485">
        <f>$I$3*365</f>
        <v>4380</v>
      </c>
      <c r="O3" s="524" t="s">
        <v>143</v>
      </c>
      <c r="R3" s="345" t="s">
        <v>6</v>
      </c>
      <c r="S3" s="760" t="s">
        <v>7</v>
      </c>
      <c r="T3" s="760"/>
      <c r="U3" s="14"/>
      <c r="V3" s="387"/>
      <c r="W3" s="387"/>
    </row>
    <row r="4" spans="1:23" ht="12.75" customHeight="1" x14ac:dyDescent="0.25">
      <c r="H4" s="453"/>
      <c r="I4" s="394"/>
      <c r="J4" s="395" t="s">
        <v>10</v>
      </c>
      <c r="K4" s="395" t="s">
        <v>11</v>
      </c>
      <c r="L4" s="395" t="s">
        <v>12</v>
      </c>
      <c r="M4" s="395" t="s">
        <v>11</v>
      </c>
      <c r="N4" s="486" t="s">
        <v>12</v>
      </c>
      <c r="O4" s="525"/>
      <c r="R4" s="346"/>
      <c r="S4" s="4" t="s">
        <v>8</v>
      </c>
      <c r="T4" s="347" t="s">
        <v>9</v>
      </c>
      <c r="U4" s="151"/>
      <c r="V4" s="387"/>
      <c r="W4" s="387"/>
    </row>
    <row r="5" spans="1:23" ht="14.45" customHeight="1" x14ac:dyDescent="0.25">
      <c r="H5" s="455" t="s">
        <v>14</v>
      </c>
      <c r="I5" s="149"/>
      <c r="J5" s="161">
        <f>T13</f>
        <v>57593.3511</v>
      </c>
      <c r="K5" s="166">
        <v>2</v>
      </c>
      <c r="L5" s="161">
        <f>$J$5*K5</f>
        <v>115186.7022</v>
      </c>
      <c r="M5" s="166">
        <f>U27</f>
        <v>2</v>
      </c>
      <c r="N5" s="488">
        <f>$J$5*M5</f>
        <v>115186.7022</v>
      </c>
      <c r="O5" s="526"/>
      <c r="R5" s="348" t="s">
        <v>13</v>
      </c>
      <c r="S5" s="27">
        <v>15</v>
      </c>
      <c r="T5" s="27">
        <f>S5*8</f>
        <v>120</v>
      </c>
      <c r="U5" s="151"/>
      <c r="V5" s="387"/>
      <c r="W5" s="387"/>
    </row>
    <row r="6" spans="1:23" ht="21.6" customHeight="1" x14ac:dyDescent="0.2">
      <c r="A6" s="772" t="s">
        <v>185</v>
      </c>
      <c r="B6" s="773"/>
      <c r="C6" s="773"/>
      <c r="D6" s="773"/>
      <c r="E6" s="773"/>
      <c r="F6" s="775" t="s">
        <v>186</v>
      </c>
      <c r="G6" s="2"/>
      <c r="H6" s="346" t="s">
        <v>16</v>
      </c>
      <c r="I6" s="149"/>
      <c r="J6" s="161"/>
      <c r="K6" s="166"/>
      <c r="L6" s="161"/>
      <c r="M6" s="166"/>
      <c r="N6" s="488"/>
      <c r="O6" s="527"/>
      <c r="P6" s="2"/>
      <c r="R6" s="348" t="s">
        <v>15</v>
      </c>
      <c r="S6" s="27">
        <v>8</v>
      </c>
      <c r="T6" s="27">
        <f>S6*8</f>
        <v>64</v>
      </c>
      <c r="U6" s="151"/>
      <c r="V6" s="387"/>
      <c r="W6" s="387"/>
    </row>
    <row r="7" spans="1:23" ht="21.6" customHeight="1" thickBot="1" x14ac:dyDescent="0.25">
      <c r="A7" s="774"/>
      <c r="B7" s="774"/>
      <c r="C7" s="774"/>
      <c r="D7" s="774"/>
      <c r="E7" s="774"/>
      <c r="F7" s="776"/>
      <c r="G7" s="2"/>
      <c r="H7" s="348" t="s">
        <v>18</v>
      </c>
      <c r="I7" s="149"/>
      <c r="J7" s="161">
        <f>T15</f>
        <v>86861</v>
      </c>
      <c r="K7" s="166">
        <v>0.3</v>
      </c>
      <c r="L7" s="161">
        <f>$J$7*K7</f>
        <v>26058.3</v>
      </c>
      <c r="M7" s="166">
        <f>U29</f>
        <v>0.45</v>
      </c>
      <c r="N7" s="488">
        <f>$J$7*M7</f>
        <v>39087.450000000004</v>
      </c>
      <c r="O7" s="527"/>
      <c r="P7" s="2"/>
      <c r="R7" s="348" t="s">
        <v>17</v>
      </c>
      <c r="S7" s="27">
        <v>10</v>
      </c>
      <c r="T7" s="27">
        <f>S7*8</f>
        <v>80</v>
      </c>
      <c r="U7" s="151"/>
      <c r="V7" s="387"/>
      <c r="W7" s="387"/>
    </row>
    <row r="8" spans="1:23" ht="13.15" x14ac:dyDescent="0.25">
      <c r="A8" s="390" t="s">
        <v>4</v>
      </c>
      <c r="B8" s="349">
        <f>U$26</f>
        <v>12</v>
      </c>
      <c r="C8" s="390"/>
      <c r="D8" s="390" t="s">
        <v>5</v>
      </c>
      <c r="E8" s="301">
        <f>B8*365</f>
        <v>4380</v>
      </c>
      <c r="F8" s="523"/>
      <c r="G8" s="504"/>
      <c r="H8" s="346" t="s">
        <v>20</v>
      </c>
      <c r="I8" s="149"/>
      <c r="J8" s="161"/>
      <c r="K8" s="166"/>
      <c r="L8" s="161"/>
      <c r="M8" s="166"/>
      <c r="N8" s="488"/>
      <c r="O8" s="527"/>
      <c r="P8" s="504"/>
      <c r="R8" s="351" t="s">
        <v>19</v>
      </c>
      <c r="S8" s="34">
        <v>7</v>
      </c>
      <c r="T8" s="34">
        <f>S8*8</f>
        <v>56</v>
      </c>
      <c r="U8" s="159"/>
      <c r="V8" s="387"/>
      <c r="W8" s="387"/>
    </row>
    <row r="9" spans="1:23" ht="13.15" x14ac:dyDescent="0.25">
      <c r="F9" s="392"/>
      <c r="G9" s="149"/>
      <c r="H9" s="348" t="s">
        <v>31</v>
      </c>
      <c r="I9" s="149"/>
      <c r="J9" s="161">
        <f>T17</f>
        <v>60923</v>
      </c>
      <c r="K9" s="166">
        <v>1</v>
      </c>
      <c r="L9" s="161">
        <f>$J$9*K9</f>
        <v>60923</v>
      </c>
      <c r="M9" s="166">
        <f>U31</f>
        <v>2</v>
      </c>
      <c r="N9" s="488">
        <f>$J$9*M9</f>
        <v>121846</v>
      </c>
      <c r="O9" s="527"/>
      <c r="P9" s="149"/>
      <c r="R9" s="348"/>
      <c r="S9" s="36" t="s">
        <v>21</v>
      </c>
      <c r="T9" s="27">
        <f>SUM(T5:T8)</f>
        <v>320</v>
      </c>
      <c r="U9" s="160"/>
      <c r="V9" s="387"/>
      <c r="W9" s="387"/>
    </row>
    <row r="10" spans="1:23" ht="13.9" customHeight="1" thickBot="1" x14ac:dyDescent="0.3">
      <c r="A10" s="394"/>
      <c r="B10" s="394"/>
      <c r="C10" s="395" t="s">
        <v>10</v>
      </c>
      <c r="D10" s="395" t="s">
        <v>11</v>
      </c>
      <c r="E10" s="395" t="s">
        <v>12</v>
      </c>
      <c r="F10" s="392"/>
      <c r="G10" s="4"/>
      <c r="H10" s="348" t="s">
        <v>24</v>
      </c>
      <c r="I10" s="149"/>
      <c r="J10" s="161">
        <f>T18</f>
        <v>52665.599999999999</v>
      </c>
      <c r="K10" s="166">
        <v>1</v>
      </c>
      <c r="L10" s="161">
        <f>$J$10*K10</f>
        <v>52665.599999999999</v>
      </c>
      <c r="M10" s="166">
        <f>U32</f>
        <v>1</v>
      </c>
      <c r="N10" s="488">
        <f>$J$10*M10</f>
        <v>52665.599999999999</v>
      </c>
      <c r="O10" s="527"/>
      <c r="P10" s="4"/>
      <c r="R10" s="352"/>
      <c r="S10" s="39" t="s">
        <v>23</v>
      </c>
      <c r="T10" s="40">
        <f>T9/(52*40)</f>
        <v>0.15384615384615385</v>
      </c>
      <c r="U10" s="41"/>
    </row>
    <row r="11" spans="1:23" ht="13.9" thickBot="1" x14ac:dyDescent="0.3">
      <c r="A11" s="353" t="s">
        <v>14</v>
      </c>
      <c r="C11" s="303">
        <f>T$13</f>
        <v>57593.3511</v>
      </c>
      <c r="D11" s="396">
        <f>U$27</f>
        <v>2</v>
      </c>
      <c r="E11" s="303">
        <f>C11*D11</f>
        <v>115186.7022</v>
      </c>
      <c r="F11" s="392"/>
      <c r="G11" s="161"/>
      <c r="H11" s="348" t="s">
        <v>25</v>
      </c>
      <c r="I11" s="149"/>
      <c r="J11" s="161">
        <f>T19</f>
        <v>32198</v>
      </c>
      <c r="K11" s="166">
        <v>13.6</v>
      </c>
      <c r="L11" s="161">
        <f>$J$11*K11</f>
        <v>437892.8</v>
      </c>
      <c r="M11" s="166">
        <f>U33</f>
        <v>13.6</v>
      </c>
      <c r="N11" s="488">
        <f>$J$11*M11</f>
        <v>437892.8</v>
      </c>
      <c r="O11" s="527"/>
      <c r="P11" s="161"/>
    </row>
    <row r="12" spans="1:23" ht="13.15" x14ac:dyDescent="0.25">
      <c r="A12" s="355" t="s">
        <v>16</v>
      </c>
      <c r="C12" s="303"/>
      <c r="D12" s="396"/>
      <c r="E12" s="303"/>
      <c r="F12" s="392"/>
      <c r="G12" s="161"/>
      <c r="H12" s="362" t="s">
        <v>27</v>
      </c>
      <c r="I12" s="149"/>
      <c r="J12" s="161">
        <f>T20</f>
        <v>32198</v>
      </c>
      <c r="K12" s="166">
        <v>2.1446153846153844</v>
      </c>
      <c r="L12" s="161">
        <f>$J$12*K12</f>
        <v>69052.326153846152</v>
      </c>
      <c r="M12" s="166">
        <f>U34</f>
        <v>2.0923076923076924</v>
      </c>
      <c r="N12" s="488">
        <f>$J$12*M12</f>
        <v>67368.123076923075</v>
      </c>
      <c r="O12" s="527"/>
      <c r="P12" s="161"/>
      <c r="R12" s="398"/>
      <c r="S12" s="399"/>
      <c r="T12" s="400" t="s">
        <v>188</v>
      </c>
      <c r="U12" s="400"/>
      <c r="V12" s="528"/>
    </row>
    <row r="13" spans="1:23" ht="13.15" x14ac:dyDescent="0.25">
      <c r="A13" s="359" t="s">
        <v>18</v>
      </c>
      <c r="C13" s="303">
        <f>T15</f>
        <v>86861</v>
      </c>
      <c r="D13" s="396">
        <f>U29</f>
        <v>0.45</v>
      </c>
      <c r="E13" s="303">
        <f t="shared" ref="E13:E20" si="0">C13*D13</f>
        <v>39087.450000000004</v>
      </c>
      <c r="F13" s="392"/>
      <c r="G13" s="161"/>
      <c r="H13" s="346" t="s">
        <v>28</v>
      </c>
      <c r="I13" s="149"/>
      <c r="J13" s="161"/>
      <c r="K13" s="166"/>
      <c r="L13" s="161"/>
      <c r="M13" s="166"/>
      <c r="N13" s="488"/>
      <c r="O13" s="527"/>
      <c r="P13" s="161"/>
      <c r="R13" s="346" t="s">
        <v>14</v>
      </c>
      <c r="S13" s="149"/>
      <c r="T13" s="161">
        <f>'[3]Group Home (rebased)'!P13</f>
        <v>57593.3511</v>
      </c>
      <c r="U13" s="484"/>
      <c r="V13" s="402"/>
    </row>
    <row r="14" spans="1:23" ht="13.15" x14ac:dyDescent="0.25">
      <c r="A14" s="355" t="s">
        <v>20</v>
      </c>
      <c r="C14" s="303"/>
      <c r="D14" s="396"/>
      <c r="E14" s="303"/>
      <c r="F14" s="392"/>
      <c r="G14" s="161"/>
      <c r="H14" s="348" t="s">
        <v>29</v>
      </c>
      <c r="I14" s="149"/>
      <c r="J14" s="161">
        <f>T22</f>
        <v>32198</v>
      </c>
      <c r="K14" s="166">
        <v>0.5</v>
      </c>
      <c r="L14" s="161">
        <f>$J$14*K14</f>
        <v>16099</v>
      </c>
      <c r="M14" s="166">
        <v>0.5</v>
      </c>
      <c r="N14" s="488">
        <f>$J$14*M14</f>
        <v>16099</v>
      </c>
      <c r="O14" s="527"/>
      <c r="P14" s="161"/>
      <c r="R14" s="346" t="s">
        <v>16</v>
      </c>
      <c r="S14" s="149"/>
      <c r="T14" s="161"/>
      <c r="U14" s="484"/>
      <c r="V14" s="402"/>
    </row>
    <row r="15" spans="1:23" ht="13.15" x14ac:dyDescent="0.25">
      <c r="A15" s="359" t="s">
        <v>31</v>
      </c>
      <c r="C15" s="303">
        <f>T17</f>
        <v>60923</v>
      </c>
      <c r="D15" s="396">
        <f>U31</f>
        <v>2</v>
      </c>
      <c r="E15" s="303">
        <f>C15*D15</f>
        <v>121846</v>
      </c>
      <c r="F15" s="392"/>
      <c r="G15" s="161"/>
      <c r="H15" s="457" t="s">
        <v>30</v>
      </c>
      <c r="I15" s="404"/>
      <c r="J15" s="404"/>
      <c r="K15" s="405">
        <f>SUM(K5:K14)</f>
        <v>20.544615384615383</v>
      </c>
      <c r="L15" s="406">
        <f>SUM(L5:L14)</f>
        <v>777877.72835384612</v>
      </c>
      <c r="M15" s="405">
        <f>SUM(M5:M14)</f>
        <v>21.642307692307693</v>
      </c>
      <c r="N15" s="489">
        <f>SUM(N5:N14)</f>
        <v>850145.67527692311</v>
      </c>
      <c r="O15" s="527"/>
      <c r="P15" s="161"/>
      <c r="R15" s="348" t="s">
        <v>18</v>
      </c>
      <c r="S15" s="149"/>
      <c r="T15" s="161">
        <f>'[3]Master Data '!D24</f>
        <v>86861</v>
      </c>
      <c r="U15" s="484"/>
      <c r="V15" s="402"/>
    </row>
    <row r="16" spans="1:23" ht="13.15" x14ac:dyDescent="0.25">
      <c r="A16" s="359" t="s">
        <v>24</v>
      </c>
      <c r="C16" s="303">
        <f>T18</f>
        <v>52665.599999999999</v>
      </c>
      <c r="D16" s="396">
        <f>U32</f>
        <v>1</v>
      </c>
      <c r="E16" s="303">
        <f t="shared" si="0"/>
        <v>52665.599999999999</v>
      </c>
      <c r="F16" s="392"/>
      <c r="G16" s="161"/>
      <c r="H16" s="190"/>
      <c r="I16" s="149"/>
      <c r="J16" s="149"/>
      <c r="K16" s="149"/>
      <c r="L16" s="149"/>
      <c r="M16" s="149"/>
      <c r="N16" s="402"/>
      <c r="O16" s="529"/>
      <c r="P16" s="161"/>
      <c r="R16" s="346" t="s">
        <v>20</v>
      </c>
      <c r="S16" s="149"/>
      <c r="T16" s="161"/>
      <c r="U16" s="484"/>
      <c r="V16" s="402"/>
    </row>
    <row r="17" spans="1:22" ht="13.15" x14ac:dyDescent="0.25">
      <c r="A17" s="359" t="s">
        <v>25</v>
      </c>
      <c r="C17" s="303">
        <f>T19</f>
        <v>32198</v>
      </c>
      <c r="D17" s="396">
        <f>U33</f>
        <v>13.6</v>
      </c>
      <c r="E17" s="303">
        <f t="shared" si="0"/>
        <v>437892.8</v>
      </c>
      <c r="F17" s="392"/>
      <c r="G17" s="505"/>
      <c r="H17" s="458" t="s">
        <v>32</v>
      </c>
      <c r="I17" s="149"/>
      <c r="J17" s="149"/>
      <c r="K17" s="418" t="s">
        <v>33</v>
      </c>
      <c r="L17" s="149"/>
      <c r="M17" s="418" t="s">
        <v>33</v>
      </c>
      <c r="N17" s="402"/>
      <c r="O17" s="525"/>
      <c r="P17" s="161"/>
      <c r="R17" s="346" t="s">
        <v>189</v>
      </c>
      <c r="S17" s="149"/>
      <c r="T17" s="161">
        <f>'[3]Master Data '!D32</f>
        <v>60923</v>
      </c>
      <c r="U17" s="484"/>
      <c r="V17" s="402"/>
    </row>
    <row r="18" spans="1:22" ht="13.15" x14ac:dyDescent="0.25">
      <c r="A18" s="361" t="s">
        <v>27</v>
      </c>
      <c r="C18" s="303">
        <f>T20</f>
        <v>32198</v>
      </c>
      <c r="D18" s="396">
        <f>U34</f>
        <v>2.0923076923076924</v>
      </c>
      <c r="E18" s="303">
        <f t="shared" si="0"/>
        <v>67368.123076923075</v>
      </c>
      <c r="F18" s="392"/>
      <c r="G18" s="505"/>
      <c r="H18" s="190" t="s">
        <v>35</v>
      </c>
      <c r="I18" s="149"/>
      <c r="J18" s="191">
        <f>$T$39</f>
        <v>0.22309999999999999</v>
      </c>
      <c r="K18" s="149"/>
      <c r="L18" s="161">
        <f>$J$18*L15</f>
        <v>173544.52119574306</v>
      </c>
      <c r="M18" s="149"/>
      <c r="N18" s="488">
        <f>$J$18*N15</f>
        <v>189667.50015428153</v>
      </c>
      <c r="O18" s="525"/>
      <c r="P18" s="149"/>
      <c r="R18" s="348" t="s">
        <v>24</v>
      </c>
      <c r="S18" s="149"/>
      <c r="T18" s="161">
        <f>'Salary Bench Chart'!C12</f>
        <v>52665.599999999999</v>
      </c>
      <c r="U18" s="484"/>
      <c r="V18" s="402"/>
    </row>
    <row r="19" spans="1:22" ht="13.15" x14ac:dyDescent="0.25">
      <c r="A19" s="355" t="s">
        <v>28</v>
      </c>
      <c r="C19" s="303"/>
      <c r="D19" s="396"/>
      <c r="E19" s="303"/>
      <c r="F19" s="392"/>
      <c r="G19" s="161"/>
      <c r="H19" s="457" t="s">
        <v>36</v>
      </c>
      <c r="I19" s="404"/>
      <c r="J19" s="404"/>
      <c r="K19" s="413">
        <f>L19/L3</f>
        <v>217.21969167798838</v>
      </c>
      <c r="L19" s="406">
        <f>L18+L15</f>
        <v>951422.24954958912</v>
      </c>
      <c r="M19" s="413">
        <f>N19/N3</f>
        <v>237.40026836328872</v>
      </c>
      <c r="N19" s="489">
        <f>N18+N15</f>
        <v>1039813.1754312046</v>
      </c>
      <c r="O19" s="527"/>
      <c r="P19" s="149"/>
      <c r="R19" s="348" t="s">
        <v>25</v>
      </c>
      <c r="S19" s="149"/>
      <c r="T19" s="161">
        <f>'[3]Master Data '!D50</f>
        <v>32198</v>
      </c>
      <c r="U19" s="484"/>
      <c r="V19" s="402"/>
    </row>
    <row r="20" spans="1:22" ht="13.15" x14ac:dyDescent="0.25">
      <c r="A20" s="359" t="s">
        <v>29</v>
      </c>
      <c r="C20" s="303">
        <f>T22</f>
        <v>32198</v>
      </c>
      <c r="D20" s="396">
        <f>U36</f>
        <v>0.5</v>
      </c>
      <c r="E20" s="303">
        <f t="shared" si="0"/>
        <v>16099</v>
      </c>
      <c r="F20" s="392"/>
      <c r="G20" s="161"/>
      <c r="H20" s="190" t="str">
        <f>'[3]Master Data '!B128</f>
        <v>PFMLA Trust Contribution</v>
      </c>
      <c r="I20" s="530">
        <f>T40</f>
        <v>3.7000000000000002E-3</v>
      </c>
      <c r="J20" s="149"/>
      <c r="K20" s="149"/>
      <c r="L20" s="149"/>
      <c r="M20" s="149"/>
      <c r="N20" s="491">
        <f>N15*I20</f>
        <v>3145.5389985246156</v>
      </c>
      <c r="O20" s="529"/>
      <c r="P20" s="161"/>
      <c r="R20" s="362" t="s">
        <v>27</v>
      </c>
      <c r="S20" s="149"/>
      <c r="T20" s="161">
        <f>T19</f>
        <v>32198</v>
      </c>
      <c r="U20" s="484"/>
      <c r="V20" s="402"/>
    </row>
    <row r="21" spans="1:22" ht="13.15" x14ac:dyDescent="0.25">
      <c r="A21" s="404" t="s">
        <v>30</v>
      </c>
      <c r="B21" s="404"/>
      <c r="C21" s="404"/>
      <c r="D21" s="405">
        <f>SUM(D11:D20)</f>
        <v>21.642307692307693</v>
      </c>
      <c r="E21" s="406">
        <f>SUM(E11:E20)</f>
        <v>850145.67527692311</v>
      </c>
      <c r="F21" s="392"/>
      <c r="G21" s="224"/>
      <c r="H21" s="190" t="s">
        <v>38</v>
      </c>
      <c r="I21" s="149"/>
      <c r="J21" s="149"/>
      <c r="K21" s="202">
        <f>$T$41</f>
        <v>25.648695</v>
      </c>
      <c r="L21" s="226">
        <f>K21*L3</f>
        <v>112341.2841</v>
      </c>
      <c r="M21" s="202">
        <f>$T$41</f>
        <v>25.648695</v>
      </c>
      <c r="N21" s="491">
        <f>M21*N3</f>
        <v>112341.2841</v>
      </c>
      <c r="O21" s="525"/>
      <c r="P21" s="224"/>
      <c r="R21" s="346" t="s">
        <v>28</v>
      </c>
      <c r="S21" s="149"/>
      <c r="T21" s="161"/>
      <c r="U21" s="484"/>
      <c r="V21" s="402"/>
    </row>
    <row r="22" spans="1:22" ht="13.15" x14ac:dyDescent="0.25">
      <c r="F22" s="392"/>
      <c r="G22" s="149"/>
      <c r="H22" s="190" t="s">
        <v>39</v>
      </c>
      <c r="I22" s="149"/>
      <c r="J22" s="149"/>
      <c r="K22" s="202">
        <f>$T$42</f>
        <v>18.55</v>
      </c>
      <c r="L22" s="226">
        <f>K22*L3</f>
        <v>81249</v>
      </c>
      <c r="M22" s="202">
        <f>$T$42</f>
        <v>18.55</v>
      </c>
      <c r="N22" s="491">
        <f>M22*N3</f>
        <v>81249</v>
      </c>
      <c r="O22" s="531"/>
      <c r="P22" s="224"/>
      <c r="R22" s="348" t="s">
        <v>29</v>
      </c>
      <c r="S22" s="149"/>
      <c r="T22" s="161">
        <f>'[3]Master Data '!D64</f>
        <v>32198</v>
      </c>
      <c r="U22" s="484"/>
      <c r="V22" s="402"/>
    </row>
    <row r="23" spans="1:22" ht="13.15" x14ac:dyDescent="0.25">
      <c r="A23" s="390" t="s">
        <v>32</v>
      </c>
      <c r="D23" s="390" t="s">
        <v>33</v>
      </c>
      <c r="F23" s="392"/>
      <c r="G23" s="149"/>
      <c r="H23" s="190" t="s">
        <v>173</v>
      </c>
      <c r="I23" s="149"/>
      <c r="J23" s="149"/>
      <c r="K23" s="202">
        <f>$T$43</f>
        <v>2.2839999999999998</v>
      </c>
      <c r="L23" s="226">
        <f>K23*L3</f>
        <v>10003.919999999998</v>
      </c>
      <c r="M23" s="202">
        <f>$T$43</f>
        <v>2.2839999999999998</v>
      </c>
      <c r="N23" s="491">
        <f>M23*N3</f>
        <v>10003.919999999998</v>
      </c>
      <c r="O23" s="531"/>
      <c r="P23" s="149"/>
      <c r="R23" s="348"/>
      <c r="S23" s="149"/>
      <c r="T23" s="161"/>
      <c r="U23" s="161"/>
      <c r="V23" s="402"/>
    </row>
    <row r="24" spans="1:22" ht="13.9" thickBot="1" x14ac:dyDescent="0.3">
      <c r="A24" s="205" t="s">
        <v>35</v>
      </c>
      <c r="C24" s="410">
        <f>$T$39</f>
        <v>0.22309999999999999</v>
      </c>
      <c r="E24" s="303">
        <f>C24*E21</f>
        <v>189667.50015428153</v>
      </c>
      <c r="F24" s="392"/>
      <c r="G24" s="161"/>
      <c r="H24" s="190" t="s">
        <v>174</v>
      </c>
      <c r="I24" s="149"/>
      <c r="J24" s="149"/>
      <c r="K24" s="202">
        <f>$T$44</f>
        <v>-2</v>
      </c>
      <c r="L24" s="226">
        <f>K24*L3</f>
        <v>-8760</v>
      </c>
      <c r="M24" s="202">
        <f>$T$44</f>
        <v>-2</v>
      </c>
      <c r="N24" s="491">
        <f>M24*N3</f>
        <v>-8760</v>
      </c>
      <c r="O24" s="531"/>
      <c r="P24" s="226"/>
      <c r="Q24" s="522" t="s">
        <v>315</v>
      </c>
      <c r="R24" s="190"/>
      <c r="S24" s="149"/>
      <c r="T24" s="411" t="s">
        <v>41</v>
      </c>
      <c r="U24" s="411"/>
      <c r="V24" s="402"/>
    </row>
    <row r="25" spans="1:22" ht="13.15" x14ac:dyDescent="0.25">
      <c r="A25" s="404" t="s">
        <v>36</v>
      </c>
      <c r="B25" s="404"/>
      <c r="C25" s="404"/>
      <c r="D25" s="413">
        <f>E25/E8</f>
        <v>237.40026836328872</v>
      </c>
      <c r="E25" s="406">
        <f>E24+E21</f>
        <v>1039813.1754312046</v>
      </c>
      <c r="F25" s="392"/>
      <c r="G25" s="224"/>
      <c r="H25" s="190"/>
      <c r="I25" s="149"/>
      <c r="J25" s="149"/>
      <c r="K25" s="420">
        <f>SUM(K21:K24)</f>
        <v>44.482695</v>
      </c>
      <c r="L25" s="149"/>
      <c r="M25" s="420">
        <f>SUM(M21:M24)</f>
        <v>44.482695</v>
      </c>
      <c r="N25" s="402"/>
      <c r="O25" s="532"/>
      <c r="P25" s="226"/>
      <c r="Q25" s="703" t="s">
        <v>313</v>
      </c>
      <c r="R25" s="190" t="s">
        <v>42</v>
      </c>
      <c r="S25" s="414"/>
      <c r="T25" s="414"/>
      <c r="U25" s="414"/>
      <c r="V25" s="415"/>
    </row>
    <row r="26" spans="1:22" ht="13.15" x14ac:dyDescent="0.25">
      <c r="F26" s="392"/>
      <c r="G26" s="149"/>
      <c r="H26" s="190"/>
      <c r="I26" s="149"/>
      <c r="J26" s="149"/>
      <c r="K26" s="149"/>
      <c r="L26" s="149"/>
      <c r="M26" s="149"/>
      <c r="N26" s="402"/>
      <c r="O26" s="525"/>
      <c r="P26" s="226"/>
      <c r="Q26" s="704" t="s">
        <v>312</v>
      </c>
      <c r="R26" s="190" t="s">
        <v>48</v>
      </c>
      <c r="S26" s="34">
        <f>'[8]Rate options'!K23</f>
        <v>6</v>
      </c>
      <c r="T26" s="34">
        <f>'[8]Rate options'!L23</f>
        <v>9</v>
      </c>
      <c r="U26" s="34">
        <f>'[8]Rate options'!M23</f>
        <v>12</v>
      </c>
      <c r="V26" s="416">
        <f>'[8]Rate options'!N23</f>
        <v>15</v>
      </c>
    </row>
    <row r="27" spans="1:22" ht="13.9" thickBot="1" x14ac:dyDescent="0.3">
      <c r="A27" s="205" t="s">
        <v>38</v>
      </c>
      <c r="D27" s="326">
        <f>$T$41</f>
        <v>25.648695</v>
      </c>
      <c r="E27" s="333">
        <f>D27*E8</f>
        <v>112341.2841</v>
      </c>
      <c r="F27" s="392"/>
      <c r="G27" s="226"/>
      <c r="H27" s="457" t="s">
        <v>40</v>
      </c>
      <c r="I27" s="404"/>
      <c r="J27" s="404"/>
      <c r="K27" s="404"/>
      <c r="L27" s="406">
        <f>SUM(L19:L24)</f>
        <v>1146256.4536495891</v>
      </c>
      <c r="M27" s="404"/>
      <c r="N27" s="489">
        <f>SUM(N19:N24)</f>
        <v>1237792.9185297291</v>
      </c>
      <c r="O27" s="525"/>
      <c r="P27" s="226"/>
      <c r="Q27" s="705">
        <f>N30/12</f>
        <v>116165.19807570473</v>
      </c>
      <c r="R27" s="346" t="s">
        <v>14</v>
      </c>
      <c r="S27" s="506">
        <f>'[8]Rate options'!K24</f>
        <v>1</v>
      </c>
      <c r="T27" s="506">
        <v>1.5</v>
      </c>
      <c r="U27" s="506">
        <f>'[8]Rate options'!M24</f>
        <v>2</v>
      </c>
      <c r="V27" s="507">
        <v>2</v>
      </c>
    </row>
    <row r="28" spans="1:22" ht="13.9" thickBot="1" x14ac:dyDescent="0.3">
      <c r="A28" s="149" t="s">
        <v>39</v>
      </c>
      <c r="D28" s="326">
        <f>$T$42</f>
        <v>18.55</v>
      </c>
      <c r="E28" s="333">
        <f>D28*E8</f>
        <v>81249</v>
      </c>
      <c r="F28" s="392"/>
      <c r="G28" s="226"/>
      <c r="H28" s="190" t="s">
        <v>47</v>
      </c>
      <c r="I28" s="149"/>
      <c r="J28" s="191">
        <f>$T$47</f>
        <v>0.11849999999999999</v>
      </c>
      <c r="K28" s="149"/>
      <c r="L28" s="161">
        <f>$J$28*L27</f>
        <v>135831.38975747631</v>
      </c>
      <c r="M28" s="149"/>
      <c r="N28" s="488">
        <f>$J$28*N27</f>
        <v>146678.4608457729</v>
      </c>
      <c r="O28" s="529"/>
      <c r="P28" s="149"/>
      <c r="R28" s="346" t="s">
        <v>16</v>
      </c>
      <c r="S28" s="508"/>
      <c r="T28" s="508"/>
      <c r="U28" s="508"/>
      <c r="V28" s="509"/>
    </row>
    <row r="29" spans="1:22" ht="13.9" thickBot="1" x14ac:dyDescent="0.3">
      <c r="A29" s="149" t="s">
        <v>173</v>
      </c>
      <c r="D29" s="326">
        <f>$T$43</f>
        <v>2.2839999999999998</v>
      </c>
      <c r="E29" s="333">
        <f>D29*E8</f>
        <v>10003.919999999998</v>
      </c>
      <c r="F29" s="392"/>
      <c r="G29" s="226"/>
      <c r="H29" s="460" t="s">
        <v>49</v>
      </c>
      <c r="I29" s="423"/>
      <c r="J29" s="423"/>
      <c r="K29" s="423"/>
      <c r="L29" s="424">
        <f>SUM(L27:L28)</f>
        <v>1282087.8434070654</v>
      </c>
      <c r="M29" s="423"/>
      <c r="N29" s="492">
        <f>SUM(N27:N28)</f>
        <v>1384471.379375502</v>
      </c>
      <c r="O29" s="525"/>
      <c r="P29" s="149"/>
      <c r="Q29" s="716"/>
      <c r="R29" s="348" t="s">
        <v>18</v>
      </c>
      <c r="S29" s="506">
        <v>0.23</v>
      </c>
      <c r="T29" s="506">
        <v>0.34</v>
      </c>
      <c r="U29" s="506">
        <v>0.45</v>
      </c>
      <c r="V29" s="507">
        <v>0.56000000000000005</v>
      </c>
    </row>
    <row r="30" spans="1:22" ht="14.45" thickTop="1" thickBot="1" x14ac:dyDescent="0.3">
      <c r="A30" s="149" t="s">
        <v>174</v>
      </c>
      <c r="D30" s="326">
        <f>$T$44</f>
        <v>-2</v>
      </c>
      <c r="E30" s="333">
        <f>D30*E8</f>
        <v>-8760</v>
      </c>
      <c r="F30" s="392"/>
      <c r="G30" s="226"/>
      <c r="H30" s="443" t="str">
        <f>R49</f>
        <v>CAF Rate Review (FY21 7 FY22)</v>
      </c>
      <c r="I30" s="444"/>
      <c r="J30" s="708">
        <f>T49</f>
        <v>1.78E-2</v>
      </c>
      <c r="K30" s="444"/>
      <c r="L30" s="709">
        <f>(L29*J30)-(L15*J30)+L29</f>
        <v>1291062.7834550126</v>
      </c>
      <c r="M30" s="444"/>
      <c r="N30" s="710">
        <f>(N29*J30+1)-(N15*J30+1)+N29</f>
        <v>1393982.3769084567</v>
      </c>
      <c r="O30" s="527"/>
      <c r="P30" s="224"/>
      <c r="Q30" s="717"/>
      <c r="R30" s="346" t="s">
        <v>20</v>
      </c>
      <c r="S30" s="508"/>
      <c r="T30" s="508"/>
      <c r="U30" s="508"/>
      <c r="V30" s="509"/>
    </row>
    <row r="31" spans="1:22" ht="20.45" customHeight="1" thickBot="1" x14ac:dyDescent="0.3">
      <c r="D31" s="420">
        <f>SUM(D27:D30)</f>
        <v>44.482695</v>
      </c>
      <c r="F31" s="392"/>
      <c r="G31" s="149"/>
      <c r="O31" s="149"/>
      <c r="P31" s="149"/>
      <c r="Q31" s="706"/>
      <c r="R31" s="348" t="s">
        <v>31</v>
      </c>
      <c r="S31" s="508">
        <v>1.5</v>
      </c>
      <c r="T31" s="508">
        <v>1.5</v>
      </c>
      <c r="U31" s="508">
        <v>2</v>
      </c>
      <c r="V31" s="509">
        <v>2</v>
      </c>
    </row>
    <row r="32" spans="1:22" x14ac:dyDescent="0.2">
      <c r="F32" s="392"/>
      <c r="G32" s="149"/>
      <c r="H32" s="803" t="s">
        <v>192</v>
      </c>
      <c r="I32" s="809"/>
      <c r="J32" s="809"/>
      <c r="K32" s="809"/>
      <c r="L32" s="809"/>
      <c r="M32" s="809"/>
      <c r="N32" s="810"/>
      <c r="O32" s="462" t="e">
        <f>#REF!*(1+$J$30)</f>
        <v>#REF!</v>
      </c>
      <c r="P32" s="224"/>
      <c r="R32" s="359" t="s">
        <v>24</v>
      </c>
      <c r="S32" s="506">
        <v>0</v>
      </c>
      <c r="T32" s="506">
        <v>0.5</v>
      </c>
      <c r="U32" s="506">
        <v>1</v>
      </c>
      <c r="V32" s="507">
        <v>1.5</v>
      </c>
    </row>
    <row r="33" spans="1:22" ht="13.5" thickBot="1" x14ac:dyDescent="0.25">
      <c r="A33" s="404" t="s">
        <v>40</v>
      </c>
      <c r="B33" s="404"/>
      <c r="C33" s="404"/>
      <c r="D33" s="404"/>
      <c r="E33" s="406">
        <f>SUM(E25:E30)</f>
        <v>1234647.3795312045</v>
      </c>
      <c r="F33" s="392"/>
      <c r="G33" s="224"/>
      <c r="H33" s="811"/>
      <c r="I33" s="812"/>
      <c r="J33" s="812"/>
      <c r="K33" s="812"/>
      <c r="L33" s="812"/>
      <c r="M33" s="812"/>
      <c r="N33" s="813"/>
      <c r="O33" s="525"/>
      <c r="P33" s="149"/>
      <c r="R33" s="359" t="s">
        <v>25</v>
      </c>
      <c r="S33" s="506">
        <v>8.4</v>
      </c>
      <c r="T33" s="506">
        <v>10.51</v>
      </c>
      <c r="U33" s="506">
        <f>'[8]Rate options'!M29</f>
        <v>13.6</v>
      </c>
      <c r="V33" s="507">
        <v>17</v>
      </c>
    </row>
    <row r="34" spans="1:22" ht="13.15" x14ac:dyDescent="0.25">
      <c r="F34" s="392"/>
      <c r="G34" s="149"/>
      <c r="H34" s="458" t="s">
        <v>4</v>
      </c>
      <c r="I34" s="470">
        <v>6</v>
      </c>
      <c r="J34" s="418"/>
      <c r="K34" s="418" t="s">
        <v>5</v>
      </c>
      <c r="L34" s="451">
        <f>$I$34*365</f>
        <v>2190</v>
      </c>
      <c r="M34" s="418" t="s">
        <v>5</v>
      </c>
      <c r="N34" s="485">
        <f>$I$34*365</f>
        <v>2190</v>
      </c>
      <c r="O34" s="535" t="s">
        <v>190</v>
      </c>
      <c r="P34" s="462"/>
      <c r="Q34" s="534"/>
      <c r="R34" s="707" t="s">
        <v>27</v>
      </c>
      <c r="S34" s="508">
        <f>S33*T10</f>
        <v>1.2923076923076924</v>
      </c>
      <c r="T34" s="508">
        <f>T33*T10</f>
        <v>1.6169230769230769</v>
      </c>
      <c r="U34" s="508">
        <f>U33*T10</f>
        <v>2.0923076923076924</v>
      </c>
      <c r="V34" s="509">
        <f>V33*T10</f>
        <v>2.6153846153846154</v>
      </c>
    </row>
    <row r="35" spans="1:22" ht="13.15" x14ac:dyDescent="0.25">
      <c r="A35" s="205" t="s">
        <v>47</v>
      </c>
      <c r="C35" s="410">
        <f>$T$47</f>
        <v>0.11849999999999999</v>
      </c>
      <c r="E35" s="303">
        <f>C35*E33</f>
        <v>146305.71447444771</v>
      </c>
      <c r="F35" s="392"/>
      <c r="G35" s="161"/>
      <c r="H35" s="453"/>
      <c r="I35" s="394"/>
      <c r="J35" s="395" t="s">
        <v>10</v>
      </c>
      <c r="K35" s="395" t="s">
        <v>11</v>
      </c>
      <c r="L35" s="395" t="s">
        <v>12</v>
      </c>
      <c r="M35" s="395" t="s">
        <v>11</v>
      </c>
      <c r="N35" s="486" t="s">
        <v>12</v>
      </c>
      <c r="O35" s="511" t="e">
        <f>O32/12</f>
        <v>#REF!</v>
      </c>
      <c r="P35" s="149"/>
      <c r="R35" s="346" t="s">
        <v>28</v>
      </c>
      <c r="S35" s="508"/>
      <c r="T35" s="508"/>
      <c r="U35" s="508"/>
      <c r="V35" s="509"/>
    </row>
    <row r="36" spans="1:22" ht="13.15" x14ac:dyDescent="0.25">
      <c r="F36" s="392"/>
      <c r="G36" s="149"/>
      <c r="H36" s="455" t="s">
        <v>14</v>
      </c>
      <c r="I36" s="149"/>
      <c r="J36" s="161">
        <f>T13</f>
        <v>57593.3511</v>
      </c>
      <c r="K36" s="166">
        <v>1</v>
      </c>
      <c r="L36" s="161">
        <f>$J$36*K36</f>
        <v>57593.3511</v>
      </c>
      <c r="M36" s="166">
        <f>S27</f>
        <v>1</v>
      </c>
      <c r="N36" s="488">
        <f>$J$36*M36</f>
        <v>57593.3511</v>
      </c>
      <c r="O36" s="511" t="e">
        <f>ROUND(O35*(1+#REF!),0)</f>
        <v>#REF!</v>
      </c>
      <c r="P36" s="510"/>
      <c r="R36" s="348" t="s">
        <v>29</v>
      </c>
      <c r="S36" s="506">
        <v>0.5</v>
      </c>
      <c r="T36" s="506">
        <v>0.5</v>
      </c>
      <c r="U36" s="506">
        <v>0.5</v>
      </c>
      <c r="V36" s="507">
        <v>0.5</v>
      </c>
    </row>
    <row r="37" spans="1:22" ht="13.9" thickBot="1" x14ac:dyDescent="0.3">
      <c r="A37" s="422" t="s">
        <v>49</v>
      </c>
      <c r="B37" s="423"/>
      <c r="C37" s="423"/>
      <c r="D37" s="423"/>
      <c r="E37" s="424">
        <f>SUM(E33:E35)</f>
        <v>1380953.0940056522</v>
      </c>
      <c r="F37" s="392"/>
      <c r="G37" s="224"/>
      <c r="H37" s="346" t="s">
        <v>16</v>
      </c>
      <c r="I37" s="149"/>
      <c r="J37" s="161"/>
      <c r="K37" s="166"/>
      <c r="L37" s="161"/>
      <c r="M37" s="166"/>
      <c r="N37" s="488"/>
      <c r="O37" s="513"/>
      <c r="P37" s="462"/>
      <c r="R37" s="190"/>
      <c r="S37" s="149"/>
      <c r="T37" s="149"/>
      <c r="U37" s="149"/>
      <c r="V37" s="402"/>
    </row>
    <row r="38" spans="1:22" ht="13.9" thickTop="1" x14ac:dyDescent="0.25">
      <c r="F38" s="392"/>
      <c r="G38" s="149"/>
      <c r="H38" s="348" t="s">
        <v>18</v>
      </c>
      <c r="I38" s="149"/>
      <c r="J38" s="161">
        <f>T15</f>
        <v>86861</v>
      </c>
      <c r="K38" s="166">
        <v>0.15</v>
      </c>
      <c r="L38" s="161">
        <f>$J$38*K38</f>
        <v>13029.15</v>
      </c>
      <c r="M38" s="166">
        <f>S29</f>
        <v>0.23</v>
      </c>
      <c r="N38" s="488">
        <f>$J$38*M38</f>
        <v>19978.030000000002</v>
      </c>
      <c r="O38" s="474"/>
      <c r="P38" s="462"/>
      <c r="R38" s="190"/>
      <c r="S38" s="149"/>
      <c r="T38" s="411" t="s">
        <v>135</v>
      </c>
      <c r="U38" s="411"/>
      <c r="V38" s="528"/>
    </row>
    <row r="39" spans="1:22" ht="13.15" x14ac:dyDescent="0.25">
      <c r="A39" s="205" t="s">
        <v>132</v>
      </c>
      <c r="C39" s="410"/>
      <c r="E39" s="317">
        <f>E37*(1+C39)</f>
        <v>1380953.0940056522</v>
      </c>
      <c r="F39" s="392"/>
      <c r="G39" s="462"/>
      <c r="H39" s="346" t="s">
        <v>20</v>
      </c>
      <c r="I39" s="149"/>
      <c r="J39" s="161"/>
      <c r="K39" s="166"/>
      <c r="L39" s="161"/>
      <c r="M39" s="166"/>
      <c r="N39" s="488"/>
      <c r="O39" s="474"/>
      <c r="P39" s="474"/>
      <c r="Q39" s="514"/>
      <c r="R39" s="190" t="str">
        <f>'Group Home'!N47</f>
        <v>Tax and Fringe</v>
      </c>
      <c r="S39" s="149"/>
      <c r="T39" s="435">
        <f>'[3]Master Data '!D140</f>
        <v>0.22309999999999999</v>
      </c>
      <c r="U39" s="484"/>
      <c r="V39" s="402"/>
    </row>
    <row r="40" spans="1:22" ht="13.15" x14ac:dyDescent="0.25">
      <c r="F40" s="392"/>
      <c r="G40" s="149"/>
      <c r="H40" s="348" t="s">
        <v>31</v>
      </c>
      <c r="I40" s="149"/>
      <c r="J40" s="161">
        <f>T17</f>
        <v>60923</v>
      </c>
      <c r="K40" s="166">
        <v>1</v>
      </c>
      <c r="L40" s="161">
        <f>$J$40*K40</f>
        <v>60923</v>
      </c>
      <c r="M40" s="166">
        <f>S31</f>
        <v>1.5</v>
      </c>
      <c r="N40" s="488">
        <f>$J$40*M40</f>
        <v>91384.5</v>
      </c>
      <c r="P40" s="474"/>
      <c r="R40" s="190" t="str">
        <f>'Group Home'!N48</f>
        <v>PFML Trust Contribution</v>
      </c>
      <c r="S40" s="149"/>
      <c r="T40" s="191">
        <f>'Salary Bench Chart'!C32</f>
        <v>3.7000000000000002E-3</v>
      </c>
      <c r="U40" s="149"/>
      <c r="V40" s="402"/>
    </row>
    <row r="41" spans="1:22" ht="13.15" x14ac:dyDescent="0.25">
      <c r="E41" s="319" t="s">
        <v>59</v>
      </c>
      <c r="F41" s="392"/>
      <c r="G41" s="510"/>
      <c r="H41" s="348" t="s">
        <v>25</v>
      </c>
      <c r="I41" s="149"/>
      <c r="J41" s="161">
        <f>T19</f>
        <v>32198</v>
      </c>
      <c r="K41" s="166">
        <v>8.4</v>
      </c>
      <c r="L41" s="161">
        <f>$J$41*K41</f>
        <v>270463.2</v>
      </c>
      <c r="M41" s="166">
        <f>S33</f>
        <v>8.4</v>
      </c>
      <c r="N41" s="488">
        <f>$J$41*M41</f>
        <v>270463.2</v>
      </c>
      <c r="P41" s="474"/>
      <c r="Q41" s="541"/>
      <c r="R41" s="190" t="str">
        <f>'Group Home'!N49</f>
        <v>Occupancy</v>
      </c>
      <c r="S41" s="149"/>
      <c r="T41" s="438">
        <f>'[3]Master Data '!F94</f>
        <v>25.648695</v>
      </c>
      <c r="U41" s="438"/>
      <c r="V41" s="402"/>
    </row>
    <row r="42" spans="1:22" ht="13.15" x14ac:dyDescent="0.25">
      <c r="A42" s="205" t="s">
        <v>133</v>
      </c>
      <c r="D42" s="321">
        <f>E37/E8</f>
        <v>315.28609452183844</v>
      </c>
      <c r="E42" s="321">
        <f>D42*(1+$C$39)</f>
        <v>315.28609452183844</v>
      </c>
      <c r="F42" s="392"/>
      <c r="G42" s="462"/>
      <c r="H42" s="362" t="s">
        <v>27</v>
      </c>
      <c r="I42" s="149"/>
      <c r="J42" s="161">
        <f>T20</f>
        <v>32198</v>
      </c>
      <c r="K42" s="166">
        <f>K41*$T$10</f>
        <v>1.2923076923076924</v>
      </c>
      <c r="L42" s="161">
        <f>$J$42*K42</f>
        <v>41609.723076923081</v>
      </c>
      <c r="M42" s="166">
        <f>S34</f>
        <v>1.2923076923076924</v>
      </c>
      <c r="N42" s="488">
        <f>$J$42*M42</f>
        <v>41609.723076923081</v>
      </c>
      <c r="R42" s="190" t="str">
        <f>'Group Home'!N50</f>
        <v>Other Expenses</v>
      </c>
      <c r="S42" s="149"/>
      <c r="T42" s="438">
        <v>18.55</v>
      </c>
      <c r="U42" s="438"/>
      <c r="V42" s="402"/>
    </row>
    <row r="43" spans="1:22" x14ac:dyDescent="0.2">
      <c r="A43" s="205" t="s">
        <v>134</v>
      </c>
      <c r="C43" s="410"/>
      <c r="D43" s="321"/>
      <c r="E43" s="321"/>
      <c r="F43" s="495">
        <f>E42*(1+C43)</f>
        <v>315.28609452183844</v>
      </c>
      <c r="G43" s="462"/>
      <c r="H43" s="346" t="s">
        <v>28</v>
      </c>
      <c r="I43" s="149"/>
      <c r="J43" s="161"/>
      <c r="K43" s="166"/>
      <c r="L43" s="161"/>
      <c r="M43" s="166"/>
      <c r="N43" s="488"/>
      <c r="O43" s="814" t="s">
        <v>51</v>
      </c>
      <c r="Q43" s="534"/>
      <c r="R43" s="190" t="str">
        <f>'Group Home'!N51</f>
        <v>Additional Travel</v>
      </c>
      <c r="S43" s="149"/>
      <c r="T43" s="438">
        <v>2.2839999999999998</v>
      </c>
      <c r="U43" s="438"/>
      <c r="V43" s="402"/>
    </row>
    <row r="44" spans="1:22" ht="13.5" thickBot="1" x14ac:dyDescent="0.25">
      <c r="A44" s="371" t="s">
        <v>50</v>
      </c>
      <c r="B44" s="372">
        <v>0.9</v>
      </c>
      <c r="C44" s="373"/>
      <c r="D44" s="374">
        <f>E37/(E8*B44)</f>
        <v>350.31788280204267</v>
      </c>
      <c r="E44" s="374">
        <f>D44*(1+$C$39)</f>
        <v>350.31788280204267</v>
      </c>
      <c r="F44" s="536"/>
      <c r="G44" s="474"/>
      <c r="H44" s="348" t="s">
        <v>29</v>
      </c>
      <c r="I44" s="149"/>
      <c r="J44" s="161">
        <f>T22</f>
        <v>32198</v>
      </c>
      <c r="K44" s="166">
        <v>0.5</v>
      </c>
      <c r="L44" s="161">
        <f>$J$44*K44</f>
        <v>16099</v>
      </c>
      <c r="M44" s="166">
        <f>S36</f>
        <v>0.5</v>
      </c>
      <c r="N44" s="488">
        <f>$J$44*M44</f>
        <v>16099</v>
      </c>
      <c r="O44" s="815"/>
      <c r="R44" s="190" t="str">
        <f>'Group Home'!N52</f>
        <v>Nutrition Offset</v>
      </c>
      <c r="S44" s="433"/>
      <c r="T44" s="537">
        <v>-2</v>
      </c>
      <c r="U44" s="537"/>
      <c r="V44" s="538"/>
    </row>
    <row r="45" spans="1:22" ht="13.9" thickBot="1" x14ac:dyDescent="0.3">
      <c r="A45" s="375"/>
      <c r="B45" s="107">
        <v>0.85</v>
      </c>
      <c r="C45" s="108"/>
      <c r="D45" s="89">
        <f>E37/(E8*B45)</f>
        <v>370.92481708451578</v>
      </c>
      <c r="E45" s="521">
        <f>D45*(1+$C$39)</f>
        <v>370.92481708451578</v>
      </c>
      <c r="F45" s="539">
        <f>F43/B45</f>
        <v>370.92481708451584</v>
      </c>
      <c r="G45" s="474"/>
      <c r="H45" s="457" t="s">
        <v>30</v>
      </c>
      <c r="I45" s="404"/>
      <c r="J45" s="404"/>
      <c r="K45" s="405">
        <f>SUM(K36:K44)</f>
        <v>12.342307692307694</v>
      </c>
      <c r="L45" s="406">
        <f>SUM(L36:L44)</f>
        <v>459717.42417692312</v>
      </c>
      <c r="M45" s="405">
        <f>SUM(M36:M44)</f>
        <v>12.922307692307694</v>
      </c>
      <c r="N45" s="489">
        <f>SUM(N36:N44)</f>
        <v>497127.80417692312</v>
      </c>
      <c r="O45" s="524" t="s">
        <v>143</v>
      </c>
      <c r="P45" s="2"/>
      <c r="R45" s="458"/>
      <c r="S45" s="149"/>
      <c r="T45" s="202">
        <f>SUM(T41:T44)</f>
        <v>44.482695</v>
      </c>
      <c r="U45" s="202"/>
      <c r="V45" s="402"/>
    </row>
    <row r="46" spans="1:22" ht="13.15" x14ac:dyDescent="0.25">
      <c r="A46" s="431"/>
      <c r="B46" s="432">
        <v>0.8</v>
      </c>
      <c r="C46" s="433"/>
      <c r="D46" s="379">
        <f>E37/(E8*B46)</f>
        <v>394.10761815229802</v>
      </c>
      <c r="E46" s="379">
        <f>D46*(1+$C$39)</f>
        <v>394.10761815229802</v>
      </c>
      <c r="F46" s="540"/>
      <c r="G46" s="474"/>
      <c r="H46" s="190"/>
      <c r="I46" s="149"/>
      <c r="J46" s="149"/>
      <c r="K46" s="149"/>
      <c r="L46" s="149"/>
      <c r="M46" s="149"/>
      <c r="N46" s="402"/>
      <c r="O46" s="525"/>
      <c r="P46" s="2"/>
      <c r="R46" s="190"/>
      <c r="S46" s="149"/>
      <c r="T46" s="149"/>
      <c r="U46" s="149"/>
      <c r="V46" s="402"/>
    </row>
    <row r="47" spans="1:22" ht="13.15" x14ac:dyDescent="0.25">
      <c r="H47" s="458" t="s">
        <v>32</v>
      </c>
      <c r="I47" s="149"/>
      <c r="J47" s="149"/>
      <c r="K47" s="418" t="s">
        <v>33</v>
      </c>
      <c r="L47" s="149"/>
      <c r="M47" s="418" t="s">
        <v>33</v>
      </c>
      <c r="N47" s="402"/>
      <c r="O47" s="526"/>
      <c r="P47" s="504"/>
      <c r="R47" s="190" t="s">
        <v>201</v>
      </c>
      <c r="S47" s="149"/>
      <c r="T47" s="435">
        <f>'[3]Master Data '!D132</f>
        <v>0.11849999999999999</v>
      </c>
      <c r="U47" s="325"/>
      <c r="V47" s="402"/>
    </row>
    <row r="48" spans="1:22" ht="13.15" x14ac:dyDescent="0.25">
      <c r="F48" s="326"/>
      <c r="H48" s="190" t="s">
        <v>35</v>
      </c>
      <c r="I48" s="149"/>
      <c r="J48" s="191">
        <f>$T$39</f>
        <v>0.22309999999999999</v>
      </c>
      <c r="K48" s="149"/>
      <c r="L48" s="161">
        <f>$J$48*L45</f>
        <v>102562.95733387154</v>
      </c>
      <c r="M48" s="149"/>
      <c r="N48" s="488">
        <f>$J$48*N45</f>
        <v>110909.21311187155</v>
      </c>
      <c r="O48" s="527"/>
      <c r="P48" s="149"/>
      <c r="R48" s="190"/>
      <c r="S48" s="149"/>
      <c r="T48" s="149"/>
      <c r="U48" s="149"/>
      <c r="V48" s="402"/>
    </row>
    <row r="49" spans="1:25" ht="13.9" thickBot="1" x14ac:dyDescent="0.3">
      <c r="H49" s="457" t="s">
        <v>36</v>
      </c>
      <c r="I49" s="404"/>
      <c r="J49" s="404"/>
      <c r="K49" s="413">
        <f>L49/L34</f>
        <v>256.74903265333086</v>
      </c>
      <c r="L49" s="406">
        <f>L48+L45</f>
        <v>562280.38151079463</v>
      </c>
      <c r="M49" s="413">
        <f>N49/N34</f>
        <v>277.64247364785143</v>
      </c>
      <c r="N49" s="489">
        <f>N48+N45</f>
        <v>608037.01728879462</v>
      </c>
      <c r="O49" s="527"/>
      <c r="P49" s="4"/>
      <c r="R49" s="443" t="str">
        <f>'Teen Parent'!K53</f>
        <v>CAF Rate Review (FY21 7 FY22)</v>
      </c>
      <c r="S49" s="444"/>
      <c r="T49" s="445">
        <f>'Salary Bench Chart'!C31</f>
        <v>1.78E-2</v>
      </c>
      <c r="U49" s="542"/>
      <c r="V49" s="446"/>
    </row>
    <row r="50" spans="1:25" ht="21.6" customHeight="1" x14ac:dyDescent="0.2">
      <c r="A50" s="772" t="s">
        <v>191</v>
      </c>
      <c r="B50" s="773"/>
      <c r="C50" s="773"/>
      <c r="D50" s="773"/>
      <c r="E50" s="773"/>
      <c r="F50" s="775" t="s">
        <v>186</v>
      </c>
      <c r="G50" s="2"/>
      <c r="H50" s="190" t="str">
        <f>'[3]Master Data '!B128</f>
        <v>PFMLA Trust Contribution</v>
      </c>
      <c r="I50" s="547">
        <f>T40</f>
        <v>3.7000000000000002E-3</v>
      </c>
      <c r="J50" s="149"/>
      <c r="K50" s="149"/>
      <c r="L50" s="149"/>
      <c r="M50" s="149"/>
      <c r="N50" s="491">
        <f>N45*I50</f>
        <v>1839.3728754546157</v>
      </c>
      <c r="O50" s="527"/>
      <c r="P50" s="161"/>
      <c r="R50" s="387"/>
      <c r="S50" s="447"/>
    </row>
    <row r="51" spans="1:25" ht="15" customHeight="1" thickBot="1" x14ac:dyDescent="0.25">
      <c r="A51" s="774"/>
      <c r="B51" s="774"/>
      <c r="C51" s="774"/>
      <c r="D51" s="774"/>
      <c r="E51" s="774"/>
      <c r="F51" s="776"/>
      <c r="G51" s="2"/>
      <c r="H51" s="190" t="s">
        <v>38</v>
      </c>
      <c r="I51" s="149"/>
      <c r="J51" s="149"/>
      <c r="K51" s="202">
        <f>$T$41</f>
        <v>25.648695</v>
      </c>
      <c r="L51" s="202">
        <f>K51*L34</f>
        <v>56170.642050000002</v>
      </c>
      <c r="M51" s="202">
        <f>$T$41</f>
        <v>25.648695</v>
      </c>
      <c r="N51" s="490">
        <f>M51*N34</f>
        <v>56170.642050000002</v>
      </c>
      <c r="O51" s="527"/>
      <c r="P51" s="161"/>
      <c r="R51" s="387"/>
    </row>
    <row r="52" spans="1:25" ht="13.15" x14ac:dyDescent="0.25">
      <c r="A52" s="390" t="s">
        <v>4</v>
      </c>
      <c r="B52" s="349">
        <f>S$26</f>
        <v>6</v>
      </c>
      <c r="C52" s="390"/>
      <c r="D52" s="390" t="s">
        <v>5</v>
      </c>
      <c r="E52" s="301">
        <f>B52*365</f>
        <v>2190</v>
      </c>
      <c r="F52" s="523"/>
      <c r="G52" s="504"/>
      <c r="H52" s="190" t="s">
        <v>39</v>
      </c>
      <c r="I52" s="149"/>
      <c r="J52" s="149"/>
      <c r="K52" s="202">
        <f>$T$42</f>
        <v>18.55</v>
      </c>
      <c r="L52" s="202">
        <f>K52*L34</f>
        <v>40624.5</v>
      </c>
      <c r="M52" s="202">
        <f>$T$42</f>
        <v>18.55</v>
      </c>
      <c r="N52" s="490">
        <f>M52*N34</f>
        <v>40624.5</v>
      </c>
      <c r="O52" s="527"/>
      <c r="P52" s="161"/>
    </row>
    <row r="53" spans="1:25" ht="13.15" x14ac:dyDescent="0.25">
      <c r="F53" s="392"/>
      <c r="G53" s="149"/>
      <c r="H53" s="190" t="s">
        <v>173</v>
      </c>
      <c r="I53" s="149"/>
      <c r="J53" s="149"/>
      <c r="K53" s="202">
        <f>$T$43</f>
        <v>2.2839999999999998</v>
      </c>
      <c r="L53" s="202">
        <f>K53*L34</f>
        <v>5001.9599999999991</v>
      </c>
      <c r="M53" s="202">
        <f>$T$43</f>
        <v>2.2839999999999998</v>
      </c>
      <c r="N53" s="490">
        <f>M53*N34</f>
        <v>5001.9599999999991</v>
      </c>
      <c r="O53" s="527"/>
      <c r="P53" s="161"/>
      <c r="R53" s="387"/>
    </row>
    <row r="54" spans="1:25" ht="13.9" thickBot="1" x14ac:dyDescent="0.3">
      <c r="A54" s="394"/>
      <c r="B54" s="394"/>
      <c r="C54" s="395" t="s">
        <v>10</v>
      </c>
      <c r="D54" s="395" t="s">
        <v>11</v>
      </c>
      <c r="E54" s="395" t="s">
        <v>12</v>
      </c>
      <c r="F54" s="392"/>
      <c r="G54" s="4"/>
      <c r="H54" s="190" t="s">
        <v>174</v>
      </c>
      <c r="I54" s="149"/>
      <c r="J54" s="149"/>
      <c r="K54" s="202">
        <f>$T$44</f>
        <v>-2</v>
      </c>
      <c r="L54" s="202">
        <f>K54*L34</f>
        <v>-4380</v>
      </c>
      <c r="M54" s="202">
        <f>$T$44</f>
        <v>-2</v>
      </c>
      <c r="N54" s="490">
        <f>M54*N34</f>
        <v>-4380</v>
      </c>
      <c r="O54" s="527"/>
      <c r="P54" s="161"/>
      <c r="Q54" s="522" t="s">
        <v>316</v>
      </c>
    </row>
    <row r="55" spans="1:25" ht="13.15" x14ac:dyDescent="0.25">
      <c r="A55" s="353" t="s">
        <v>14</v>
      </c>
      <c r="C55" s="303">
        <f>T$13</f>
        <v>57593.3511</v>
      </c>
      <c r="D55" s="396">
        <f>S$27</f>
        <v>1</v>
      </c>
      <c r="E55" s="303">
        <f>C55*D55</f>
        <v>57593.3511</v>
      </c>
      <c r="F55" s="392"/>
      <c r="G55" s="161"/>
      <c r="H55" s="190"/>
      <c r="I55" s="149"/>
      <c r="J55" s="149"/>
      <c r="K55" s="420">
        <f>SUM(K51:K54)</f>
        <v>44.482695</v>
      </c>
      <c r="L55" s="149"/>
      <c r="M55" s="420">
        <f>SUM(M51:M54)</f>
        <v>44.482695</v>
      </c>
      <c r="N55" s="402"/>
      <c r="O55" s="527"/>
      <c r="P55" s="161"/>
      <c r="Q55" s="703" t="s">
        <v>313</v>
      </c>
      <c r="R55" s="448"/>
    </row>
    <row r="56" spans="1:25" x14ac:dyDescent="0.2">
      <c r="A56" s="355" t="s">
        <v>16</v>
      </c>
      <c r="C56" s="303"/>
      <c r="D56" s="396"/>
      <c r="E56" s="303"/>
      <c r="F56" s="392"/>
      <c r="G56" s="161"/>
      <c r="H56" s="190"/>
      <c r="I56" s="149"/>
      <c r="J56" s="149"/>
      <c r="K56" s="149"/>
      <c r="L56" s="149"/>
      <c r="M56" s="149"/>
      <c r="N56" s="402"/>
      <c r="O56" s="527"/>
      <c r="P56" s="161"/>
      <c r="Q56" s="704" t="s">
        <v>312</v>
      </c>
    </row>
    <row r="57" spans="1:25" ht="13.5" thickBot="1" x14ac:dyDescent="0.25">
      <c r="A57" s="359" t="s">
        <v>18</v>
      </c>
      <c r="C57" s="303">
        <f>T15</f>
        <v>86861</v>
      </c>
      <c r="D57" s="396">
        <f>S29</f>
        <v>0.23</v>
      </c>
      <c r="E57" s="303">
        <f>C57*D57</f>
        <v>19978.030000000002</v>
      </c>
      <c r="F57" s="392"/>
      <c r="G57" s="161"/>
      <c r="H57" s="457" t="s">
        <v>40</v>
      </c>
      <c r="I57" s="404"/>
      <c r="J57" s="404"/>
      <c r="K57" s="404"/>
      <c r="L57" s="406">
        <f>SUM(L49:L54)</f>
        <v>659697.48356079462</v>
      </c>
      <c r="M57" s="404"/>
      <c r="N57" s="489">
        <f>SUM(N49:N54)</f>
        <v>707293.49221424921</v>
      </c>
      <c r="O57" s="527"/>
      <c r="P57" s="224"/>
      <c r="Q57" s="705">
        <f>N60/12</f>
        <v>66361.717870985813</v>
      </c>
    </row>
    <row r="58" spans="1:25" ht="13.5" thickBot="1" x14ac:dyDescent="0.25">
      <c r="A58" s="355" t="s">
        <v>20</v>
      </c>
      <c r="C58" s="303"/>
      <c r="D58" s="396"/>
      <c r="E58" s="303"/>
      <c r="F58" s="392"/>
      <c r="G58" s="161"/>
      <c r="H58" s="190" t="s">
        <v>47</v>
      </c>
      <c r="I58" s="149"/>
      <c r="J58" s="191">
        <f>$T$47</f>
        <v>0.11849999999999999</v>
      </c>
      <c r="K58" s="149"/>
      <c r="L58" s="161">
        <f>$J$58*L57</f>
        <v>78174.151801954155</v>
      </c>
      <c r="M58" s="149"/>
      <c r="N58" s="488">
        <f>$J$58*N57</f>
        <v>83814.278827388523</v>
      </c>
      <c r="O58" s="529"/>
      <c r="P58" s="398"/>
      <c r="R58" s="543"/>
    </row>
    <row r="59" spans="1:25" ht="13.5" thickBot="1" x14ac:dyDescent="0.25">
      <c r="A59" s="359" t="s">
        <v>31</v>
      </c>
      <c r="C59" s="303">
        <f>T17</f>
        <v>60923</v>
      </c>
      <c r="D59" s="396">
        <f>S31</f>
        <v>1.5</v>
      </c>
      <c r="E59" s="303">
        <f>C59*D59</f>
        <v>91384.5</v>
      </c>
      <c r="F59" s="392"/>
      <c r="G59" s="161"/>
      <c r="H59" s="460" t="s">
        <v>49</v>
      </c>
      <c r="I59" s="423"/>
      <c r="J59" s="423"/>
      <c r="K59" s="423"/>
      <c r="L59" s="424">
        <f>SUM(L57:L58)</f>
        <v>737871.63536274876</v>
      </c>
      <c r="M59" s="423"/>
      <c r="N59" s="492">
        <f>SUM(N57:N58)</f>
        <v>791107.77104163775</v>
      </c>
      <c r="O59" s="525"/>
      <c r="P59" s="190"/>
      <c r="Q59" s="716"/>
      <c r="R59" s="387"/>
    </row>
    <row r="60" spans="1:25" ht="14.25" thickTop="1" thickBot="1" x14ac:dyDescent="0.25">
      <c r="A60" s="359" t="s">
        <v>25</v>
      </c>
      <c r="C60" s="303">
        <f>T19</f>
        <v>32198</v>
      </c>
      <c r="D60" s="166">
        <f>S33</f>
        <v>8.4</v>
      </c>
      <c r="E60" s="303">
        <f>C60*D60</f>
        <v>270463.2</v>
      </c>
      <c r="F60" s="392"/>
      <c r="G60" s="517"/>
      <c r="H60" s="443" t="str">
        <f>R49</f>
        <v>CAF Rate Review (FY21 7 FY22)</v>
      </c>
      <c r="I60" s="444"/>
      <c r="J60" s="708">
        <f>T49</f>
        <v>1.78E-2</v>
      </c>
      <c r="K60" s="444"/>
      <c r="L60" s="709"/>
      <c r="M60" s="444"/>
      <c r="N60" s="710">
        <f>(N59*J60)-(N45*J60)+N59</f>
        <v>796340.61445182969</v>
      </c>
      <c r="O60" s="525"/>
      <c r="P60" s="711"/>
      <c r="Q60" s="718"/>
    </row>
    <row r="61" spans="1:25" ht="13.5" thickBot="1" x14ac:dyDescent="0.25">
      <c r="A61" s="361" t="s">
        <v>27</v>
      </c>
      <c r="C61" s="303">
        <f>T20</f>
        <v>32198</v>
      </c>
      <c r="D61" s="166">
        <f>S34</f>
        <v>1.2923076923076924</v>
      </c>
      <c r="E61" s="303">
        <f>C61*D61</f>
        <v>41609.723076923081</v>
      </c>
      <c r="F61" s="392"/>
      <c r="G61" s="161"/>
      <c r="O61" s="527"/>
      <c r="P61" s="224"/>
    </row>
    <row r="62" spans="1:25" x14ac:dyDescent="0.2">
      <c r="A62" s="355" t="s">
        <v>28</v>
      </c>
      <c r="C62" s="303"/>
      <c r="D62" s="396"/>
      <c r="E62" s="303"/>
      <c r="F62" s="392"/>
      <c r="G62" s="161"/>
      <c r="H62" s="803" t="s">
        <v>195</v>
      </c>
      <c r="I62" s="809"/>
      <c r="J62" s="809"/>
      <c r="K62" s="809"/>
      <c r="L62" s="809"/>
      <c r="M62" s="809"/>
      <c r="N62" s="810"/>
      <c r="O62" s="529"/>
      <c r="P62" s="202"/>
    </row>
    <row r="63" spans="1:25" ht="13.5" thickBot="1" x14ac:dyDescent="0.25">
      <c r="A63" s="359" t="s">
        <v>29</v>
      </c>
      <c r="C63" s="303">
        <f>T22</f>
        <v>32198</v>
      </c>
      <c r="D63" s="396">
        <f>S36</f>
        <v>0.5</v>
      </c>
      <c r="E63" s="303">
        <f>C63*D63</f>
        <v>16099</v>
      </c>
      <c r="F63" s="392"/>
      <c r="G63" s="161"/>
      <c r="H63" s="811"/>
      <c r="I63" s="812"/>
      <c r="J63" s="812"/>
      <c r="K63" s="812"/>
      <c r="L63" s="812"/>
      <c r="M63" s="812"/>
      <c r="N63" s="813"/>
      <c r="O63" s="531"/>
      <c r="P63" s="202"/>
      <c r="R63" s="544"/>
      <c r="S63" s="433"/>
      <c r="T63" s="433"/>
      <c r="U63" s="433"/>
      <c r="V63" s="433"/>
      <c r="W63" s="433"/>
      <c r="X63" s="433"/>
      <c r="Y63" s="433"/>
    </row>
    <row r="64" spans="1:25" x14ac:dyDescent="0.2">
      <c r="A64" s="404" t="s">
        <v>30</v>
      </c>
      <c r="B64" s="404"/>
      <c r="C64" s="404"/>
      <c r="D64" s="405">
        <f>SUM(D55:D63)</f>
        <v>12.922307692307694</v>
      </c>
      <c r="E64" s="406">
        <f>SUM(E55:E63)</f>
        <v>497127.80417692312</v>
      </c>
      <c r="F64" s="392"/>
      <c r="G64" s="161"/>
      <c r="H64" s="458" t="s">
        <v>4</v>
      </c>
      <c r="I64" s="470">
        <v>9</v>
      </c>
      <c r="J64" s="418"/>
      <c r="K64" s="418" t="s">
        <v>5</v>
      </c>
      <c r="L64" s="451">
        <f>$I$64*365</f>
        <v>3285</v>
      </c>
      <c r="M64" s="418" t="s">
        <v>5</v>
      </c>
      <c r="N64" s="485">
        <f>$I$64*365</f>
        <v>3285</v>
      </c>
      <c r="O64" s="202"/>
      <c r="P64" s="202"/>
      <c r="S64" s="205" t="s">
        <v>149</v>
      </c>
      <c r="T64" s="205" t="s">
        <v>150</v>
      </c>
      <c r="U64" s="205" t="s">
        <v>151</v>
      </c>
      <c r="V64" s="205" t="s">
        <v>152</v>
      </c>
      <c r="W64" s="205" t="s">
        <v>153</v>
      </c>
      <c r="X64" s="205" t="s">
        <v>154</v>
      </c>
      <c r="Y64" s="205" t="s">
        <v>155</v>
      </c>
    </row>
    <row r="65" spans="1:27" x14ac:dyDescent="0.2">
      <c r="F65" s="392"/>
      <c r="G65" s="224"/>
      <c r="H65" s="453"/>
      <c r="I65" s="394"/>
      <c r="J65" s="395" t="s">
        <v>10</v>
      </c>
      <c r="K65" s="395" t="s">
        <v>11</v>
      </c>
      <c r="L65" s="395" t="s">
        <v>12</v>
      </c>
      <c r="M65" s="395" t="s">
        <v>11</v>
      </c>
      <c r="N65" s="486" t="s">
        <v>12</v>
      </c>
      <c r="O65" s="202"/>
      <c r="P65" s="202"/>
      <c r="R65" s="545"/>
      <c r="S65" s="205">
        <v>16</v>
      </c>
      <c r="T65" s="205">
        <v>16</v>
      </c>
      <c r="U65" s="205">
        <v>16</v>
      </c>
      <c r="V65" s="205">
        <v>16</v>
      </c>
      <c r="W65" s="205">
        <v>16</v>
      </c>
      <c r="X65" s="205">
        <v>16</v>
      </c>
      <c r="Y65" s="205">
        <v>16</v>
      </c>
    </row>
    <row r="66" spans="1:27" x14ac:dyDescent="0.2">
      <c r="A66" s="390" t="s">
        <v>32</v>
      </c>
      <c r="D66" s="390" t="s">
        <v>33</v>
      </c>
      <c r="F66" s="392"/>
      <c r="G66" s="149"/>
      <c r="H66" s="455" t="s">
        <v>14</v>
      </c>
      <c r="I66" s="149"/>
      <c r="J66" s="161">
        <f>T13</f>
        <v>57593.3511</v>
      </c>
      <c r="K66" s="166">
        <v>1.5</v>
      </c>
      <c r="L66" s="161">
        <f>$J$66*K66</f>
        <v>86390.02665</v>
      </c>
      <c r="M66" s="166">
        <f>T27</f>
        <v>1.5</v>
      </c>
      <c r="N66" s="488">
        <f>$J$66*M66</f>
        <v>86390.02665</v>
      </c>
      <c r="O66" s="202"/>
      <c r="P66" s="149"/>
      <c r="R66" s="545"/>
      <c r="S66" s="205">
        <v>16</v>
      </c>
      <c r="T66" s="205">
        <v>16</v>
      </c>
      <c r="U66" s="205">
        <v>16</v>
      </c>
      <c r="V66" s="205">
        <v>16</v>
      </c>
      <c r="W66" s="205">
        <v>16</v>
      </c>
      <c r="X66" s="205">
        <v>16</v>
      </c>
      <c r="Y66" s="205">
        <v>16</v>
      </c>
    </row>
    <row r="67" spans="1:27" x14ac:dyDescent="0.2">
      <c r="A67" s="205" t="s">
        <v>35</v>
      </c>
      <c r="C67" s="410">
        <f>$T$39</f>
        <v>0.22309999999999999</v>
      </c>
      <c r="E67" s="303">
        <f>C67*E64</f>
        <v>110909.21311187155</v>
      </c>
      <c r="F67" s="392"/>
      <c r="G67" s="149"/>
      <c r="H67" s="346" t="s">
        <v>16</v>
      </c>
      <c r="I67" s="149"/>
      <c r="J67" s="161"/>
      <c r="K67" s="166"/>
      <c r="L67" s="161"/>
      <c r="M67" s="166"/>
      <c r="N67" s="488"/>
      <c r="O67" s="525"/>
      <c r="P67" s="149"/>
      <c r="R67" s="545"/>
      <c r="S67" s="205">
        <v>16</v>
      </c>
      <c r="T67" s="205">
        <v>16</v>
      </c>
      <c r="U67" s="205">
        <v>16</v>
      </c>
      <c r="V67" s="205">
        <v>16</v>
      </c>
      <c r="W67" s="205">
        <v>16</v>
      </c>
      <c r="X67" s="205">
        <v>16</v>
      </c>
      <c r="Y67" s="205">
        <v>16</v>
      </c>
      <c r="Z67" s="205">
        <f>SUM(S65:Y67)</f>
        <v>336</v>
      </c>
      <c r="AA67" s="205" t="s">
        <v>193</v>
      </c>
    </row>
    <row r="68" spans="1:27" x14ac:dyDescent="0.2">
      <c r="A68" s="404" t="s">
        <v>36</v>
      </c>
      <c r="B68" s="404"/>
      <c r="C68" s="404"/>
      <c r="D68" s="413">
        <f>E68/E52</f>
        <v>277.64247364785143</v>
      </c>
      <c r="E68" s="406">
        <f>E67+E64</f>
        <v>608037.01728879462</v>
      </c>
      <c r="F68" s="392"/>
      <c r="G68" s="161"/>
      <c r="H68" s="348" t="s">
        <v>18</v>
      </c>
      <c r="I68" s="149"/>
      <c r="J68" s="161">
        <f>T15</f>
        <v>86861</v>
      </c>
      <c r="K68" s="166">
        <v>0.22499999999999998</v>
      </c>
      <c r="L68" s="161">
        <f>$J$68*K68</f>
        <v>19543.724999999999</v>
      </c>
      <c r="M68" s="166">
        <f>T29</f>
        <v>0.34</v>
      </c>
      <c r="N68" s="488">
        <f>$J$68*M68</f>
        <v>29532.74</v>
      </c>
      <c r="O68" s="525"/>
      <c r="P68" s="224"/>
      <c r="Z68" s="546">
        <f>Z67/40</f>
        <v>8.4</v>
      </c>
      <c r="AA68" s="390" t="s">
        <v>11</v>
      </c>
    </row>
    <row r="69" spans="1:27" x14ac:dyDescent="0.2">
      <c r="F69" s="392"/>
      <c r="G69" s="224"/>
      <c r="H69" s="346" t="s">
        <v>20</v>
      </c>
      <c r="I69" s="149"/>
      <c r="J69" s="161"/>
      <c r="K69" s="166"/>
      <c r="L69" s="161"/>
      <c r="M69" s="166"/>
      <c r="N69" s="488"/>
      <c r="O69" s="529"/>
      <c r="P69" s="149"/>
      <c r="R69" s="326"/>
      <c r="S69" s="548"/>
    </row>
    <row r="70" spans="1:27" x14ac:dyDescent="0.2">
      <c r="A70" s="205" t="s">
        <v>38</v>
      </c>
      <c r="D70" s="326">
        <f>$T$41</f>
        <v>25.648695</v>
      </c>
      <c r="E70" s="326">
        <f>D70*E52</f>
        <v>56170.642050000002</v>
      </c>
      <c r="F70" s="392"/>
      <c r="G70" s="202"/>
      <c r="H70" s="346" t="s">
        <v>196</v>
      </c>
      <c r="I70" s="149"/>
      <c r="J70" s="161">
        <f>T17</f>
        <v>60923</v>
      </c>
      <c r="K70" s="166">
        <v>1</v>
      </c>
      <c r="L70" s="161">
        <f>$J$70*K70</f>
        <v>60923</v>
      </c>
      <c r="M70" s="166">
        <f>T31</f>
        <v>1.5</v>
      </c>
      <c r="N70" s="488">
        <f>$J$70*M70</f>
        <v>91384.5</v>
      </c>
      <c r="O70" s="525"/>
      <c r="P70" s="161"/>
      <c r="R70" s="326"/>
      <c r="S70" s="548"/>
    </row>
    <row r="71" spans="1:27" x14ac:dyDescent="0.2">
      <c r="A71" s="149" t="s">
        <v>39</v>
      </c>
      <c r="D71" s="326">
        <f>$T$42</f>
        <v>18.55</v>
      </c>
      <c r="E71" s="326">
        <f>D71*E52</f>
        <v>40624.5</v>
      </c>
      <c r="F71" s="392"/>
      <c r="G71" s="202"/>
      <c r="H71" s="348" t="s">
        <v>24</v>
      </c>
      <c r="I71" s="149"/>
      <c r="J71" s="161">
        <f t="shared" ref="J71:J73" si="1">T18</f>
        <v>52665.599999999999</v>
      </c>
      <c r="K71" s="166">
        <v>0.5</v>
      </c>
      <c r="L71" s="161">
        <f>$J$71*K71</f>
        <v>26332.799999999999</v>
      </c>
      <c r="M71" s="166">
        <f>T32</f>
        <v>0.5</v>
      </c>
      <c r="N71" s="488">
        <f>$J$71*M71</f>
        <v>26332.799999999999</v>
      </c>
      <c r="O71" s="527"/>
      <c r="P71" s="149"/>
    </row>
    <row r="72" spans="1:27" x14ac:dyDescent="0.2">
      <c r="A72" s="149" t="s">
        <v>173</v>
      </c>
      <c r="D72" s="326">
        <f>$T$43</f>
        <v>2.2839999999999998</v>
      </c>
      <c r="E72" s="326">
        <f>D72*E52</f>
        <v>5001.9599999999991</v>
      </c>
      <c r="F72" s="392"/>
      <c r="G72" s="202"/>
      <c r="H72" s="348" t="s">
        <v>25</v>
      </c>
      <c r="I72" s="149"/>
      <c r="J72" s="161">
        <f t="shared" si="1"/>
        <v>32198</v>
      </c>
      <c r="K72" s="166">
        <v>10.51</v>
      </c>
      <c r="L72" s="161">
        <f>$J$72*K72</f>
        <v>338400.98</v>
      </c>
      <c r="M72" s="166">
        <f>T33</f>
        <v>10.51</v>
      </c>
      <c r="N72" s="488">
        <f>$J$72*M72</f>
        <v>338400.98</v>
      </c>
      <c r="O72" s="525"/>
      <c r="P72" s="224"/>
      <c r="R72" s="544"/>
      <c r="S72" s="433"/>
      <c r="T72" s="433"/>
      <c r="U72" s="433"/>
      <c r="V72" s="433"/>
      <c r="W72" s="433"/>
      <c r="X72" s="433"/>
      <c r="Y72" s="433"/>
    </row>
    <row r="73" spans="1:27" ht="13.5" thickBot="1" x14ac:dyDescent="0.25">
      <c r="A73" s="149" t="s">
        <v>174</v>
      </c>
      <c r="D73" s="326">
        <f>$T$44</f>
        <v>-2</v>
      </c>
      <c r="E73" s="326">
        <f>D73*E52</f>
        <v>-4380</v>
      </c>
      <c r="F73" s="392"/>
      <c r="G73" s="202"/>
      <c r="H73" s="362" t="s">
        <v>27</v>
      </c>
      <c r="I73" s="149"/>
      <c r="J73" s="161">
        <f t="shared" si="1"/>
        <v>32198</v>
      </c>
      <c r="K73" s="166">
        <f>K72*$T$10</f>
        <v>1.6169230769230769</v>
      </c>
      <c r="L73" s="161">
        <f>$J$73*K73</f>
        <v>52061.689230769232</v>
      </c>
      <c r="M73" s="166">
        <f>T34</f>
        <v>1.6169230769230769</v>
      </c>
      <c r="N73" s="488">
        <f>$J$73*M73</f>
        <v>52061.689230769232</v>
      </c>
      <c r="O73" s="533">
        <f>N59</f>
        <v>791107.77104163775</v>
      </c>
      <c r="P73" s="149"/>
      <c r="S73" s="205" t="s">
        <v>149</v>
      </c>
      <c r="T73" s="205" t="s">
        <v>150</v>
      </c>
      <c r="U73" s="205" t="s">
        <v>151</v>
      </c>
      <c r="V73" s="205" t="s">
        <v>152</v>
      </c>
      <c r="W73" s="205" t="s">
        <v>153</v>
      </c>
      <c r="X73" s="205" t="s">
        <v>154</v>
      </c>
      <c r="Y73" s="205" t="s">
        <v>155</v>
      </c>
    </row>
    <row r="74" spans="1:27" ht="13.5" thickTop="1" x14ac:dyDescent="0.2">
      <c r="D74" s="420">
        <f>SUM(D70:D73)</f>
        <v>44.482695</v>
      </c>
      <c r="F74" s="393"/>
      <c r="G74" s="149"/>
      <c r="H74" s="346" t="s">
        <v>28</v>
      </c>
      <c r="I74" s="149"/>
      <c r="J74" s="161"/>
      <c r="K74" s="166"/>
      <c r="L74" s="161"/>
      <c r="M74" s="166"/>
      <c r="N74" s="488"/>
      <c r="O74" s="525"/>
      <c r="P74" s="462"/>
      <c r="R74" s="545"/>
      <c r="S74" s="205">
        <v>16</v>
      </c>
      <c r="T74" s="205">
        <v>16</v>
      </c>
      <c r="U74" s="205">
        <v>16</v>
      </c>
      <c r="V74" s="205">
        <v>16</v>
      </c>
      <c r="W74" s="205">
        <v>16</v>
      </c>
      <c r="X74" s="205">
        <v>24</v>
      </c>
      <c r="Y74" s="205">
        <v>24</v>
      </c>
    </row>
    <row r="75" spans="1:27" x14ac:dyDescent="0.2">
      <c r="F75" s="393"/>
      <c r="G75" s="149"/>
      <c r="H75" s="348" t="s">
        <v>29</v>
      </c>
      <c r="I75" s="149"/>
      <c r="J75" s="161">
        <f>T22</f>
        <v>32198</v>
      </c>
      <c r="K75" s="166">
        <v>0.5</v>
      </c>
      <c r="L75" s="161">
        <f>$J$75*K75</f>
        <v>16099</v>
      </c>
      <c r="M75" s="166">
        <f>T36</f>
        <v>0.5</v>
      </c>
      <c r="N75" s="488">
        <f>$J$75*M75</f>
        <v>16099</v>
      </c>
      <c r="O75" s="511">
        <f>O73*(1+$J$60)</f>
        <v>805189.48936617898</v>
      </c>
      <c r="P75" s="149"/>
      <c r="R75" s="545"/>
      <c r="S75" s="205">
        <v>24</v>
      </c>
      <c r="T75" s="205">
        <v>24</v>
      </c>
      <c r="U75" s="205">
        <v>24</v>
      </c>
      <c r="V75" s="205">
        <v>24</v>
      </c>
      <c r="W75" s="205">
        <v>24</v>
      </c>
      <c r="X75" s="205">
        <v>24</v>
      </c>
      <c r="Y75" s="205">
        <v>24</v>
      </c>
    </row>
    <row r="76" spans="1:27" x14ac:dyDescent="0.2">
      <c r="A76" s="404" t="s">
        <v>40</v>
      </c>
      <c r="B76" s="404"/>
      <c r="C76" s="404"/>
      <c r="D76" s="404"/>
      <c r="E76" s="406">
        <f>SUM(E68:E73)</f>
        <v>705454.11933879461</v>
      </c>
      <c r="F76" s="393"/>
      <c r="G76" s="224"/>
      <c r="H76" s="457" t="s">
        <v>30</v>
      </c>
      <c r="I76" s="404"/>
      <c r="J76" s="404"/>
      <c r="K76" s="405">
        <f>SUM(K66:K75)</f>
        <v>15.851923076923077</v>
      </c>
      <c r="L76" s="406">
        <f>SUM(L66:L75)</f>
        <v>599751.22088076919</v>
      </c>
      <c r="M76" s="405">
        <f>SUM(M66:M75)</f>
        <v>16.466923076923077</v>
      </c>
      <c r="N76" s="489">
        <f>SUM(N66:N75)</f>
        <v>640201.73588076909</v>
      </c>
      <c r="O76" s="525"/>
      <c r="P76" s="228"/>
      <c r="R76" s="545"/>
      <c r="S76" s="205">
        <v>16</v>
      </c>
      <c r="T76" s="205">
        <v>16</v>
      </c>
      <c r="U76" s="205">
        <v>16</v>
      </c>
      <c r="V76" s="205">
        <v>16</v>
      </c>
      <c r="W76" s="205">
        <v>16</v>
      </c>
      <c r="X76" s="205">
        <v>16</v>
      </c>
      <c r="Y76" s="205">
        <v>16</v>
      </c>
      <c r="Z76" s="549">
        <f>SUM(S74:Y76)*52</f>
        <v>21216</v>
      </c>
      <c r="AA76" s="205" t="s">
        <v>194</v>
      </c>
    </row>
    <row r="77" spans="1:27" x14ac:dyDescent="0.2">
      <c r="F77" s="393"/>
      <c r="G77" s="149"/>
      <c r="H77" s="190"/>
      <c r="I77" s="149"/>
      <c r="J77" s="149"/>
      <c r="K77" s="149"/>
      <c r="L77" s="149"/>
      <c r="M77" s="149"/>
      <c r="N77" s="402"/>
      <c r="O77" s="228" t="s">
        <v>119</v>
      </c>
      <c r="P77" s="462"/>
      <c r="R77" s="550"/>
    </row>
    <row r="78" spans="1:27" x14ac:dyDescent="0.2">
      <c r="A78" s="205" t="s">
        <v>47</v>
      </c>
      <c r="C78" s="410">
        <f>$T$47</f>
        <v>0.11849999999999999</v>
      </c>
      <c r="E78" s="303">
        <f>C78*E76</f>
        <v>83596.313141647159</v>
      </c>
      <c r="F78" s="392"/>
      <c r="G78" s="161"/>
      <c r="H78" s="458" t="s">
        <v>32</v>
      </c>
      <c r="I78" s="149"/>
      <c r="J78" s="149"/>
      <c r="K78" s="418" t="s">
        <v>33</v>
      </c>
      <c r="L78" s="149"/>
      <c r="M78" s="418" t="s">
        <v>33</v>
      </c>
      <c r="N78" s="402"/>
      <c r="O78" s="511">
        <f>O75/12</f>
        <v>67099.124113848244</v>
      </c>
      <c r="P78" s="462"/>
      <c r="R78" s="551"/>
      <c r="S78" s="552">
        <v>8</v>
      </c>
      <c r="T78" s="552">
        <v>8</v>
      </c>
      <c r="U78" s="552">
        <v>8</v>
      </c>
      <c r="V78" s="552">
        <v>8</v>
      </c>
      <c r="W78" s="552">
        <v>8</v>
      </c>
      <c r="Z78" s="552">
        <f>SUM(S78:W78)*16</f>
        <v>640</v>
      </c>
      <c r="AA78" s="205" t="s">
        <v>194</v>
      </c>
    </row>
    <row r="79" spans="1:27" x14ac:dyDescent="0.2">
      <c r="F79" s="392"/>
      <c r="G79" s="149"/>
      <c r="H79" s="190" t="s">
        <v>35</v>
      </c>
      <c r="I79" s="149"/>
      <c r="J79" s="191">
        <f>$T$39</f>
        <v>0.22309999999999999</v>
      </c>
      <c r="K79" s="149"/>
      <c r="L79" s="161">
        <f>$J$79*L76</f>
        <v>133804.4973784996</v>
      </c>
      <c r="M79" s="149"/>
      <c r="N79" s="488">
        <f>$J$79*N76</f>
        <v>142829.00727499957</v>
      </c>
      <c r="O79" s="511" t="e">
        <f>ROUND(O78*(1+#REF!),0)</f>
        <v>#REF!</v>
      </c>
      <c r="P79" s="474"/>
      <c r="Q79" s="514"/>
      <c r="Z79" s="546">
        <f>(Z76+Z78)/2080</f>
        <v>10.507692307692308</v>
      </c>
      <c r="AA79" s="390" t="s">
        <v>11</v>
      </c>
    </row>
    <row r="80" spans="1:27" ht="13.5" thickBot="1" x14ac:dyDescent="0.25">
      <c r="A80" s="422" t="s">
        <v>49</v>
      </c>
      <c r="B80" s="423"/>
      <c r="C80" s="423"/>
      <c r="D80" s="423"/>
      <c r="E80" s="424">
        <f>SUM(E76:E78)</f>
        <v>789050.43248044176</v>
      </c>
      <c r="F80" s="392"/>
      <c r="G80" s="224"/>
      <c r="H80" s="457" t="s">
        <v>36</v>
      </c>
      <c r="I80" s="404"/>
      <c r="J80" s="404"/>
      <c r="K80" s="413">
        <f>L80/L64</f>
        <v>223.30463265122339</v>
      </c>
      <c r="L80" s="406">
        <f>L79+L76</f>
        <v>733555.71825926879</v>
      </c>
      <c r="M80" s="413">
        <f>N80/N64</f>
        <v>238.36552303067538</v>
      </c>
      <c r="N80" s="489">
        <f>N79+N76</f>
        <v>783030.74315576861</v>
      </c>
      <c r="O80" s="513"/>
      <c r="P80" s="474"/>
    </row>
    <row r="81" spans="1:27" ht="13.5" thickTop="1" x14ac:dyDescent="0.2">
      <c r="F81" s="392"/>
      <c r="G81" s="149"/>
      <c r="H81" s="190" t="str">
        <f>'[3]Master Data '!B128</f>
        <v>PFMLA Trust Contribution</v>
      </c>
      <c r="I81" s="547">
        <f>T40</f>
        <v>3.7000000000000002E-3</v>
      </c>
      <c r="J81" s="149"/>
      <c r="K81" s="149"/>
      <c r="L81" s="149"/>
      <c r="M81" s="149"/>
      <c r="N81" s="490">
        <f>N76*I81</f>
        <v>2368.7464227588457</v>
      </c>
      <c r="O81" s="474"/>
      <c r="P81" s="474"/>
      <c r="Q81" s="541"/>
      <c r="Z81" s="421"/>
    </row>
    <row r="82" spans="1:27" x14ac:dyDescent="0.2">
      <c r="A82" s="205" t="s">
        <v>132</v>
      </c>
      <c r="C82" s="410"/>
      <c r="E82" s="317">
        <f>E80*(1+C82)</f>
        <v>789050.43248044176</v>
      </c>
      <c r="F82" s="392"/>
      <c r="G82" s="462"/>
      <c r="H82" s="190" t="s">
        <v>38</v>
      </c>
      <c r="I82" s="149"/>
      <c r="J82" s="149"/>
      <c r="K82" s="202">
        <f>$T$41</f>
        <v>25.648695</v>
      </c>
      <c r="L82" s="202">
        <f>K82*L64</f>
        <v>84255.963075000007</v>
      </c>
      <c r="M82" s="202">
        <f>$T$41</f>
        <v>25.648695</v>
      </c>
      <c r="N82" s="490">
        <f>M82*N64</f>
        <v>84255.963075000007</v>
      </c>
      <c r="O82" s="474"/>
      <c r="P82" s="474"/>
    </row>
    <row r="83" spans="1:27" x14ac:dyDescent="0.2">
      <c r="F83" s="392"/>
      <c r="G83" s="149"/>
      <c r="H83" s="190" t="s">
        <v>39</v>
      </c>
      <c r="I83" s="149"/>
      <c r="J83" s="149"/>
      <c r="K83" s="202">
        <f>$T$42</f>
        <v>18.55</v>
      </c>
      <c r="L83" s="202">
        <f>K83*L64</f>
        <v>60936.75</v>
      </c>
      <c r="M83" s="202">
        <f>$T$42</f>
        <v>18.55</v>
      </c>
      <c r="N83" s="490">
        <f>M83*N64</f>
        <v>60936.75</v>
      </c>
      <c r="O83" s="474"/>
      <c r="P83" s="474"/>
      <c r="Q83" s="514"/>
      <c r="R83" s="470"/>
      <c r="S83" s="149"/>
      <c r="T83" s="149"/>
      <c r="U83" s="149"/>
      <c r="V83" s="149"/>
      <c r="W83" s="149"/>
      <c r="X83" s="149"/>
      <c r="Y83" s="149"/>
      <c r="Z83" s="149"/>
      <c r="AA83" s="149"/>
    </row>
    <row r="84" spans="1:27" x14ac:dyDescent="0.2">
      <c r="E84" s="319" t="s">
        <v>59</v>
      </c>
      <c r="F84" s="392"/>
      <c r="G84" s="228"/>
      <c r="H84" s="190" t="s">
        <v>173</v>
      </c>
      <c r="I84" s="149"/>
      <c r="J84" s="149"/>
      <c r="K84" s="202">
        <f>$T$43</f>
        <v>2.2839999999999998</v>
      </c>
      <c r="L84" s="202">
        <f>K84*L64</f>
        <v>7502.94</v>
      </c>
      <c r="M84" s="202">
        <f>$T$43</f>
        <v>2.2839999999999998</v>
      </c>
      <c r="N84" s="490">
        <f>M84*N64</f>
        <v>7502.94</v>
      </c>
      <c r="O84" s="474"/>
      <c r="P84" s="474"/>
      <c r="Q84" s="712"/>
      <c r="R84" s="149"/>
      <c r="S84" s="149"/>
      <c r="T84" s="149"/>
      <c r="U84" s="149"/>
      <c r="V84" s="149"/>
      <c r="W84" s="149"/>
      <c r="X84" s="149"/>
      <c r="Y84" s="149"/>
      <c r="Z84" s="149"/>
      <c r="AA84" s="149"/>
    </row>
    <row r="85" spans="1:27" ht="13.5" thickBot="1" x14ac:dyDescent="0.25">
      <c r="A85" s="205" t="s">
        <v>133</v>
      </c>
      <c r="D85" s="321">
        <f>E80/E52</f>
        <v>360.2970011326218</v>
      </c>
      <c r="E85" s="321">
        <f>D85*(1+C82)</f>
        <v>360.2970011326218</v>
      </c>
      <c r="F85" s="392"/>
      <c r="G85" s="462"/>
      <c r="H85" s="190" t="s">
        <v>174</v>
      </c>
      <c r="I85" s="149"/>
      <c r="J85" s="149"/>
      <c r="K85" s="202">
        <f>$T$44</f>
        <v>-2</v>
      </c>
      <c r="L85" s="202">
        <f>K85*L64</f>
        <v>-6570</v>
      </c>
      <c r="M85" s="202">
        <f>$T$44</f>
        <v>-2</v>
      </c>
      <c r="N85" s="490">
        <f>M85*N64</f>
        <v>-6570</v>
      </c>
      <c r="O85" s="474"/>
      <c r="Q85" s="522" t="s">
        <v>317</v>
      </c>
      <c r="R85" s="36"/>
      <c r="S85" s="149"/>
      <c r="T85" s="149"/>
      <c r="U85" s="149"/>
      <c r="V85" s="149"/>
      <c r="W85" s="149"/>
      <c r="X85" s="149"/>
      <c r="Y85" s="149"/>
      <c r="Z85" s="149"/>
      <c r="AA85" s="149"/>
    </row>
    <row r="86" spans="1:27" x14ac:dyDescent="0.2">
      <c r="A86" s="205" t="s">
        <v>134</v>
      </c>
      <c r="C86" s="410"/>
      <c r="D86" s="321"/>
      <c r="E86" s="321"/>
      <c r="F86" s="540">
        <f>E85*(1+C86)</f>
        <v>360.2970011326218</v>
      </c>
      <c r="G86" s="462"/>
      <c r="H86" s="190"/>
      <c r="I86" s="149"/>
      <c r="J86" s="149"/>
      <c r="K86" s="420">
        <f>SUM(K82:K85)</f>
        <v>44.482695</v>
      </c>
      <c r="L86" s="149"/>
      <c r="M86" s="420">
        <f>SUM(M82:M85)</f>
        <v>44.482695</v>
      </c>
      <c r="N86" s="402"/>
      <c r="P86" s="2"/>
      <c r="Q86" s="703" t="s">
        <v>313</v>
      </c>
      <c r="R86" s="36"/>
      <c r="S86" s="149"/>
      <c r="T86" s="149"/>
      <c r="U86" s="149"/>
      <c r="V86" s="149"/>
      <c r="W86" s="149"/>
      <c r="X86" s="149"/>
      <c r="Y86" s="149"/>
      <c r="Z86" s="149"/>
      <c r="AA86" s="149"/>
    </row>
    <row r="87" spans="1:27" x14ac:dyDescent="0.2">
      <c r="A87" s="371" t="s">
        <v>50</v>
      </c>
      <c r="B87" s="372">
        <v>0.9</v>
      </c>
      <c r="C87" s="373"/>
      <c r="D87" s="374">
        <f>E80/(E52*B87)</f>
        <v>400.33000125846866</v>
      </c>
      <c r="E87" s="553">
        <f>D87*(1+C82)</f>
        <v>400.33000125846866</v>
      </c>
      <c r="F87" s="554"/>
      <c r="G87" s="474"/>
      <c r="H87" s="190"/>
      <c r="I87" s="149"/>
      <c r="J87" s="149"/>
      <c r="K87" s="149"/>
      <c r="L87" s="149"/>
      <c r="M87" s="149"/>
      <c r="N87" s="402"/>
      <c r="O87" s="814" t="s">
        <v>51</v>
      </c>
      <c r="P87" s="2"/>
      <c r="Q87" s="704" t="s">
        <v>312</v>
      </c>
      <c r="R87" s="36"/>
      <c r="S87" s="149"/>
      <c r="T87" s="149"/>
      <c r="U87" s="149"/>
      <c r="V87" s="149"/>
      <c r="W87" s="149"/>
      <c r="X87" s="149"/>
      <c r="Y87" s="149"/>
      <c r="Z87" s="149"/>
      <c r="AA87" s="149"/>
    </row>
    <row r="88" spans="1:27" ht="13.5" thickBot="1" x14ac:dyDescent="0.25">
      <c r="A88" s="375"/>
      <c r="B88" s="107">
        <v>0.85</v>
      </c>
      <c r="C88" s="108"/>
      <c r="D88" s="89">
        <f>E80/(E52*B88)</f>
        <v>423.87882486190802</v>
      </c>
      <c r="E88" s="475">
        <f>D88*(1+C82)</f>
        <v>423.87882486190802</v>
      </c>
      <c r="F88" s="555"/>
      <c r="G88" s="474"/>
      <c r="H88" s="457" t="s">
        <v>40</v>
      </c>
      <c r="I88" s="404"/>
      <c r="J88" s="404"/>
      <c r="K88" s="404"/>
      <c r="L88" s="406">
        <f>SUM(L80:L85)</f>
        <v>879681.37133426871</v>
      </c>
      <c r="M88" s="404"/>
      <c r="N88" s="489">
        <f>SUM(N80:N85)</f>
        <v>931525.14265352732</v>
      </c>
      <c r="O88" s="815"/>
      <c r="P88" s="504"/>
      <c r="Q88" s="705">
        <f>N91/12</f>
        <v>87421.774556827033</v>
      </c>
      <c r="R88" s="713"/>
      <c r="S88" s="149"/>
      <c r="T88" s="149"/>
      <c r="U88" s="149"/>
      <c r="V88" s="149"/>
      <c r="W88" s="149"/>
      <c r="X88" s="149"/>
      <c r="Y88" s="149"/>
      <c r="Z88" s="556"/>
      <c r="AA88" s="418"/>
    </row>
    <row r="89" spans="1:27" ht="13.5" thickBot="1" x14ac:dyDescent="0.25">
      <c r="A89" s="393"/>
      <c r="B89" s="204">
        <v>0.8</v>
      </c>
      <c r="C89" s="149"/>
      <c r="D89" s="89">
        <f>E80/(E52*B89)</f>
        <v>450.37125141577724</v>
      </c>
      <c r="E89" s="521">
        <f>D89*(1+C82)</f>
        <v>450.37125141577724</v>
      </c>
      <c r="F89" s="539">
        <f>F86/B89</f>
        <v>450.37125141577724</v>
      </c>
      <c r="G89" s="474"/>
      <c r="H89" s="190" t="s">
        <v>47</v>
      </c>
      <c r="I89" s="149"/>
      <c r="J89" s="191">
        <f>$T$47</f>
        <v>0.11849999999999999</v>
      </c>
      <c r="K89" s="149"/>
      <c r="L89" s="161">
        <f>$J$89*L88</f>
        <v>104242.24250311084</v>
      </c>
      <c r="M89" s="149"/>
      <c r="N89" s="488">
        <f>$J$89*N88</f>
        <v>110385.72940444299</v>
      </c>
      <c r="O89" s="524" t="s">
        <v>143</v>
      </c>
      <c r="P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</row>
    <row r="90" spans="1:27" ht="13.5" thickBot="1" x14ac:dyDescent="0.25">
      <c r="A90" s="431"/>
      <c r="B90" s="432">
        <v>0.75</v>
      </c>
      <c r="C90" s="433"/>
      <c r="D90" s="379">
        <f>E80/(E52*B90)</f>
        <v>480.39600151016242</v>
      </c>
      <c r="E90" s="477">
        <f>D90*(1+C82)</f>
        <v>480.39600151016242</v>
      </c>
      <c r="F90" s="557"/>
      <c r="G90" s="474"/>
      <c r="H90" s="460" t="s">
        <v>49</v>
      </c>
      <c r="I90" s="423"/>
      <c r="J90" s="423"/>
      <c r="K90" s="423"/>
      <c r="L90" s="424">
        <f>SUM(L88:L89)</f>
        <v>983923.6138373795</v>
      </c>
      <c r="M90" s="423"/>
      <c r="N90" s="492">
        <f>SUM(N88:N89)</f>
        <v>1041910.8720579703</v>
      </c>
      <c r="O90" s="525"/>
      <c r="P90" s="4"/>
      <c r="Q90" s="716"/>
      <c r="R90" s="202"/>
      <c r="S90" s="149"/>
      <c r="T90" s="149"/>
      <c r="U90" s="149"/>
      <c r="V90" s="149"/>
      <c r="W90" s="149"/>
      <c r="X90" s="149"/>
      <c r="Y90" s="149"/>
      <c r="Z90" s="149"/>
      <c r="AA90" s="149"/>
    </row>
    <row r="91" spans="1:27" ht="14.25" thickTop="1" thickBot="1" x14ac:dyDescent="0.25">
      <c r="A91" s="149"/>
      <c r="B91" s="204"/>
      <c r="C91" s="149"/>
      <c r="D91" s="89"/>
      <c r="E91" s="89"/>
      <c r="F91" s="202"/>
      <c r="G91" s="474"/>
      <c r="H91" s="443" t="str">
        <f>H60</f>
        <v>CAF Rate Review (FY21 7 FY22)</v>
      </c>
      <c r="I91" s="444"/>
      <c r="J91" s="708">
        <f>J60</f>
        <v>1.78E-2</v>
      </c>
      <c r="K91" s="444"/>
      <c r="L91" s="709"/>
      <c r="M91" s="444"/>
      <c r="N91" s="710">
        <f>(N90*J91)-(N76*J91)+N90</f>
        <v>1049061.2946819244</v>
      </c>
      <c r="O91" s="526"/>
      <c r="P91" s="161"/>
      <c r="Q91" s="717"/>
      <c r="R91" s="202"/>
      <c r="S91" s="149"/>
      <c r="T91" s="149"/>
      <c r="U91" s="149"/>
      <c r="V91" s="149"/>
      <c r="W91" s="149"/>
      <c r="X91" s="149"/>
      <c r="Y91" s="149"/>
      <c r="Z91" s="149"/>
      <c r="AA91" s="149"/>
    </row>
    <row r="92" spans="1:27" ht="13.5" thickBot="1" x14ac:dyDescent="0.25">
      <c r="A92" s="390" t="s">
        <v>4</v>
      </c>
      <c r="B92" s="349">
        <f>T$26</f>
        <v>9</v>
      </c>
      <c r="C92" s="390"/>
      <c r="D92" s="390" t="s">
        <v>5</v>
      </c>
      <c r="E92" s="301">
        <f>B92*365</f>
        <v>3285</v>
      </c>
      <c r="F92" s="523"/>
      <c r="G92" s="504"/>
      <c r="H92" s="149"/>
      <c r="I92" s="204"/>
      <c r="J92" s="149"/>
      <c r="K92" s="89"/>
      <c r="L92" s="89"/>
      <c r="M92" s="89"/>
      <c r="N92" s="89"/>
      <c r="O92" s="161"/>
      <c r="P92" s="161"/>
      <c r="Q92" s="514"/>
      <c r="R92" s="36"/>
      <c r="S92" s="149"/>
      <c r="T92" s="149"/>
      <c r="U92" s="149"/>
      <c r="V92" s="149"/>
      <c r="W92" s="149"/>
      <c r="X92" s="149"/>
      <c r="Y92" s="149"/>
      <c r="Z92" s="149"/>
      <c r="AA92" s="149"/>
    </row>
    <row r="93" spans="1:27" x14ac:dyDescent="0.2">
      <c r="F93" s="392"/>
      <c r="G93" s="149"/>
      <c r="H93" s="803" t="s">
        <v>197</v>
      </c>
      <c r="I93" s="809"/>
      <c r="J93" s="809"/>
      <c r="K93" s="809"/>
      <c r="L93" s="809"/>
      <c r="M93" s="809"/>
      <c r="N93" s="810"/>
      <c r="O93" s="527"/>
      <c r="P93" s="161"/>
      <c r="R93" s="149"/>
      <c r="S93" s="149"/>
      <c r="T93" s="149"/>
      <c r="U93" s="149"/>
      <c r="V93" s="149"/>
      <c r="W93" s="149"/>
      <c r="X93" s="149"/>
      <c r="Y93" s="149"/>
      <c r="Z93" s="556"/>
      <c r="AA93" s="418"/>
    </row>
    <row r="94" spans="1:27" ht="13.5" thickBot="1" x14ac:dyDescent="0.25">
      <c r="A94" s="394"/>
      <c r="B94" s="394"/>
      <c r="C94" s="395" t="s">
        <v>10</v>
      </c>
      <c r="D94" s="395" t="s">
        <v>11</v>
      </c>
      <c r="E94" s="395" t="s">
        <v>12</v>
      </c>
      <c r="F94" s="392"/>
      <c r="G94" s="4"/>
      <c r="H94" s="811"/>
      <c r="I94" s="812"/>
      <c r="J94" s="812"/>
      <c r="K94" s="812"/>
      <c r="L94" s="812"/>
      <c r="M94" s="812"/>
      <c r="N94" s="813"/>
      <c r="O94" s="527"/>
      <c r="P94" s="224"/>
    </row>
    <row r="95" spans="1:27" x14ac:dyDescent="0.2">
      <c r="A95" s="353" t="s">
        <v>14</v>
      </c>
      <c r="C95" s="303">
        <f>T$13</f>
        <v>57593.3511</v>
      </c>
      <c r="D95" s="396">
        <f>T$27</f>
        <v>1.5</v>
      </c>
      <c r="E95" s="303">
        <f>C95*D95</f>
        <v>86390.02665</v>
      </c>
      <c r="F95" s="392"/>
      <c r="G95" s="161"/>
      <c r="H95" s="458" t="s">
        <v>4</v>
      </c>
      <c r="I95" s="470">
        <v>15</v>
      </c>
      <c r="J95" s="418"/>
      <c r="K95" s="418" t="s">
        <v>5</v>
      </c>
      <c r="L95" s="451">
        <f>$I$95*365</f>
        <v>5475</v>
      </c>
      <c r="M95" s="418" t="s">
        <v>5</v>
      </c>
      <c r="N95" s="485">
        <f>$I$95*365</f>
        <v>5475</v>
      </c>
      <c r="O95" s="161"/>
      <c r="P95" s="149"/>
    </row>
    <row r="96" spans="1:27" x14ac:dyDescent="0.2">
      <c r="A96" s="355" t="s">
        <v>16</v>
      </c>
      <c r="C96" s="303"/>
      <c r="D96" s="396"/>
      <c r="E96" s="303"/>
      <c r="F96" s="392"/>
      <c r="G96" s="161"/>
      <c r="H96" s="453"/>
      <c r="I96" s="394"/>
      <c r="J96" s="395" t="s">
        <v>10</v>
      </c>
      <c r="K96" s="395" t="s">
        <v>11</v>
      </c>
      <c r="L96" s="395" t="s">
        <v>12</v>
      </c>
      <c r="M96" s="395" t="s">
        <v>11</v>
      </c>
      <c r="N96" s="486" t="s">
        <v>12</v>
      </c>
      <c r="O96" s="161"/>
      <c r="P96" s="161"/>
    </row>
    <row r="97" spans="1:16" x14ac:dyDescent="0.2">
      <c r="A97" s="359" t="s">
        <v>18</v>
      </c>
      <c r="C97" s="303">
        <f>T15</f>
        <v>86861</v>
      </c>
      <c r="D97" s="396">
        <f>T29</f>
        <v>0.34</v>
      </c>
      <c r="E97" s="303">
        <f>C97*D97</f>
        <v>29532.74</v>
      </c>
      <c r="F97" s="392"/>
      <c r="G97" s="161"/>
      <c r="H97" s="455" t="s">
        <v>14</v>
      </c>
      <c r="I97" s="149"/>
      <c r="J97" s="161">
        <f>J66</f>
        <v>57593.3511</v>
      </c>
      <c r="K97" s="166">
        <v>2</v>
      </c>
      <c r="L97" s="161">
        <f>$J$97*K97</f>
        <v>115186.7022</v>
      </c>
      <c r="M97" s="166">
        <f>V27</f>
        <v>2</v>
      </c>
      <c r="N97" s="488">
        <f>$J$97*M97</f>
        <v>115186.7022</v>
      </c>
      <c r="O97" s="161"/>
      <c r="P97" s="224"/>
    </row>
    <row r="98" spans="1:16" x14ac:dyDescent="0.2">
      <c r="A98" s="355" t="s">
        <v>20</v>
      </c>
      <c r="C98" s="303"/>
      <c r="D98" s="396"/>
      <c r="E98" s="303"/>
      <c r="F98" s="392"/>
      <c r="G98" s="161"/>
      <c r="H98" s="346" t="s">
        <v>16</v>
      </c>
      <c r="I98" s="149"/>
      <c r="J98" s="161"/>
      <c r="K98" s="166"/>
      <c r="L98" s="161"/>
      <c r="M98" s="166"/>
      <c r="N98" s="488"/>
      <c r="O98" s="529"/>
      <c r="P98" s="202"/>
    </row>
    <row r="99" spans="1:16" x14ac:dyDescent="0.2">
      <c r="A99" s="355" t="s">
        <v>196</v>
      </c>
      <c r="C99" s="303">
        <f>T17</f>
        <v>60923</v>
      </c>
      <c r="D99" s="396">
        <f>T31</f>
        <v>1.5</v>
      </c>
      <c r="E99" s="303">
        <f>C99*D99</f>
        <v>91384.5</v>
      </c>
      <c r="F99" s="392"/>
      <c r="G99" s="161"/>
      <c r="H99" s="348" t="s">
        <v>18</v>
      </c>
      <c r="I99" s="149"/>
      <c r="J99" s="161">
        <f>J68</f>
        <v>86861</v>
      </c>
      <c r="K99" s="166">
        <v>0.375</v>
      </c>
      <c r="L99" s="161">
        <f>$J$99*K99</f>
        <v>32572.875</v>
      </c>
      <c r="M99" s="166">
        <f>V29</f>
        <v>0.56000000000000005</v>
      </c>
      <c r="N99" s="488">
        <f>$J$99*M99</f>
        <v>48642.16</v>
      </c>
      <c r="O99" s="529"/>
      <c r="P99" s="202"/>
    </row>
    <row r="100" spans="1:16" x14ac:dyDescent="0.2">
      <c r="A100" s="359" t="s">
        <v>24</v>
      </c>
      <c r="C100" s="303">
        <f>T18</f>
        <v>52665.599999999999</v>
      </c>
      <c r="D100" s="396">
        <f>T32</f>
        <v>0.5</v>
      </c>
      <c r="E100" s="303">
        <f>C100*D100</f>
        <v>26332.799999999999</v>
      </c>
      <c r="F100" s="392"/>
      <c r="G100" s="161"/>
      <c r="H100" s="346" t="s">
        <v>20</v>
      </c>
      <c r="I100" s="149"/>
      <c r="J100" s="161"/>
      <c r="K100" s="166"/>
      <c r="L100" s="161"/>
      <c r="M100" s="166"/>
      <c r="N100" s="488"/>
      <c r="O100" s="531"/>
      <c r="P100" s="202"/>
    </row>
    <row r="101" spans="1:16" x14ac:dyDescent="0.2">
      <c r="A101" s="359" t="s">
        <v>29</v>
      </c>
      <c r="C101" s="303">
        <f>T22</f>
        <v>32198</v>
      </c>
      <c r="D101" s="396">
        <f>T36</f>
        <v>0.5</v>
      </c>
      <c r="E101" s="303">
        <f>C101*D101</f>
        <v>16099</v>
      </c>
      <c r="F101" s="392"/>
      <c r="G101" s="161"/>
      <c r="H101" s="348" t="s">
        <v>31</v>
      </c>
      <c r="I101" s="149"/>
      <c r="J101" s="161">
        <f>J70</f>
        <v>60923</v>
      </c>
      <c r="K101" s="166">
        <v>1</v>
      </c>
      <c r="L101" s="161">
        <f>$J$101*K101</f>
        <v>60923</v>
      </c>
      <c r="M101" s="166">
        <f>V31</f>
        <v>2</v>
      </c>
      <c r="N101" s="488">
        <f>$J$101*M101</f>
        <v>121846</v>
      </c>
      <c r="O101" s="531"/>
      <c r="P101" s="202"/>
    </row>
    <row r="102" spans="1:16" x14ac:dyDescent="0.2">
      <c r="A102" s="404" t="s">
        <v>30</v>
      </c>
      <c r="B102" s="404"/>
      <c r="C102" s="404"/>
      <c r="D102" s="405">
        <f>SUM(D95:D101)</f>
        <v>4.34</v>
      </c>
      <c r="E102" s="406">
        <f>SUM(E95:E101)</f>
        <v>249739.06664999999</v>
      </c>
      <c r="F102" s="392"/>
      <c r="G102" s="224"/>
      <c r="H102" s="348" t="s">
        <v>24</v>
      </c>
      <c r="I102" s="149"/>
      <c r="J102" s="161">
        <f>J71</f>
        <v>52665.599999999999</v>
      </c>
      <c r="K102" s="166">
        <v>1.5</v>
      </c>
      <c r="L102" s="161">
        <f>$J$102*K102</f>
        <v>78998.399999999994</v>
      </c>
      <c r="M102" s="166">
        <f>V32</f>
        <v>1.5</v>
      </c>
      <c r="N102" s="488">
        <f>$J$102*M102</f>
        <v>78998.399999999994</v>
      </c>
      <c r="O102" s="531"/>
      <c r="P102" s="149"/>
    </row>
    <row r="103" spans="1:16" x14ac:dyDescent="0.2">
      <c r="F103" s="392"/>
      <c r="G103" s="149"/>
      <c r="H103" s="348" t="s">
        <v>25</v>
      </c>
      <c r="I103" s="149"/>
      <c r="J103" s="161">
        <f>J72</f>
        <v>32198</v>
      </c>
      <c r="K103" s="166">
        <v>17</v>
      </c>
      <c r="L103" s="161">
        <f>$J$103*K103</f>
        <v>547366</v>
      </c>
      <c r="M103" s="166">
        <f>V33</f>
        <v>17</v>
      </c>
      <c r="N103" s="488">
        <f>$J$103*M103</f>
        <v>547366</v>
      </c>
      <c r="O103" s="525"/>
      <c r="P103" s="149"/>
    </row>
    <row r="104" spans="1:16" x14ac:dyDescent="0.2">
      <c r="A104" s="205" t="s">
        <v>35</v>
      </c>
      <c r="C104" s="410">
        <f>$T$39</f>
        <v>0.22309999999999999</v>
      </c>
      <c r="E104" s="303">
        <f>C104*E102</f>
        <v>55716.785769614995</v>
      </c>
      <c r="F104" s="392"/>
      <c r="G104" s="161"/>
      <c r="H104" s="362" t="s">
        <v>27</v>
      </c>
      <c r="I104" s="149"/>
      <c r="J104" s="161">
        <f>J73</f>
        <v>32198</v>
      </c>
      <c r="K104" s="166">
        <v>2.6807692307692306</v>
      </c>
      <c r="L104" s="161">
        <f>$J$104*K104</f>
        <v>86315.407692307679</v>
      </c>
      <c r="M104" s="166">
        <f>V34</f>
        <v>2.6153846153846154</v>
      </c>
      <c r="N104" s="488">
        <f>$J$104*M104</f>
        <v>84210.153846153844</v>
      </c>
      <c r="O104" s="525"/>
      <c r="P104" s="224"/>
    </row>
    <row r="105" spans="1:16" s="522" customFormat="1" x14ac:dyDescent="0.2">
      <c r="A105" s="404" t="s">
        <v>36</v>
      </c>
      <c r="B105" s="404"/>
      <c r="C105" s="404"/>
      <c r="D105" s="413">
        <f>E105/E92</f>
        <v>92.985038788315052</v>
      </c>
      <c r="E105" s="406">
        <f>E104+E102</f>
        <v>305455.85241961497</v>
      </c>
      <c r="F105" s="392"/>
      <c r="G105" s="224"/>
      <c r="H105" s="346" t="s">
        <v>28</v>
      </c>
      <c r="I105" s="149"/>
      <c r="J105" s="161"/>
      <c r="K105" s="166"/>
      <c r="L105" s="161"/>
      <c r="M105" s="166"/>
      <c r="N105" s="488"/>
      <c r="O105" s="529"/>
      <c r="P105" s="149"/>
    </row>
    <row r="106" spans="1:16" s="522" customFormat="1" x14ac:dyDescent="0.2">
      <c r="A106" s="205"/>
      <c r="B106" s="205"/>
      <c r="C106" s="205"/>
      <c r="D106" s="205"/>
      <c r="E106" s="205"/>
      <c r="F106" s="392"/>
      <c r="G106" s="202"/>
      <c r="H106" s="348" t="s">
        <v>29</v>
      </c>
      <c r="I106" s="149"/>
      <c r="J106" s="161">
        <f>J75</f>
        <v>32198</v>
      </c>
      <c r="K106" s="166">
        <v>0.5</v>
      </c>
      <c r="L106" s="161">
        <f>$J$106*K106</f>
        <v>16099</v>
      </c>
      <c r="M106" s="166">
        <f>V36</f>
        <v>0.5</v>
      </c>
      <c r="N106" s="488">
        <f>$J$106*M106</f>
        <v>16099</v>
      </c>
      <c r="O106" s="525"/>
      <c r="P106" s="161"/>
    </row>
    <row r="107" spans="1:16" s="522" customFormat="1" x14ac:dyDescent="0.2">
      <c r="A107" s="205" t="s">
        <v>38</v>
      </c>
      <c r="B107" s="205"/>
      <c r="C107" s="205"/>
      <c r="D107" s="326">
        <f>$T$41</f>
        <v>25.648695</v>
      </c>
      <c r="E107" s="326">
        <f>D107*E92</f>
        <v>84255.963075000007</v>
      </c>
      <c r="F107" s="392"/>
      <c r="G107" s="202"/>
      <c r="H107" s="457" t="s">
        <v>30</v>
      </c>
      <c r="I107" s="404"/>
      <c r="J107" s="404"/>
      <c r="K107" s="405">
        <f>SUM(K97:K106)</f>
        <v>25.055769230769229</v>
      </c>
      <c r="L107" s="406">
        <f>SUM(L97:L106)</f>
        <v>937461.38489230769</v>
      </c>
      <c r="M107" s="405">
        <f>SUM(M97:M106)</f>
        <v>26.175384615384619</v>
      </c>
      <c r="N107" s="489">
        <f>SUM(N97:N106)</f>
        <v>1012348.4160461539</v>
      </c>
      <c r="O107" s="527"/>
      <c r="P107" s="149"/>
    </row>
    <row r="108" spans="1:16" s="522" customFormat="1" x14ac:dyDescent="0.2">
      <c r="A108" s="149" t="s">
        <v>39</v>
      </c>
      <c r="B108" s="205"/>
      <c r="C108" s="205"/>
      <c r="D108" s="326">
        <f>$T$42</f>
        <v>18.55</v>
      </c>
      <c r="E108" s="326">
        <f>D108*E92</f>
        <v>60936.75</v>
      </c>
      <c r="F108" s="392"/>
      <c r="G108" s="202"/>
      <c r="H108" s="190"/>
      <c r="I108" s="149"/>
      <c r="J108" s="149"/>
      <c r="K108" s="149"/>
      <c r="L108" s="149"/>
      <c r="M108" s="149"/>
      <c r="N108" s="402"/>
      <c r="O108" s="525"/>
      <c r="P108" s="149"/>
    </row>
    <row r="109" spans="1:16" s="522" customFormat="1" x14ac:dyDescent="0.2">
      <c r="A109" s="149" t="s">
        <v>173</v>
      </c>
      <c r="B109" s="205"/>
      <c r="C109" s="205"/>
      <c r="D109" s="326">
        <f>$T$43</f>
        <v>2.2839999999999998</v>
      </c>
      <c r="E109" s="326">
        <f>D109*E92</f>
        <v>7502.94</v>
      </c>
      <c r="F109" s="392"/>
      <c r="G109" s="202"/>
      <c r="H109" s="458" t="s">
        <v>32</v>
      </c>
      <c r="I109" s="149"/>
      <c r="J109" s="149"/>
      <c r="K109" s="418" t="s">
        <v>33</v>
      </c>
      <c r="L109" s="149"/>
      <c r="M109" s="418" t="s">
        <v>33</v>
      </c>
      <c r="N109" s="402"/>
      <c r="O109" s="525"/>
      <c r="P109" s="224"/>
    </row>
    <row r="110" spans="1:16" s="522" customFormat="1" ht="13.5" thickBot="1" x14ac:dyDescent="0.25">
      <c r="A110" s="149" t="s">
        <v>174</v>
      </c>
      <c r="B110" s="205"/>
      <c r="C110" s="205"/>
      <c r="D110" s="326">
        <f>$T$44</f>
        <v>-2</v>
      </c>
      <c r="E110" s="326">
        <f>D110*E92</f>
        <v>-6570</v>
      </c>
      <c r="F110" s="393"/>
      <c r="G110" s="149"/>
      <c r="H110" s="190" t="s">
        <v>35</v>
      </c>
      <c r="I110" s="149"/>
      <c r="J110" s="191">
        <f>$T$39</f>
        <v>0.22309999999999999</v>
      </c>
      <c r="K110" s="149"/>
      <c r="L110" s="161">
        <f>$J$110*L107</f>
        <v>209147.63496947385</v>
      </c>
      <c r="M110" s="149"/>
      <c r="N110" s="488">
        <f>$J$110*N107</f>
        <v>225854.93161989693</v>
      </c>
      <c r="O110" s="533">
        <f>N90</f>
        <v>1041910.8720579703</v>
      </c>
      <c r="P110" s="149"/>
    </row>
    <row r="111" spans="1:16" s="522" customFormat="1" ht="13.5" thickTop="1" x14ac:dyDescent="0.2">
      <c r="A111" s="205"/>
      <c r="B111" s="205"/>
      <c r="C111" s="205"/>
      <c r="D111" s="420">
        <f>SUM(D107:D110)</f>
        <v>44.482695</v>
      </c>
      <c r="E111" s="205"/>
      <c r="F111" s="393"/>
      <c r="G111" s="149"/>
      <c r="H111" s="457" t="s">
        <v>36</v>
      </c>
      <c r="I111" s="404"/>
      <c r="J111" s="404"/>
      <c r="K111" s="413">
        <f>L111/L95</f>
        <v>209.42630499758567</v>
      </c>
      <c r="L111" s="406">
        <f>L110+L107</f>
        <v>1146609.0198617815</v>
      </c>
      <c r="M111" s="413">
        <f>N111/N95</f>
        <v>226.15586258740655</v>
      </c>
      <c r="N111" s="489">
        <f>N110+N107</f>
        <v>1238203.3476660508</v>
      </c>
      <c r="O111" s="525"/>
      <c r="P111" s="462"/>
    </row>
    <row r="112" spans="1:16" s="522" customFormat="1" x14ac:dyDescent="0.2">
      <c r="A112" s="205"/>
      <c r="B112" s="205"/>
      <c r="C112" s="205"/>
      <c r="D112" s="205"/>
      <c r="E112" s="205"/>
      <c r="F112" s="393"/>
      <c r="G112" s="224"/>
      <c r="H112" s="190" t="str">
        <f>'[3]Master Data '!B128</f>
        <v>PFMLA Trust Contribution</v>
      </c>
      <c r="I112" s="547">
        <f>T40</f>
        <v>3.7000000000000002E-3</v>
      </c>
      <c r="J112" s="149"/>
      <c r="K112" s="149"/>
      <c r="L112" s="149"/>
      <c r="M112" s="149"/>
      <c r="N112" s="490">
        <f>N107*I112</f>
        <v>3745.6891393707697</v>
      </c>
      <c r="O112" s="511">
        <f>O110*(1+$J$91)</f>
        <v>1060456.8855806021</v>
      </c>
      <c r="P112" s="149"/>
    </row>
    <row r="113" spans="1:20" s="522" customFormat="1" x14ac:dyDescent="0.2">
      <c r="A113" s="404" t="s">
        <v>40</v>
      </c>
      <c r="B113" s="404"/>
      <c r="C113" s="404"/>
      <c r="D113" s="404"/>
      <c r="E113" s="406">
        <f>SUM(E105:E110)</f>
        <v>451581.505494615</v>
      </c>
      <c r="F113" s="393"/>
      <c r="G113" s="149"/>
      <c r="H113" s="190" t="s">
        <v>38</v>
      </c>
      <c r="I113" s="149"/>
      <c r="J113" s="149"/>
      <c r="K113" s="202">
        <f>$T$41</f>
        <v>25.648695</v>
      </c>
      <c r="L113" s="202">
        <f>K113*L95</f>
        <v>140426.605125</v>
      </c>
      <c r="M113" s="202">
        <f>$T$41</f>
        <v>25.648695</v>
      </c>
      <c r="N113" s="490">
        <f>M113*N95</f>
        <v>140426.605125</v>
      </c>
      <c r="O113" s="525"/>
      <c r="P113" s="228"/>
      <c r="Q113" s="514"/>
    </row>
    <row r="114" spans="1:20" s="522" customFormat="1" x14ac:dyDescent="0.2">
      <c r="A114" s="205"/>
      <c r="B114" s="205"/>
      <c r="C114" s="205"/>
      <c r="D114" s="205"/>
      <c r="E114" s="205"/>
      <c r="F114" s="392"/>
      <c r="G114" s="161"/>
      <c r="H114" s="190" t="s">
        <v>39</v>
      </c>
      <c r="I114" s="149"/>
      <c r="J114" s="149"/>
      <c r="K114" s="202">
        <f>$T$42</f>
        <v>18.55</v>
      </c>
      <c r="L114" s="202">
        <f>K114*L95</f>
        <v>101561.25</v>
      </c>
      <c r="M114" s="202">
        <f>$T$42</f>
        <v>18.55</v>
      </c>
      <c r="N114" s="490">
        <f>M114*N95</f>
        <v>101561.25</v>
      </c>
      <c r="O114" s="228" t="s">
        <v>119</v>
      </c>
      <c r="P114" s="462"/>
      <c r="Q114" s="712"/>
    </row>
    <row r="115" spans="1:20" s="522" customFormat="1" x14ac:dyDescent="0.2">
      <c r="A115" s="205" t="s">
        <v>47</v>
      </c>
      <c r="B115" s="205"/>
      <c r="C115" s="410">
        <f>$T$47</f>
        <v>0.11849999999999999</v>
      </c>
      <c r="D115" s="205"/>
      <c r="E115" s="303">
        <f>C115*E113</f>
        <v>53512.408401111876</v>
      </c>
      <c r="F115" s="392"/>
      <c r="G115" s="149"/>
      <c r="H115" s="190" t="s">
        <v>173</v>
      </c>
      <c r="I115" s="149"/>
      <c r="J115" s="149"/>
      <c r="K115" s="202">
        <f>$T$43</f>
        <v>2.2839999999999998</v>
      </c>
      <c r="L115" s="202">
        <f>K115*L95</f>
        <v>12504.9</v>
      </c>
      <c r="M115" s="202">
        <f>$T$43</f>
        <v>2.2839999999999998</v>
      </c>
      <c r="N115" s="490">
        <f>M115*N95</f>
        <v>12504.9</v>
      </c>
      <c r="O115" s="511">
        <f>O112/12</f>
        <v>88371.407131716842</v>
      </c>
      <c r="P115" s="462"/>
      <c r="Q115" s="514"/>
    </row>
    <row r="116" spans="1:20" s="522" customFormat="1" ht="13.5" thickBot="1" x14ac:dyDescent="0.25">
      <c r="A116" s="205"/>
      <c r="B116" s="205"/>
      <c r="C116" s="205"/>
      <c r="D116" s="205"/>
      <c r="E116" s="205"/>
      <c r="F116" s="392"/>
      <c r="G116" s="149"/>
      <c r="H116" s="190" t="s">
        <v>174</v>
      </c>
      <c r="I116" s="149"/>
      <c r="J116" s="149"/>
      <c r="K116" s="202">
        <f>$T$44</f>
        <v>-2</v>
      </c>
      <c r="L116" s="202">
        <f>K116*L95</f>
        <v>-10950</v>
      </c>
      <c r="M116" s="202">
        <f>$T$44</f>
        <v>-2</v>
      </c>
      <c r="N116" s="490">
        <f>M116*N95</f>
        <v>-10950</v>
      </c>
      <c r="O116" s="511" t="e">
        <f>ROUND(O115*(1+#REF!),0)</f>
        <v>#REF!</v>
      </c>
      <c r="P116" s="474"/>
      <c r="Q116" s="522" t="s">
        <v>318</v>
      </c>
    </row>
    <row r="117" spans="1:20" s="522" customFormat="1" ht="13.5" thickBot="1" x14ac:dyDescent="0.25">
      <c r="A117" s="422" t="s">
        <v>49</v>
      </c>
      <c r="B117" s="423"/>
      <c r="C117" s="423"/>
      <c r="D117" s="423"/>
      <c r="E117" s="424">
        <f>SUM(E113:E115)</f>
        <v>505093.9138957269</v>
      </c>
      <c r="F117" s="392"/>
      <c r="G117" s="224"/>
      <c r="H117" s="190"/>
      <c r="I117" s="149"/>
      <c r="J117" s="149"/>
      <c r="K117" s="420">
        <f>SUM(K113:K116)</f>
        <v>44.482695</v>
      </c>
      <c r="L117" s="149"/>
      <c r="M117" s="420">
        <f>SUM(M113:M116)</f>
        <v>44.482695</v>
      </c>
      <c r="N117" s="402"/>
      <c r="O117" s="513"/>
      <c r="P117" s="474"/>
      <c r="Q117" s="703" t="s">
        <v>313</v>
      </c>
    </row>
    <row r="118" spans="1:20" s="522" customFormat="1" ht="13.5" thickTop="1" x14ac:dyDescent="0.2">
      <c r="A118" s="205"/>
      <c r="B118" s="205"/>
      <c r="C118" s="205"/>
      <c r="D118" s="205"/>
      <c r="E118" s="205"/>
      <c r="F118" s="392"/>
      <c r="G118" s="149"/>
      <c r="H118" s="190"/>
      <c r="I118" s="149"/>
      <c r="J118" s="149"/>
      <c r="K118" s="149"/>
      <c r="L118" s="149"/>
      <c r="M118" s="149"/>
      <c r="N118" s="402"/>
      <c r="O118" s="474"/>
      <c r="P118" s="474"/>
      <c r="Q118" s="704" t="s">
        <v>312</v>
      </c>
    </row>
    <row r="119" spans="1:20" s="522" customFormat="1" ht="13.5" thickBot="1" x14ac:dyDescent="0.25">
      <c r="A119" s="205" t="s">
        <v>132</v>
      </c>
      <c r="B119" s="205"/>
      <c r="C119" s="410"/>
      <c r="D119" s="205"/>
      <c r="E119" s="317">
        <f>E117*(1+C119)</f>
        <v>505093.9138957269</v>
      </c>
      <c r="F119" s="392"/>
      <c r="G119" s="462"/>
      <c r="H119" s="457" t="s">
        <v>40</v>
      </c>
      <c r="I119" s="404"/>
      <c r="J119" s="404"/>
      <c r="K119" s="404"/>
      <c r="L119" s="406">
        <f>SUM(L111:L116)</f>
        <v>1390151.7749867814</v>
      </c>
      <c r="M119" s="404"/>
      <c r="N119" s="489">
        <f>SUM(N111:N116)</f>
        <v>1485491.7919304215</v>
      </c>
      <c r="O119" s="474"/>
      <c r="P119" s="205"/>
      <c r="Q119" s="705">
        <f>N122/12</f>
        <v>139423.15576680293</v>
      </c>
    </row>
    <row r="120" spans="1:20" s="522" customFormat="1" ht="13.5" thickBot="1" x14ac:dyDescent="0.25">
      <c r="A120" s="205"/>
      <c r="B120" s="205"/>
      <c r="C120" s="205"/>
      <c r="D120" s="205"/>
      <c r="E120" s="205"/>
      <c r="F120" s="392"/>
      <c r="G120" s="149"/>
      <c r="H120" s="190" t="s">
        <v>47</v>
      </c>
      <c r="I120" s="149"/>
      <c r="J120" s="191">
        <f>$T$47</f>
        <v>0.11849999999999999</v>
      </c>
      <c r="K120" s="149"/>
      <c r="L120" s="161">
        <f>$J$120*L119</f>
        <v>164732.9853359336</v>
      </c>
      <c r="M120" s="149"/>
      <c r="N120" s="488">
        <f>$J$120*N119</f>
        <v>176030.77734375495</v>
      </c>
      <c r="O120" s="205"/>
      <c r="P120" s="205"/>
    </row>
    <row r="121" spans="1:20" ht="13.5" thickBot="1" x14ac:dyDescent="0.25">
      <c r="E121" s="319" t="s">
        <v>59</v>
      </c>
      <c r="F121" s="392"/>
      <c r="G121" s="228"/>
      <c r="H121" s="460" t="s">
        <v>49</v>
      </c>
      <c r="I121" s="423"/>
      <c r="J121" s="423"/>
      <c r="K121" s="423"/>
      <c r="L121" s="424">
        <f>SUM(L119:L120)</f>
        <v>1554884.7603227149</v>
      </c>
      <c r="M121" s="423"/>
      <c r="N121" s="492">
        <f>SUM(N119:N120)</f>
        <v>1661522.5692741764</v>
      </c>
      <c r="P121" s="2"/>
      <c r="Q121" s="716"/>
    </row>
    <row r="122" spans="1:20" ht="14.25" thickTop="1" thickBot="1" x14ac:dyDescent="0.25">
      <c r="A122" s="205" t="s">
        <v>133</v>
      </c>
      <c r="D122" s="321">
        <f>E117/E92</f>
        <v>153.7576602422304</v>
      </c>
      <c r="E122" s="321">
        <f>D122*(1+C119)</f>
        <v>153.7576602422304</v>
      </c>
      <c r="G122" s="462"/>
      <c r="H122" s="443" t="str">
        <f>H91</f>
        <v>CAF Rate Review (FY21 7 FY22)</v>
      </c>
      <c r="I122" s="444"/>
      <c r="J122" s="708">
        <f>J91</f>
        <v>1.78E-2</v>
      </c>
      <c r="K122" s="444"/>
      <c r="L122" s="709"/>
      <c r="M122" s="444"/>
      <c r="N122" s="710">
        <f>(N121*J122)-(N107*J122)+N121</f>
        <v>1673077.8692016352</v>
      </c>
      <c r="P122" s="149"/>
      <c r="Q122" s="717"/>
    </row>
    <row r="123" spans="1:20" x14ac:dyDescent="0.2">
      <c r="H123" s="149"/>
      <c r="I123" s="204"/>
      <c r="J123" s="149"/>
      <c r="K123" s="89"/>
      <c r="L123" s="89"/>
      <c r="M123" s="89"/>
      <c r="N123" s="89"/>
      <c r="O123" s="527"/>
      <c r="P123" s="161"/>
      <c r="Q123" s="514"/>
    </row>
    <row r="124" spans="1:20" x14ac:dyDescent="0.2">
      <c r="H124" s="355"/>
      <c r="I124" s="149"/>
      <c r="J124" s="161"/>
      <c r="K124" s="166"/>
      <c r="L124" s="161"/>
      <c r="M124" s="166"/>
      <c r="N124" s="161"/>
      <c r="O124" s="527"/>
      <c r="P124" s="161"/>
      <c r="Q124" s="514"/>
    </row>
    <row r="125" spans="1:20" ht="15" customHeight="1" thickBot="1" x14ac:dyDescent="0.25">
      <c r="A125" s="774"/>
      <c r="B125" s="774"/>
      <c r="C125" s="774"/>
      <c r="D125" s="774"/>
      <c r="E125" s="774"/>
      <c r="F125" s="558"/>
      <c r="G125" s="2"/>
      <c r="O125" s="527"/>
      <c r="P125" s="161"/>
      <c r="Q125" s="514"/>
      <c r="R125" s="702"/>
      <c r="S125" s="149"/>
      <c r="T125" s="149"/>
    </row>
    <row r="126" spans="1:20" x14ac:dyDescent="0.2">
      <c r="F126" s="392"/>
      <c r="G126" s="149"/>
      <c r="O126" s="161"/>
      <c r="P126" s="161"/>
      <c r="Q126" s="514"/>
      <c r="R126" s="149"/>
      <c r="S126" s="149"/>
      <c r="T126" s="149"/>
    </row>
    <row r="127" spans="1:20" x14ac:dyDescent="0.2">
      <c r="A127" s="353" t="s">
        <v>14</v>
      </c>
      <c r="C127" s="303">
        <f>T$13</f>
        <v>57593.3511</v>
      </c>
      <c r="D127" s="396">
        <f>V$27</f>
        <v>2</v>
      </c>
      <c r="E127" s="303">
        <f>C127*D127</f>
        <v>115186.7022</v>
      </c>
      <c r="F127" s="392"/>
      <c r="G127" s="161"/>
      <c r="O127" s="161"/>
      <c r="P127" s="161"/>
      <c r="Q127" s="514"/>
      <c r="R127" s="161"/>
      <c r="S127" s="149"/>
      <c r="T127" s="149"/>
    </row>
    <row r="128" spans="1:20" x14ac:dyDescent="0.2">
      <c r="A128" s="359" t="s">
        <v>18</v>
      </c>
      <c r="C128" s="303">
        <f>T15</f>
        <v>86861</v>
      </c>
      <c r="D128" s="396">
        <f>V29</f>
        <v>0.56000000000000005</v>
      </c>
      <c r="E128" s="303">
        <f>C128*D128</f>
        <v>48642.16</v>
      </c>
      <c r="F128" s="392"/>
      <c r="G128" s="161"/>
      <c r="O128" s="161"/>
      <c r="P128" s="224"/>
      <c r="Q128" s="514"/>
      <c r="R128" s="161"/>
      <c r="S128" s="149"/>
      <c r="T128" s="149"/>
    </row>
    <row r="129" spans="1:20" x14ac:dyDescent="0.2">
      <c r="A129" s="355" t="s">
        <v>20</v>
      </c>
      <c r="C129" s="303"/>
      <c r="D129" s="396"/>
      <c r="E129" s="303"/>
      <c r="F129" s="392"/>
      <c r="G129" s="161"/>
      <c r="O129" s="518"/>
      <c r="P129" s="149"/>
      <c r="Q129" s="514"/>
      <c r="R129" s="161"/>
      <c r="S129" s="149"/>
      <c r="T129" s="149"/>
    </row>
    <row r="130" spans="1:20" x14ac:dyDescent="0.2">
      <c r="A130" s="359" t="s">
        <v>31</v>
      </c>
      <c r="C130" s="303">
        <f>T17</f>
        <v>60923</v>
      </c>
      <c r="D130" s="396">
        <f>V31</f>
        <v>2</v>
      </c>
      <c r="E130" s="303">
        <f>C130*D130</f>
        <v>121846</v>
      </c>
      <c r="F130" s="392"/>
      <c r="G130" s="161"/>
      <c r="O130" s="392"/>
      <c r="P130" s="149"/>
      <c r="Q130" s="514"/>
      <c r="R130" s="161"/>
      <c r="S130" s="149"/>
      <c r="T130" s="149"/>
    </row>
    <row r="131" spans="1:20" x14ac:dyDescent="0.2">
      <c r="A131" s="359" t="s">
        <v>24</v>
      </c>
      <c r="C131" s="303">
        <f>T18</f>
        <v>52665.599999999999</v>
      </c>
      <c r="D131" s="396">
        <f>V32</f>
        <v>1.5</v>
      </c>
      <c r="E131" s="303">
        <f>C131*D131</f>
        <v>78998.399999999994</v>
      </c>
      <c r="F131" s="392"/>
      <c r="G131" s="161"/>
      <c r="O131" s="392"/>
      <c r="P131" s="161"/>
      <c r="Q131" s="514"/>
      <c r="R131" s="161"/>
      <c r="S131" s="149"/>
      <c r="T131" s="149"/>
    </row>
    <row r="132" spans="1:20" x14ac:dyDescent="0.2">
      <c r="A132" s="359" t="s">
        <v>25</v>
      </c>
      <c r="C132" s="303">
        <f>T19</f>
        <v>32198</v>
      </c>
      <c r="D132" s="396">
        <f>V33</f>
        <v>17</v>
      </c>
      <c r="E132" s="303">
        <f>C132*D132</f>
        <v>547366</v>
      </c>
      <c r="F132" s="392"/>
      <c r="G132" s="505"/>
      <c r="O132" s="516"/>
      <c r="P132" s="224"/>
      <c r="Q132" s="514"/>
      <c r="R132" s="161"/>
      <c r="S132" s="149"/>
      <c r="T132" s="149"/>
    </row>
    <row r="133" spans="1:20" x14ac:dyDescent="0.2">
      <c r="A133" s="361" t="s">
        <v>27</v>
      </c>
      <c r="C133" s="303">
        <f>T20</f>
        <v>32198</v>
      </c>
      <c r="D133" s="396">
        <f>V34</f>
        <v>2.6153846153846154</v>
      </c>
      <c r="E133" s="303">
        <f>C133*D133</f>
        <v>84210.153846153844</v>
      </c>
      <c r="F133" s="392"/>
      <c r="G133" s="161"/>
      <c r="O133" s="518"/>
      <c r="P133" s="149"/>
      <c r="Q133" s="514"/>
      <c r="R133" s="161"/>
      <c r="S133" s="149"/>
      <c r="T133" s="149"/>
    </row>
    <row r="134" spans="1:20" x14ac:dyDescent="0.2">
      <c r="A134" s="355" t="s">
        <v>28</v>
      </c>
      <c r="C134" s="303"/>
      <c r="D134" s="396"/>
      <c r="E134" s="303"/>
      <c r="F134" s="393"/>
      <c r="G134" s="161"/>
      <c r="O134" s="392"/>
      <c r="P134" s="202"/>
      <c r="Q134" s="514"/>
      <c r="R134" s="161"/>
      <c r="S134" s="149"/>
      <c r="T134" s="149"/>
    </row>
    <row r="135" spans="1:20" x14ac:dyDescent="0.2">
      <c r="A135" s="359" t="s">
        <v>29</v>
      </c>
      <c r="C135" s="303">
        <f>T22</f>
        <v>32198</v>
      </c>
      <c r="D135" s="396">
        <f>V36</f>
        <v>0.5</v>
      </c>
      <c r="E135" s="303">
        <f>C135*D135</f>
        <v>16099</v>
      </c>
      <c r="F135" s="393"/>
      <c r="G135" s="161"/>
      <c r="O135" s="427"/>
      <c r="P135" s="202"/>
      <c r="Q135" s="514"/>
      <c r="R135" s="161"/>
      <c r="S135" s="149"/>
      <c r="T135" s="149"/>
    </row>
    <row r="136" spans="1:20" x14ac:dyDescent="0.2">
      <c r="A136" s="404" t="s">
        <v>30</v>
      </c>
      <c r="B136" s="404"/>
      <c r="C136" s="404"/>
      <c r="D136" s="405">
        <f>SUM(D127:D135)</f>
        <v>26.175384615384619</v>
      </c>
      <c r="E136" s="406">
        <f>SUM(E127:E135)</f>
        <v>1012348.4160461539</v>
      </c>
      <c r="F136" s="393"/>
      <c r="G136" s="224"/>
      <c r="O136" s="427"/>
      <c r="P136" s="202"/>
      <c r="Q136" s="514"/>
      <c r="R136" s="224"/>
      <c r="S136" s="149"/>
      <c r="T136" s="149"/>
    </row>
    <row r="137" spans="1:20" x14ac:dyDescent="0.2">
      <c r="F137" s="393"/>
      <c r="G137" s="149"/>
      <c r="O137" s="427"/>
      <c r="P137" s="202"/>
      <c r="Q137" s="514"/>
      <c r="R137" s="149"/>
      <c r="S137" s="149"/>
      <c r="T137" s="149"/>
    </row>
    <row r="138" spans="1:20" x14ac:dyDescent="0.2">
      <c r="A138" s="390" t="s">
        <v>32</v>
      </c>
      <c r="D138" s="390" t="s">
        <v>33</v>
      </c>
      <c r="F138" s="393"/>
      <c r="G138" s="149"/>
      <c r="O138" s="427"/>
      <c r="P138" s="149"/>
      <c r="Q138" s="514"/>
      <c r="R138" s="149"/>
      <c r="S138" s="149"/>
      <c r="T138" s="149"/>
    </row>
    <row r="139" spans="1:20" x14ac:dyDescent="0.2">
      <c r="A139" s="205" t="s">
        <v>35</v>
      </c>
      <c r="C139" s="410">
        <f>$T$39</f>
        <v>0.22309999999999999</v>
      </c>
      <c r="E139" s="303">
        <f>C139*E136</f>
        <v>225854.93161989693</v>
      </c>
      <c r="F139" s="393"/>
      <c r="G139" s="161"/>
      <c r="O139" s="392"/>
      <c r="P139" s="149"/>
      <c r="Q139" s="514"/>
      <c r="R139" s="161"/>
      <c r="S139" s="149"/>
      <c r="T139" s="149"/>
    </row>
    <row r="140" spans="1:20" x14ac:dyDescent="0.2">
      <c r="A140" s="404" t="s">
        <v>36</v>
      </c>
      <c r="B140" s="404"/>
      <c r="C140" s="404"/>
      <c r="D140" s="413" t="e">
        <f>E140/#REF!</f>
        <v>#REF!</v>
      </c>
      <c r="E140" s="406">
        <f>E139+E136</f>
        <v>1238203.3476660508</v>
      </c>
      <c r="F140" s="393"/>
      <c r="G140" s="224"/>
      <c r="O140" s="392"/>
      <c r="P140" s="224"/>
      <c r="Q140" s="514"/>
      <c r="R140" s="224"/>
      <c r="S140" s="149"/>
      <c r="T140" s="149"/>
    </row>
    <row r="141" spans="1:20" x14ac:dyDescent="0.2">
      <c r="F141" s="393"/>
      <c r="G141" s="149"/>
      <c r="O141" s="518"/>
      <c r="P141" s="149"/>
      <c r="Q141" s="514"/>
      <c r="R141" s="149"/>
      <c r="S141" s="149"/>
      <c r="T141" s="149"/>
    </row>
    <row r="142" spans="1:20" x14ac:dyDescent="0.2">
      <c r="A142" s="205" t="s">
        <v>38</v>
      </c>
      <c r="D142" s="326">
        <f>$T$41</f>
        <v>25.648695</v>
      </c>
      <c r="E142" s="326" t="e">
        <f>D142*#REF!</f>
        <v>#REF!</v>
      </c>
      <c r="F142" s="393"/>
      <c r="G142" s="202"/>
      <c r="O142" s="392"/>
      <c r="P142" s="161"/>
      <c r="Q142" s="514"/>
      <c r="R142" s="202"/>
      <c r="S142" s="149"/>
      <c r="T142" s="149"/>
    </row>
    <row r="143" spans="1:20" x14ac:dyDescent="0.2">
      <c r="A143" s="149" t="s">
        <v>39</v>
      </c>
      <c r="D143" s="326">
        <f>$T$42</f>
        <v>18.55</v>
      </c>
      <c r="E143" s="326" t="e">
        <f>D143*#REF!</f>
        <v>#REF!</v>
      </c>
      <c r="F143" s="392"/>
      <c r="G143" s="202"/>
      <c r="O143" s="516"/>
      <c r="P143" s="149"/>
      <c r="Q143" s="514"/>
      <c r="R143" s="202"/>
      <c r="S143" s="149"/>
      <c r="T143" s="149"/>
    </row>
    <row r="144" spans="1:20" x14ac:dyDescent="0.2">
      <c r="A144" s="149" t="s">
        <v>173</v>
      </c>
      <c r="D144" s="326">
        <f>$T$43</f>
        <v>2.2839999999999998</v>
      </c>
      <c r="E144" s="326" t="e">
        <f>D144*#REF!</f>
        <v>#REF!</v>
      </c>
      <c r="F144" s="392"/>
      <c r="G144" s="202"/>
      <c r="O144" s="392"/>
      <c r="P144" s="224"/>
      <c r="Q144" s="514"/>
      <c r="R144" s="202"/>
      <c r="S144" s="149"/>
      <c r="T144" s="149"/>
    </row>
    <row r="145" spans="1:20" ht="13.5" thickBot="1" x14ac:dyDescent="0.25">
      <c r="A145" s="149" t="s">
        <v>174</v>
      </c>
      <c r="D145" s="326">
        <f>$T$44</f>
        <v>-2</v>
      </c>
      <c r="E145" s="326" t="e">
        <f>D145*#REF!</f>
        <v>#REF!</v>
      </c>
      <c r="F145" s="393"/>
      <c r="G145" s="202"/>
      <c r="O145" s="426">
        <f>N121</f>
        <v>1661522.5692741764</v>
      </c>
      <c r="P145" s="149"/>
      <c r="Q145" s="514"/>
      <c r="R145" s="202"/>
      <c r="S145" s="149"/>
      <c r="T145" s="149"/>
    </row>
    <row r="146" spans="1:20" ht="13.5" thickTop="1" x14ac:dyDescent="0.2">
      <c r="D146" s="420">
        <f>SUM(D142:D145)</f>
        <v>44.482695</v>
      </c>
      <c r="F146" s="393"/>
      <c r="G146" s="149"/>
      <c r="O146" s="392"/>
      <c r="P146" s="462"/>
      <c r="Q146" s="514"/>
      <c r="R146" s="149"/>
      <c r="S146" s="149"/>
      <c r="T146" s="149"/>
    </row>
    <row r="147" spans="1:20" x14ac:dyDescent="0.2">
      <c r="F147" s="393"/>
      <c r="G147" s="149"/>
      <c r="O147" s="397">
        <f>O145*(1+$J$122)</f>
        <v>1691097.6710072567</v>
      </c>
      <c r="P147" s="149"/>
      <c r="Q147" s="514"/>
      <c r="R147" s="149"/>
      <c r="S147" s="149"/>
      <c r="T147" s="149"/>
    </row>
    <row r="148" spans="1:20" x14ac:dyDescent="0.2">
      <c r="A148" s="404" t="s">
        <v>40</v>
      </c>
      <c r="B148" s="404"/>
      <c r="C148" s="404"/>
      <c r="D148" s="404"/>
      <c r="E148" s="406" t="e">
        <f>SUM(E140:E145)</f>
        <v>#REF!</v>
      </c>
      <c r="F148" s="393"/>
      <c r="G148" s="224"/>
      <c r="O148" s="392"/>
      <c r="P148" s="228"/>
      <c r="Q148" s="514"/>
      <c r="R148" s="224"/>
      <c r="S148" s="149"/>
      <c r="T148" s="161"/>
    </row>
    <row r="149" spans="1:20" x14ac:dyDescent="0.2">
      <c r="F149" s="393"/>
      <c r="G149" s="149"/>
      <c r="O149" s="228" t="s">
        <v>119</v>
      </c>
      <c r="P149" s="462"/>
      <c r="Q149" s="514"/>
      <c r="R149" s="149"/>
      <c r="S149" s="149"/>
      <c r="T149" s="149"/>
    </row>
    <row r="150" spans="1:20" x14ac:dyDescent="0.2">
      <c r="A150" s="205" t="s">
        <v>47</v>
      </c>
      <c r="C150" s="410">
        <f>$T$47</f>
        <v>0.11849999999999999</v>
      </c>
      <c r="E150" s="303" t="e">
        <f>C150*E148</f>
        <v>#REF!</v>
      </c>
      <c r="F150" s="393"/>
      <c r="G150" s="161"/>
      <c r="O150" s="397">
        <f>O147/12</f>
        <v>140924.80591727138</v>
      </c>
      <c r="P150" s="462"/>
      <c r="Q150" s="514"/>
      <c r="R150" s="161"/>
      <c r="S150" s="149"/>
      <c r="T150" s="149"/>
    </row>
    <row r="151" spans="1:20" x14ac:dyDescent="0.2">
      <c r="F151" s="392"/>
      <c r="G151" s="149"/>
      <c r="O151" s="397" t="e">
        <f>ROUND(O150*(1+#REF!),0)</f>
        <v>#REF!</v>
      </c>
      <c r="P151" s="474"/>
      <c r="Q151" s="514"/>
      <c r="R151" s="149"/>
      <c r="S151" s="149"/>
      <c r="T151" s="149"/>
    </row>
    <row r="152" spans="1:20" ht="13.5" thickBot="1" x14ac:dyDescent="0.25">
      <c r="A152" s="422" t="s">
        <v>49</v>
      </c>
      <c r="B152" s="423"/>
      <c r="C152" s="423"/>
      <c r="D152" s="423"/>
      <c r="E152" s="424" t="e">
        <f>SUM(E148:E150)</f>
        <v>#REF!</v>
      </c>
      <c r="F152" s="392"/>
      <c r="G152" s="224"/>
      <c r="O152" s="513"/>
      <c r="P152" s="474"/>
      <c r="Q152" s="514"/>
      <c r="R152" s="224"/>
      <c r="S152" s="149"/>
      <c r="T152" s="149"/>
    </row>
    <row r="153" spans="1:20" ht="13.5" thickTop="1" x14ac:dyDescent="0.2">
      <c r="F153" s="392"/>
      <c r="G153" s="149"/>
      <c r="O153" s="474"/>
      <c r="P153" s="474"/>
      <c r="Q153" s="541"/>
      <c r="R153" s="149"/>
      <c r="S153" s="149"/>
      <c r="T153" s="149"/>
    </row>
    <row r="154" spans="1:20" x14ac:dyDescent="0.2">
      <c r="A154" s="205" t="s">
        <v>132</v>
      </c>
      <c r="C154" s="410"/>
      <c r="E154" s="317" t="e">
        <f>E152*(1+C154)</f>
        <v>#REF!</v>
      </c>
      <c r="F154" s="392"/>
      <c r="G154" s="462"/>
      <c r="O154" s="474"/>
      <c r="R154" s="462"/>
      <c r="S154" s="149"/>
      <c r="T154" s="149"/>
    </row>
    <row r="155" spans="1:20" x14ac:dyDescent="0.2">
      <c r="F155" s="392"/>
      <c r="G155" s="149"/>
      <c r="O155" s="149"/>
      <c r="R155" s="149"/>
      <c r="S155" s="149"/>
      <c r="T155" s="149"/>
    </row>
    <row r="156" spans="1:20" x14ac:dyDescent="0.2">
      <c r="E156" s="319" t="s">
        <v>59</v>
      </c>
      <c r="F156" s="392"/>
      <c r="G156" s="228"/>
      <c r="R156" s="228"/>
      <c r="S156" s="149"/>
      <c r="T156" s="149"/>
    </row>
    <row r="157" spans="1:20" x14ac:dyDescent="0.2">
      <c r="A157" s="205" t="s">
        <v>133</v>
      </c>
      <c r="D157" s="321" t="e">
        <f>E152/#REF!</f>
        <v>#REF!</v>
      </c>
      <c r="E157" s="321" t="e">
        <f>D157*(1+C154)</f>
        <v>#REF!</v>
      </c>
      <c r="F157" s="392"/>
      <c r="G157" s="462"/>
      <c r="R157" s="192"/>
      <c r="S157" s="149"/>
      <c r="T157" s="149"/>
    </row>
    <row r="158" spans="1:20" x14ac:dyDescent="0.2">
      <c r="A158" s="205" t="s">
        <v>134</v>
      </c>
      <c r="C158" s="410"/>
      <c r="D158" s="321"/>
      <c r="E158" s="321"/>
      <c r="F158" s="540" t="e">
        <f>E157*(1+C158)</f>
        <v>#REF!</v>
      </c>
      <c r="G158" s="462"/>
      <c r="R158" s="192"/>
      <c r="S158" s="149"/>
      <c r="T158" s="149"/>
    </row>
    <row r="159" spans="1:20" ht="13.5" thickBot="1" x14ac:dyDescent="0.25">
      <c r="A159" s="371" t="s">
        <v>50</v>
      </c>
      <c r="B159" s="372">
        <v>0.9</v>
      </c>
      <c r="C159" s="373"/>
      <c r="D159" s="374" t="e">
        <f>E152/(#REF!*B159)</f>
        <v>#REF!</v>
      </c>
      <c r="E159" s="553" t="e">
        <f>D159*(1+C154)</f>
        <v>#REF!</v>
      </c>
      <c r="F159" s="536"/>
      <c r="G159" s="474"/>
      <c r="R159" s="521"/>
      <c r="S159" s="149"/>
      <c r="T159" s="149"/>
    </row>
    <row r="160" spans="1:20" ht="13.5" thickBot="1" x14ac:dyDescent="0.25">
      <c r="A160" s="375"/>
      <c r="B160" s="107">
        <v>0.85</v>
      </c>
      <c r="C160" s="108"/>
      <c r="D160" s="89" t="e">
        <f>E152/(#REF!*B160)</f>
        <v>#REF!</v>
      </c>
      <c r="E160" s="521" t="e">
        <f>D160*(1+C154)</f>
        <v>#REF!</v>
      </c>
      <c r="F160" s="539" t="e">
        <f>F158/B160</f>
        <v>#REF!</v>
      </c>
      <c r="G160" s="474"/>
      <c r="R160" s="514"/>
      <c r="S160" s="149"/>
      <c r="T160" s="325"/>
    </row>
    <row r="161" spans="1:7" x14ac:dyDescent="0.2">
      <c r="A161" s="431"/>
      <c r="B161" s="432">
        <v>0.8</v>
      </c>
      <c r="C161" s="433"/>
      <c r="D161" s="379" t="e">
        <f>E152/(#REF!*B161)</f>
        <v>#REF!</v>
      </c>
      <c r="E161" s="477" t="e">
        <f>D161*(1+C154)</f>
        <v>#REF!</v>
      </c>
      <c r="F161" s="540"/>
      <c r="G161" s="474"/>
    </row>
  </sheetData>
  <mergeCells count="14">
    <mergeCell ref="H32:N33"/>
    <mergeCell ref="O43:O44"/>
    <mergeCell ref="H62:N63"/>
    <mergeCell ref="O87:O88"/>
    <mergeCell ref="A125:E125"/>
    <mergeCell ref="H93:N94"/>
    <mergeCell ref="A50:E51"/>
    <mergeCell ref="F50:F51"/>
    <mergeCell ref="R1:V1"/>
    <mergeCell ref="S3:T3"/>
    <mergeCell ref="A6:E7"/>
    <mergeCell ref="F6:F7"/>
    <mergeCell ref="H1:N2"/>
    <mergeCell ref="O1:O2"/>
  </mergeCells>
  <pageMargins left="0.25" right="0.25" top="0.75" bottom="0.75" header="0.3" footer="0.3"/>
  <pageSetup scale="86" orientation="portrait" r:id="rId1"/>
  <rowBreaks count="1" manualBreakCount="1">
    <brk id="49" min="7" max="17" man="1"/>
  </rowBreaks>
  <ignoredErrors>
    <ignoredError sqref="M5:M12 M36:M44 M51:M54 M66:M86 M97:M116 M19:M25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39"/>
  <sheetViews>
    <sheetView topLeftCell="A44" zoomScale="80" zoomScaleNormal="80" workbookViewId="0">
      <selection activeCell="R23" sqref="R23"/>
    </sheetView>
  </sheetViews>
  <sheetFormatPr defaultColWidth="9.140625" defaultRowHeight="12.75" x14ac:dyDescent="0.2"/>
  <cols>
    <col min="1" max="1" width="9.140625" style="142"/>
    <col min="2" max="2" width="31.85546875" style="142" customWidth="1"/>
    <col min="3" max="3" width="7" style="142" bestFit="1" customWidth="1"/>
    <col min="4" max="4" width="12.85546875" style="142" customWidth="1"/>
    <col min="5" max="5" width="10.85546875" style="142" customWidth="1"/>
    <col min="6" max="6" width="13.140625" style="142" bestFit="1" customWidth="1"/>
    <col min="7" max="7" width="13.140625" style="142" customWidth="1"/>
    <col min="8" max="8" width="9.140625" style="142"/>
    <col min="9" max="9" width="31.85546875" style="142" bestFit="1" customWidth="1"/>
    <col min="10" max="10" width="13.140625" style="142" customWidth="1"/>
    <col min="11" max="11" width="13.42578125" style="142" customWidth="1"/>
    <col min="12" max="12" width="10.7109375" style="142" customWidth="1"/>
    <col min="13" max="13" width="11" style="142" customWidth="1"/>
    <col min="14" max="14" width="10.28515625" style="142" customWidth="1"/>
    <col min="15" max="15" width="2.7109375" style="142" customWidth="1"/>
    <col min="16" max="16" width="13.140625" style="142" customWidth="1"/>
    <col min="17" max="17" width="4.7109375" style="142" customWidth="1"/>
    <col min="18" max="18" width="14.85546875" style="142" customWidth="1"/>
    <col min="19" max="16384" width="9.140625" style="142"/>
  </cols>
  <sheetData>
    <row r="1" spans="2:14" ht="13.5" thickBot="1" x14ac:dyDescent="0.25">
      <c r="B1" s="581"/>
      <c r="C1" s="582"/>
      <c r="D1" s="582"/>
      <c r="E1" s="582"/>
      <c r="F1" s="582"/>
      <c r="G1" s="783" t="s">
        <v>119</v>
      </c>
      <c r="I1" s="759" t="s">
        <v>2</v>
      </c>
      <c r="J1" s="759"/>
      <c r="K1" s="759"/>
      <c r="L1" s="759"/>
    </row>
    <row r="2" spans="2:14" ht="13.5" thickBot="1" x14ac:dyDescent="0.25">
      <c r="B2" s="798" t="s">
        <v>203</v>
      </c>
      <c r="C2" s="799"/>
      <c r="D2" s="799"/>
      <c r="E2" s="799"/>
      <c r="F2" s="799"/>
      <c r="G2" s="784"/>
    </row>
    <row r="3" spans="2:14" ht="13.15" x14ac:dyDescent="0.25">
      <c r="B3" s="143" t="s">
        <v>204</v>
      </c>
      <c r="C3" s="6">
        <f>J$30</f>
        <v>30</v>
      </c>
      <c r="D3" s="144"/>
      <c r="E3" s="144" t="s">
        <v>205</v>
      </c>
      <c r="F3" s="300">
        <f>C3*365</f>
        <v>10950</v>
      </c>
      <c r="G3" s="583"/>
      <c r="I3" s="13" t="s">
        <v>6</v>
      </c>
      <c r="J3" s="760" t="s">
        <v>7</v>
      </c>
      <c r="K3" s="816"/>
      <c r="L3" s="14"/>
      <c r="M3" s="102"/>
      <c r="N3" s="102"/>
    </row>
    <row r="4" spans="2:14" ht="13.15" x14ac:dyDescent="0.25">
      <c r="B4" s="152"/>
      <c r="C4" s="153"/>
      <c r="D4" s="154" t="s">
        <v>10</v>
      </c>
      <c r="E4" s="154" t="s">
        <v>11</v>
      </c>
      <c r="F4" s="154" t="s">
        <v>12</v>
      </c>
      <c r="G4" s="584"/>
      <c r="I4" s="17"/>
      <c r="J4" s="4" t="s">
        <v>8</v>
      </c>
      <c r="K4" s="570" t="s">
        <v>9</v>
      </c>
      <c r="L4" s="151"/>
      <c r="M4" s="102"/>
      <c r="N4" s="102"/>
    </row>
    <row r="5" spans="2:14" ht="13.15" x14ac:dyDescent="0.25">
      <c r="B5" s="28" t="s">
        <v>14</v>
      </c>
      <c r="C5" s="147"/>
      <c r="D5" s="156">
        <f>J14</f>
        <v>57593.3511</v>
      </c>
      <c r="E5" s="157">
        <f>J31</f>
        <v>2</v>
      </c>
      <c r="F5" s="156">
        <f>D5*E5</f>
        <v>115186.7022</v>
      </c>
      <c r="G5" s="584"/>
      <c r="I5" s="25" t="s">
        <v>13</v>
      </c>
      <c r="J5" s="27">
        <v>15</v>
      </c>
      <c r="K5" s="571">
        <f>J5*8</f>
        <v>120</v>
      </c>
      <c r="L5" s="151"/>
      <c r="M5" s="102"/>
      <c r="N5" s="102"/>
    </row>
    <row r="6" spans="2:14" ht="12.75" customHeight="1" x14ac:dyDescent="0.25">
      <c r="B6" s="17" t="s">
        <v>16</v>
      </c>
      <c r="C6" s="147"/>
      <c r="D6" s="156"/>
      <c r="E6" s="157"/>
      <c r="F6" s="156"/>
      <c r="G6" s="584"/>
      <c r="I6" s="25" t="s">
        <v>15</v>
      </c>
      <c r="J6" s="27">
        <v>8</v>
      </c>
      <c r="K6" s="571">
        <f>J6*8</f>
        <v>64</v>
      </c>
      <c r="L6" s="151"/>
      <c r="M6" s="102"/>
      <c r="N6" s="102"/>
    </row>
    <row r="7" spans="2:14" ht="13.15" x14ac:dyDescent="0.25">
      <c r="B7" s="25" t="s">
        <v>124</v>
      </c>
      <c r="C7" s="147"/>
      <c r="D7" s="161">
        <f>J16</f>
        <v>220355.75739476658</v>
      </c>
      <c r="E7" s="157">
        <f>J33</f>
        <v>0.1</v>
      </c>
      <c r="F7" s="156">
        <f>D7*E7</f>
        <v>22035.575739476659</v>
      </c>
      <c r="G7" s="584"/>
      <c r="I7" s="25" t="s">
        <v>17</v>
      </c>
      <c r="J7" s="27">
        <v>10</v>
      </c>
      <c r="K7" s="571">
        <f>J7*8</f>
        <v>80</v>
      </c>
      <c r="L7" s="151"/>
      <c r="M7" s="387"/>
      <c r="N7" s="102"/>
    </row>
    <row r="8" spans="2:14" ht="13.15" x14ac:dyDescent="0.25">
      <c r="B8" s="25" t="s">
        <v>125</v>
      </c>
      <c r="C8" s="147"/>
      <c r="D8" s="161">
        <f>J18</f>
        <v>67965.496845399903</v>
      </c>
      <c r="E8" s="157">
        <f>J35</f>
        <v>0.5</v>
      </c>
      <c r="F8" s="156">
        <f>D8*E8</f>
        <v>33982.748422699951</v>
      </c>
      <c r="G8" s="584"/>
      <c r="I8" s="32" t="s">
        <v>19</v>
      </c>
      <c r="J8" s="34">
        <v>7</v>
      </c>
      <c r="K8" s="416">
        <f>J8*8</f>
        <v>56</v>
      </c>
      <c r="L8" s="159"/>
      <c r="M8" s="387"/>
      <c r="N8" s="102"/>
    </row>
    <row r="9" spans="2:14" ht="13.15" x14ac:dyDescent="0.25">
      <c r="B9" s="25" t="s">
        <v>31</v>
      </c>
      <c r="C9" s="147"/>
      <c r="D9" s="161">
        <f>J19</f>
        <v>60923.199999999997</v>
      </c>
      <c r="E9" s="157">
        <f>J36</f>
        <v>1</v>
      </c>
      <c r="F9" s="156">
        <f>D9*E9</f>
        <v>60923.199999999997</v>
      </c>
      <c r="G9" s="584"/>
      <c r="I9" s="25"/>
      <c r="J9" s="36" t="s">
        <v>21</v>
      </c>
      <c r="K9" s="571">
        <f>SUM(K5:K8)</f>
        <v>320</v>
      </c>
      <c r="L9" s="160"/>
      <c r="M9" s="387"/>
      <c r="N9" s="102"/>
    </row>
    <row r="10" spans="2:14" ht="13.9" thickBot="1" x14ac:dyDescent="0.3">
      <c r="B10" s="17" t="s">
        <v>20</v>
      </c>
      <c r="C10" s="147"/>
      <c r="D10" s="161"/>
      <c r="E10" s="157"/>
      <c r="F10" s="156"/>
      <c r="G10" s="584"/>
      <c r="I10" s="38"/>
      <c r="J10" s="39" t="s">
        <v>23</v>
      </c>
      <c r="K10" s="572">
        <f>K9/(52*40)</f>
        <v>0.15384615384615385</v>
      </c>
      <c r="L10" s="41">
        <v>7.4999999999999997E-2</v>
      </c>
      <c r="M10" s="205"/>
    </row>
    <row r="11" spans="2:14" ht="13.9" thickBot="1" x14ac:dyDescent="0.3">
      <c r="B11" s="25" t="s">
        <v>34</v>
      </c>
      <c r="C11" s="147"/>
      <c r="D11" s="161">
        <f>J21</f>
        <v>32198.400000000001</v>
      </c>
      <c r="E11" s="157">
        <f>J38</f>
        <v>1</v>
      </c>
      <c r="F11" s="156">
        <f>D11*E11</f>
        <v>32198.400000000001</v>
      </c>
      <c r="G11" s="584"/>
      <c r="J11" s="205"/>
      <c r="K11" s="205"/>
      <c r="L11" s="205"/>
      <c r="M11" s="205"/>
    </row>
    <row r="12" spans="2:14" ht="14.45" customHeight="1" x14ac:dyDescent="0.25">
      <c r="B12" s="25" t="s">
        <v>24</v>
      </c>
      <c r="C12" s="147"/>
      <c r="D12" s="161">
        <f>J22</f>
        <v>52665.599999999999</v>
      </c>
      <c r="E12" s="157">
        <f>J39</f>
        <v>4</v>
      </c>
      <c r="F12" s="156">
        <f>D12*E12</f>
        <v>210662.39999999999</v>
      </c>
      <c r="G12" s="584"/>
      <c r="I12" s="817" t="s">
        <v>112</v>
      </c>
      <c r="J12" s="760"/>
      <c r="K12" s="816"/>
      <c r="L12" s="400"/>
      <c r="M12" s="401"/>
    </row>
    <row r="13" spans="2:14" ht="13.15" x14ac:dyDescent="0.25">
      <c r="B13" s="25" t="s">
        <v>25</v>
      </c>
      <c r="C13" s="147"/>
      <c r="D13" s="156">
        <f>J23</f>
        <v>32198.400000000001</v>
      </c>
      <c r="E13" s="157">
        <f>J40</f>
        <v>6.5</v>
      </c>
      <c r="F13" s="156">
        <f>D13*E13</f>
        <v>209289.60000000001</v>
      </c>
      <c r="G13" s="584"/>
      <c r="I13" s="150"/>
      <c r="J13" s="418" t="s">
        <v>206</v>
      </c>
      <c r="K13" s="464"/>
      <c r="L13" s="4" t="s">
        <v>207</v>
      </c>
      <c r="M13" s="402"/>
    </row>
    <row r="14" spans="2:14" ht="28.9" customHeight="1" x14ac:dyDescent="0.25">
      <c r="B14" s="47" t="s">
        <v>27</v>
      </c>
      <c r="C14" s="147"/>
      <c r="D14" s="156">
        <f>J24</f>
        <v>32198.400000000001</v>
      </c>
      <c r="E14" s="157">
        <f>J41</f>
        <v>1</v>
      </c>
      <c r="F14" s="156">
        <f>D14*E14</f>
        <v>32198.400000000001</v>
      </c>
      <c r="G14" s="584"/>
      <c r="I14" s="17" t="s">
        <v>14</v>
      </c>
      <c r="J14" s="161">
        <f>L14</f>
        <v>57593.3511</v>
      </c>
      <c r="K14" s="402"/>
      <c r="L14" s="161">
        <f>'[3]Group Home (rebased)'!P13</f>
        <v>57593.3511</v>
      </c>
      <c r="M14" s="488"/>
    </row>
    <row r="15" spans="2:14" ht="13.15" x14ac:dyDescent="0.25">
      <c r="B15" s="17" t="s">
        <v>28</v>
      </c>
      <c r="C15" s="147"/>
      <c r="D15" s="156"/>
      <c r="E15" s="157"/>
      <c r="F15" s="156"/>
      <c r="G15" s="584"/>
      <c r="I15" s="17" t="s">
        <v>16</v>
      </c>
      <c r="J15" s="161"/>
      <c r="K15" s="402"/>
      <c r="L15" s="161"/>
      <c r="M15" s="488"/>
    </row>
    <row r="16" spans="2:14" ht="13.15" x14ac:dyDescent="0.25">
      <c r="B16" s="25" t="s">
        <v>175</v>
      </c>
      <c r="C16" s="147"/>
      <c r="D16" s="156">
        <f>J26</f>
        <v>32198.400000000001</v>
      </c>
      <c r="E16" s="157">
        <f>J43</f>
        <v>0.5</v>
      </c>
      <c r="F16" s="156">
        <f>D16*E16</f>
        <v>16099.2</v>
      </c>
      <c r="G16" s="584"/>
      <c r="I16" s="348" t="s">
        <v>124</v>
      </c>
      <c r="J16" s="161">
        <f>'[3]Master Data '!D16</f>
        <v>220355.75739476658</v>
      </c>
      <c r="K16" s="402"/>
      <c r="L16" s="161">
        <f>[3]IRTP!X15*(5.39%+1)*(2.04%+1)</f>
        <v>215211.77749404719</v>
      </c>
      <c r="M16" s="585"/>
    </row>
    <row r="17" spans="2:14" ht="13.15" x14ac:dyDescent="0.25">
      <c r="B17" s="167" t="s">
        <v>30</v>
      </c>
      <c r="C17" s="168"/>
      <c r="D17" s="168"/>
      <c r="E17" s="169">
        <f>SUM(E5:E16)</f>
        <v>16.600000000000001</v>
      </c>
      <c r="F17" s="309">
        <f>SUM(F5:F16)</f>
        <v>732576.22636217659</v>
      </c>
      <c r="G17" s="584"/>
      <c r="I17" s="348" t="s">
        <v>18</v>
      </c>
      <c r="J17" s="161"/>
      <c r="K17" s="402"/>
      <c r="L17" s="161">
        <f>'[3]Group Home (rebased)'!P16</f>
        <v>86861</v>
      </c>
      <c r="M17" s="585"/>
    </row>
    <row r="18" spans="2:14" ht="13.15" x14ac:dyDescent="0.25">
      <c r="B18" s="143" t="s">
        <v>32</v>
      </c>
      <c r="C18" s="147"/>
      <c r="D18" s="147"/>
      <c r="E18" s="144" t="s">
        <v>33</v>
      </c>
      <c r="F18" s="147"/>
      <c r="G18" s="584"/>
      <c r="I18" s="348" t="s">
        <v>125</v>
      </c>
      <c r="J18" s="161">
        <f>'[3]Master Data '!D29</f>
        <v>67965.496845399903</v>
      </c>
      <c r="K18" s="402"/>
      <c r="L18" s="161">
        <f>J18</f>
        <v>67965.496845399903</v>
      </c>
      <c r="M18" s="585"/>
    </row>
    <row r="19" spans="2:14" ht="13.15" x14ac:dyDescent="0.25">
      <c r="B19" s="150" t="s">
        <v>35</v>
      </c>
      <c r="C19" s="147"/>
      <c r="D19" s="171">
        <f>$K$46</f>
        <v>0.22309999999999999</v>
      </c>
      <c r="E19" s="147"/>
      <c r="F19" s="156">
        <f>D19*F17</f>
        <v>163437.75610140158</v>
      </c>
      <c r="G19" s="584"/>
      <c r="I19" s="348" t="s">
        <v>31</v>
      </c>
      <c r="J19" s="161">
        <f>'Salary Bench Chart'!C14</f>
        <v>60923.199999999997</v>
      </c>
      <c r="K19" s="402"/>
      <c r="L19" s="161">
        <f>'[3]Teen Parent (rebased)'!M16</f>
        <v>60923</v>
      </c>
      <c r="M19" s="585"/>
    </row>
    <row r="20" spans="2:14" ht="13.15" x14ac:dyDescent="0.25">
      <c r="B20" s="167" t="s">
        <v>36</v>
      </c>
      <c r="C20" s="168"/>
      <c r="D20" s="168"/>
      <c r="E20" s="172">
        <f>F20/F3</f>
        <v>81.827760955577915</v>
      </c>
      <c r="F20" s="309">
        <f>F19+F17</f>
        <v>896013.98246357823</v>
      </c>
      <c r="G20" s="586"/>
      <c r="I20" s="346" t="s">
        <v>20</v>
      </c>
      <c r="J20" s="161"/>
      <c r="K20" s="402"/>
      <c r="L20" s="161"/>
      <c r="M20" s="585"/>
    </row>
    <row r="21" spans="2:14" ht="13.15" x14ac:dyDescent="0.25">
      <c r="B21" s="150" t="s">
        <v>208</v>
      </c>
      <c r="C21" s="147"/>
      <c r="D21" s="156">
        <f>K48</f>
        <v>1078</v>
      </c>
      <c r="E21" s="147"/>
      <c r="F21" s="156">
        <f>D21*C3</f>
        <v>32340</v>
      </c>
      <c r="G21" s="586"/>
      <c r="I21" s="348" t="s">
        <v>34</v>
      </c>
      <c r="J21" s="161">
        <f>'Salary Bench Chart'!C4</f>
        <v>32198.400000000001</v>
      </c>
      <c r="K21" s="402"/>
      <c r="L21" s="156"/>
      <c r="M21" s="587"/>
    </row>
    <row r="22" spans="2:14" ht="13.15" x14ac:dyDescent="0.25">
      <c r="B22" s="150" t="str">
        <f>'[3]Master Data '!B128</f>
        <v>PFMLA Trust Contribution</v>
      </c>
      <c r="C22" s="588">
        <f>K47</f>
        <v>3.7000000000000002E-3</v>
      </c>
      <c r="D22" s="147"/>
      <c r="E22" s="147"/>
      <c r="F22" s="174">
        <f>C22*F17</f>
        <v>2710.5320375400534</v>
      </c>
      <c r="G22" s="584"/>
      <c r="I22" s="348" t="s">
        <v>24</v>
      </c>
      <c r="J22" s="161">
        <f>'Salary Bench Chart'!C12</f>
        <v>52665.599999999999</v>
      </c>
      <c r="K22" s="402"/>
      <c r="L22" s="161">
        <f>'[3]Teen Parent (rebased)'!M19</f>
        <v>83325</v>
      </c>
      <c r="M22" s="587"/>
    </row>
    <row r="23" spans="2:14" ht="13.15" x14ac:dyDescent="0.25">
      <c r="B23" s="150" t="s">
        <v>38</v>
      </c>
      <c r="C23" s="147"/>
      <c r="D23" s="147"/>
      <c r="E23" s="174">
        <f>$J$50</f>
        <v>4.2942366000000005</v>
      </c>
      <c r="F23" s="311">
        <f>E23*F3</f>
        <v>47021.890770000005</v>
      </c>
      <c r="G23" s="586"/>
      <c r="I23" s="348" t="s">
        <v>25</v>
      </c>
      <c r="J23" s="161">
        <f>'Salary Bench Chart'!C4</f>
        <v>32198.400000000001</v>
      </c>
      <c r="K23" s="402"/>
      <c r="L23" s="156">
        <f>J23</f>
        <v>32198.400000000001</v>
      </c>
      <c r="M23" s="587"/>
    </row>
    <row r="24" spans="2:14" ht="13.15" x14ac:dyDescent="0.25">
      <c r="B24" s="150" t="s">
        <v>39</v>
      </c>
      <c r="C24" s="147"/>
      <c r="D24" s="147"/>
      <c r="E24" s="174">
        <f>$J$51</f>
        <v>5.1311335001954408</v>
      </c>
      <c r="F24" s="311">
        <f>E24*F3</f>
        <v>56185.911827140073</v>
      </c>
      <c r="G24" s="586"/>
      <c r="I24" s="362" t="s">
        <v>27</v>
      </c>
      <c r="J24" s="161">
        <f>'Salary Bench Chart'!C4</f>
        <v>32198.400000000001</v>
      </c>
      <c r="K24" s="402"/>
      <c r="L24" s="156">
        <f>L23</f>
        <v>32198.400000000001</v>
      </c>
      <c r="M24" s="587"/>
    </row>
    <row r="25" spans="2:14" ht="13.15" x14ac:dyDescent="0.25">
      <c r="B25" s="150" t="s">
        <v>173</v>
      </c>
      <c r="C25" s="147"/>
      <c r="D25" s="147"/>
      <c r="E25" s="174">
        <f>$J$52</f>
        <v>0.62373174479999993</v>
      </c>
      <c r="F25" s="311">
        <f>E25*F3</f>
        <v>6829.8626055599989</v>
      </c>
      <c r="G25" s="586"/>
      <c r="I25" s="346" t="s">
        <v>28</v>
      </c>
      <c r="J25" s="161"/>
      <c r="K25" s="402"/>
      <c r="L25" s="156"/>
      <c r="M25" s="587"/>
    </row>
    <row r="26" spans="2:14" ht="13.15" x14ac:dyDescent="0.25">
      <c r="B26" s="150"/>
      <c r="C26" s="147"/>
      <c r="D26" s="147"/>
      <c r="E26" s="176">
        <f>SUM(E23:E25)</f>
        <v>10.049101844995441</v>
      </c>
      <c r="F26" s="147"/>
      <c r="G26" s="584"/>
      <c r="I26" s="348" t="s">
        <v>29</v>
      </c>
      <c r="J26" s="161">
        <f>'Salary Bench Chart'!C4</f>
        <v>32198.400000000001</v>
      </c>
      <c r="K26" s="402"/>
      <c r="L26" s="156">
        <f>L23</f>
        <v>32198.400000000001</v>
      </c>
      <c r="M26" s="587"/>
    </row>
    <row r="27" spans="2:14" ht="13.15" x14ac:dyDescent="0.25">
      <c r="B27" s="150"/>
      <c r="C27" s="147"/>
      <c r="D27" s="147"/>
      <c r="E27" s="147"/>
      <c r="F27" s="147"/>
      <c r="G27" s="584"/>
      <c r="I27" s="348"/>
      <c r="J27" s="149"/>
      <c r="K27" s="488"/>
      <c r="L27" s="156"/>
      <c r="M27" s="148"/>
    </row>
    <row r="28" spans="2:14" ht="14.45" customHeight="1" x14ac:dyDescent="0.25">
      <c r="B28" s="167" t="s">
        <v>40</v>
      </c>
      <c r="C28" s="168"/>
      <c r="D28" s="168"/>
      <c r="E28" s="168"/>
      <c r="F28" s="309">
        <f>SUM(F20:F25)</f>
        <v>1041102.1797038184</v>
      </c>
      <c r="G28" s="586"/>
      <c r="I28" s="818" t="s">
        <v>41</v>
      </c>
      <c r="J28" s="819"/>
      <c r="K28" s="820"/>
      <c r="L28" s="177"/>
      <c r="M28" s="148"/>
      <c r="N28" s="304"/>
    </row>
    <row r="29" spans="2:14" ht="13.15" x14ac:dyDescent="0.25">
      <c r="B29" s="150" t="s">
        <v>47</v>
      </c>
      <c r="C29" s="147"/>
      <c r="D29" s="171">
        <f>$K$56</f>
        <v>0.11849999999999999</v>
      </c>
      <c r="E29" s="147"/>
      <c r="F29" s="156">
        <f>D29*F28</f>
        <v>123370.60829490247</v>
      </c>
      <c r="G29" s="586"/>
      <c r="I29" s="190" t="s">
        <v>42</v>
      </c>
      <c r="J29" s="414" t="s">
        <v>209</v>
      </c>
      <c r="K29" s="415"/>
      <c r="L29" s="178" t="s">
        <v>235</v>
      </c>
      <c r="M29" s="179" t="s">
        <v>237</v>
      </c>
    </row>
    <row r="30" spans="2:14" ht="13.9" thickBot="1" x14ac:dyDescent="0.3">
      <c r="B30" s="182" t="s">
        <v>49</v>
      </c>
      <c r="C30" s="183"/>
      <c r="D30" s="183"/>
      <c r="E30" s="183"/>
      <c r="F30" s="315">
        <f>SUM(F28:F29)</f>
        <v>1164472.7879987208</v>
      </c>
      <c r="G30" s="586"/>
      <c r="I30" s="190" t="s">
        <v>48</v>
      </c>
      <c r="J30" s="34">
        <f>'[9]Rate Options'!$I$31</f>
        <v>30</v>
      </c>
      <c r="K30" s="416"/>
      <c r="L30" s="180">
        <v>12</v>
      </c>
      <c r="M30" s="181">
        <v>12</v>
      </c>
    </row>
    <row r="31" spans="2:14" ht="13.9" thickTop="1" x14ac:dyDescent="0.25">
      <c r="B31" s="150"/>
      <c r="C31" s="147"/>
      <c r="D31" s="147"/>
      <c r="E31" s="147"/>
      <c r="F31" s="147"/>
      <c r="G31" s="584"/>
      <c r="I31" s="346" t="s">
        <v>14</v>
      </c>
      <c r="J31" s="87">
        <f>'[9]Rate Options'!I32</f>
        <v>2</v>
      </c>
      <c r="K31" s="186"/>
      <c r="L31" s="562">
        <f>'[9]Rate Options'!K32</f>
        <v>1.75</v>
      </c>
      <c r="M31" s="589">
        <f>'[9]Rate Options'!L32</f>
        <v>1.75</v>
      </c>
    </row>
    <row r="32" spans="2:14" ht="13.15" x14ac:dyDescent="0.25">
      <c r="B32" s="150" t="str">
        <f>I58</f>
        <v>CAF (Rate review FY21)</v>
      </c>
      <c r="C32" s="147"/>
      <c r="D32" s="171">
        <f>K58</f>
        <v>1.78E-2</v>
      </c>
      <c r="E32" s="147"/>
      <c r="F32" s="316">
        <f>(F30*D32)-(F17*D32)+F30</f>
        <v>1172160.5467958513</v>
      </c>
      <c r="G32" s="584"/>
      <c r="I32" s="346" t="s">
        <v>16</v>
      </c>
      <c r="J32" s="87"/>
      <c r="K32" s="186"/>
      <c r="L32" s="590"/>
      <c r="M32" s="589"/>
    </row>
    <row r="33" spans="2:15" ht="13.15" x14ac:dyDescent="0.25">
      <c r="B33" s="150"/>
      <c r="C33" s="147"/>
      <c r="D33" s="147"/>
      <c r="E33" s="147"/>
      <c r="F33" s="318" t="s">
        <v>119</v>
      </c>
      <c r="G33" s="584"/>
      <c r="I33" s="348" t="s">
        <v>124</v>
      </c>
      <c r="J33" s="87">
        <f>'[9]Rate Options'!$I34</f>
        <v>0.1</v>
      </c>
      <c r="K33" s="186"/>
      <c r="L33" s="562">
        <f>'[9]Rate Options'!K34</f>
        <v>0.1</v>
      </c>
      <c r="M33" s="589"/>
    </row>
    <row r="34" spans="2:15" ht="13.9" thickBot="1" x14ac:dyDescent="0.3">
      <c r="B34" s="150" t="s">
        <v>133</v>
      </c>
      <c r="C34" s="147"/>
      <c r="D34" s="147"/>
      <c r="E34" s="188"/>
      <c r="F34" s="188">
        <f>F32/F3</f>
        <v>107.04662527815994</v>
      </c>
      <c r="G34" s="584"/>
      <c r="I34" s="348" t="s">
        <v>18</v>
      </c>
      <c r="J34" s="87"/>
      <c r="K34" s="186"/>
      <c r="L34" s="562">
        <f>'[9]Rate Options'!K35</f>
        <v>0.25</v>
      </c>
      <c r="M34" s="589">
        <v>0.4</v>
      </c>
    </row>
    <row r="35" spans="2:15" ht="13.9" thickBot="1" x14ac:dyDescent="0.3">
      <c r="B35" s="76" t="s">
        <v>50</v>
      </c>
      <c r="C35" s="77">
        <v>0.9</v>
      </c>
      <c r="D35" s="78"/>
      <c r="E35" s="79"/>
      <c r="F35" s="79"/>
      <c r="G35" s="196"/>
      <c r="I35" s="348" t="s">
        <v>125</v>
      </c>
      <c r="J35" s="87">
        <f>'[9]Rate Options'!$I36</f>
        <v>0.5</v>
      </c>
      <c r="K35" s="186"/>
      <c r="L35" s="562">
        <f>'[9]Rate Options'!K36</f>
        <v>0.5</v>
      </c>
      <c r="M35" s="589"/>
    </row>
    <row r="36" spans="2:15" ht="13.9" thickBot="1" x14ac:dyDescent="0.3">
      <c r="B36" s="199"/>
      <c r="C36" s="200"/>
      <c r="D36" s="201"/>
      <c r="E36" s="79"/>
      <c r="F36" s="79"/>
      <c r="G36" s="203">
        <f>F34/C35</f>
        <v>118.94069475351104</v>
      </c>
      <c r="I36" s="348" t="s">
        <v>31</v>
      </c>
      <c r="J36" s="87">
        <f>'[9]Rate Options'!$I37</f>
        <v>1</v>
      </c>
      <c r="K36" s="186"/>
      <c r="L36" s="562">
        <f>'[9]Rate Options'!K37</f>
        <v>1</v>
      </c>
      <c r="M36" s="589">
        <f>'[9]Rate Options'!L37</f>
        <v>0.5</v>
      </c>
    </row>
    <row r="37" spans="2:15" ht="13.9" thickBot="1" x14ac:dyDescent="0.3">
      <c r="B37" s="149"/>
      <c r="C37" s="204"/>
      <c r="D37" s="149"/>
      <c r="E37" s="89"/>
      <c r="F37" s="89"/>
      <c r="G37" s="202"/>
      <c r="I37" s="346" t="s">
        <v>20</v>
      </c>
      <c r="J37" s="87"/>
      <c r="K37" s="186"/>
      <c r="L37" s="590"/>
      <c r="M37" s="589"/>
    </row>
    <row r="38" spans="2:15" x14ac:dyDescent="0.2">
      <c r="B38" s="581"/>
      <c r="C38" s="582"/>
      <c r="D38" s="582"/>
      <c r="E38" s="582"/>
      <c r="F38" s="582"/>
      <c r="G38" s="783" t="s">
        <v>210</v>
      </c>
      <c r="I38" s="348" t="s">
        <v>34</v>
      </c>
      <c r="J38" s="87">
        <f>'[9]Rate Options'!$I39</f>
        <v>1</v>
      </c>
      <c r="K38" s="186"/>
      <c r="L38" s="185"/>
      <c r="M38" s="186"/>
      <c r="N38" s="205"/>
      <c r="O38" s="205"/>
    </row>
    <row r="39" spans="2:15" ht="13.5" thickBot="1" x14ac:dyDescent="0.25">
      <c r="B39" s="798" t="s">
        <v>211</v>
      </c>
      <c r="C39" s="799"/>
      <c r="D39" s="799"/>
      <c r="E39" s="799"/>
      <c r="F39" s="799"/>
      <c r="G39" s="784"/>
      <c r="I39" s="348" t="s">
        <v>24</v>
      </c>
      <c r="J39" s="87">
        <f>'[9]Rate Options'!$I40</f>
        <v>4</v>
      </c>
      <c r="K39" s="186"/>
      <c r="L39" s="185">
        <f>'[9]Rate Options'!K40</f>
        <v>0.5</v>
      </c>
      <c r="M39" s="186">
        <f>'[9]Rate Options'!L40</f>
        <v>1</v>
      </c>
      <c r="N39" s="205"/>
      <c r="O39" s="205"/>
    </row>
    <row r="40" spans="2:15" ht="13.15" x14ac:dyDescent="0.25">
      <c r="B40" s="143" t="s">
        <v>4</v>
      </c>
      <c r="C40" s="6">
        <f>L$30</f>
        <v>12</v>
      </c>
      <c r="D40" s="144"/>
      <c r="E40" s="144" t="s">
        <v>5</v>
      </c>
      <c r="F40" s="300">
        <f>C40*365</f>
        <v>4380</v>
      </c>
      <c r="G40" s="583"/>
      <c r="I40" s="348" t="s">
        <v>25</v>
      </c>
      <c r="J40" s="87">
        <f>'[9]Rate Options'!$I41</f>
        <v>6.5</v>
      </c>
      <c r="K40" s="186"/>
      <c r="L40" s="185">
        <v>16.399999999999999</v>
      </c>
      <c r="M40" s="186">
        <v>13</v>
      </c>
      <c r="N40" s="205"/>
      <c r="O40" s="205"/>
    </row>
    <row r="41" spans="2:15" ht="13.15" x14ac:dyDescent="0.25">
      <c r="B41" s="150"/>
      <c r="C41" s="147"/>
      <c r="D41" s="147"/>
      <c r="E41" s="147"/>
      <c r="F41" s="147"/>
      <c r="G41" s="584"/>
      <c r="I41" s="362" t="s">
        <v>27</v>
      </c>
      <c r="J41" s="87">
        <f>J40*K10</f>
        <v>1</v>
      </c>
      <c r="K41" s="88"/>
      <c r="L41" s="87">
        <f>L40*K10</f>
        <v>2.523076923076923</v>
      </c>
      <c r="M41" s="88">
        <f>M40*K10</f>
        <v>2</v>
      </c>
      <c r="N41" s="304"/>
    </row>
    <row r="42" spans="2:15" ht="13.15" x14ac:dyDescent="0.25">
      <c r="B42" s="152"/>
      <c r="C42" s="153"/>
      <c r="D42" s="154" t="s">
        <v>10</v>
      </c>
      <c r="E42" s="154" t="s">
        <v>11</v>
      </c>
      <c r="F42" s="154" t="s">
        <v>12</v>
      </c>
      <c r="G42" s="584"/>
      <c r="I42" s="346" t="s">
        <v>28</v>
      </c>
      <c r="J42" s="87"/>
      <c r="K42" s="186"/>
      <c r="L42" s="590"/>
      <c r="M42" s="589"/>
    </row>
    <row r="43" spans="2:15" ht="13.15" x14ac:dyDescent="0.25">
      <c r="B43" s="28" t="s">
        <v>14</v>
      </c>
      <c r="C43" s="147"/>
      <c r="D43" s="156">
        <f>J14</f>
        <v>57593.3511</v>
      </c>
      <c r="E43" s="157">
        <f>L31</f>
        <v>1.75</v>
      </c>
      <c r="F43" s="156">
        <f>D43*E43</f>
        <v>100788.36442500001</v>
      </c>
      <c r="G43" s="584"/>
      <c r="I43" s="348" t="s">
        <v>29</v>
      </c>
      <c r="J43" s="87">
        <f>'[9]Rate Options'!I44</f>
        <v>0.5</v>
      </c>
      <c r="K43" s="186"/>
      <c r="L43" s="562">
        <f>'[9]Rate Options'!K44</f>
        <v>0.25</v>
      </c>
      <c r="M43" s="589">
        <f>'[9]Rate Options'!L44</f>
        <v>0.25</v>
      </c>
    </row>
    <row r="44" spans="2:15" ht="13.15" x14ac:dyDescent="0.25">
      <c r="B44" s="17" t="s">
        <v>16</v>
      </c>
      <c r="C44" s="147"/>
      <c r="D44" s="156"/>
      <c r="E44" s="157"/>
      <c r="F44" s="156"/>
      <c r="G44" s="584"/>
      <c r="I44" s="190"/>
      <c r="J44" s="149"/>
      <c r="K44" s="402"/>
      <c r="L44" s="147"/>
      <c r="M44" s="148"/>
    </row>
    <row r="45" spans="2:15" ht="15" customHeight="1" x14ac:dyDescent="0.25">
      <c r="B45" s="25" t="s">
        <v>124</v>
      </c>
      <c r="C45" s="147"/>
      <c r="D45" s="161">
        <f>J16</f>
        <v>220355.75739476658</v>
      </c>
      <c r="E45" s="166">
        <f>L33</f>
        <v>0.1</v>
      </c>
      <c r="F45" s="156">
        <f>D45*E45</f>
        <v>22035.575739476659</v>
      </c>
      <c r="G45" s="584"/>
      <c r="I45" s="821" t="s">
        <v>236</v>
      </c>
      <c r="J45" s="822"/>
      <c r="K45" s="823"/>
      <c r="L45" s="177"/>
      <c r="M45" s="148"/>
    </row>
    <row r="46" spans="2:15" ht="13.15" x14ac:dyDescent="0.25">
      <c r="B46" s="25" t="s">
        <v>18</v>
      </c>
      <c r="C46" s="147"/>
      <c r="D46" s="161">
        <f>L17</f>
        <v>86861</v>
      </c>
      <c r="E46" s="166">
        <f>L34</f>
        <v>0.25</v>
      </c>
      <c r="F46" s="156">
        <f>D46*E46</f>
        <v>21715.25</v>
      </c>
      <c r="G46" s="584"/>
      <c r="I46" s="150" t="s">
        <v>35</v>
      </c>
      <c r="J46" s="147"/>
      <c r="K46" s="635">
        <f>'Salary Bench Chart'!C30</f>
        <v>0.22309999999999999</v>
      </c>
      <c r="L46" s="209"/>
      <c r="M46" s="148"/>
    </row>
    <row r="47" spans="2:15" ht="13.15" x14ac:dyDescent="0.25">
      <c r="B47" s="25" t="s">
        <v>125</v>
      </c>
      <c r="C47" s="147"/>
      <c r="D47" s="161">
        <f>J18</f>
        <v>67965.496845399903</v>
      </c>
      <c r="E47" s="166">
        <f>L35</f>
        <v>0.5</v>
      </c>
      <c r="F47" s="156">
        <f>D47*E47</f>
        <v>33982.748422699951</v>
      </c>
      <c r="G47" s="584"/>
      <c r="I47" s="150" t="s">
        <v>120</v>
      </c>
      <c r="J47" s="147"/>
      <c r="K47" s="733">
        <f>'Salary Bench Chart'!C32</f>
        <v>3.7000000000000002E-3</v>
      </c>
      <c r="L47" s="147"/>
      <c r="M47" s="148"/>
    </row>
    <row r="48" spans="2:15" ht="13.15" x14ac:dyDescent="0.25">
      <c r="B48" s="25" t="s">
        <v>31</v>
      </c>
      <c r="C48" s="147"/>
      <c r="D48" s="161">
        <f>J19</f>
        <v>60923.199999999997</v>
      </c>
      <c r="E48" s="166">
        <f>L36</f>
        <v>1</v>
      </c>
      <c r="F48" s="156">
        <f>D48*E48</f>
        <v>60923.199999999997</v>
      </c>
      <c r="G48" s="584"/>
      <c r="I48" s="150" t="s">
        <v>208</v>
      </c>
      <c r="J48" s="147"/>
      <c r="K48" s="277">
        <v>1078</v>
      </c>
      <c r="L48" s="174"/>
      <c r="M48" s="148"/>
    </row>
    <row r="49" spans="2:13" ht="13.15" x14ac:dyDescent="0.25">
      <c r="B49" s="17" t="s">
        <v>20</v>
      </c>
      <c r="C49" s="147"/>
      <c r="D49" s="161"/>
      <c r="E49" s="166"/>
      <c r="F49" s="156"/>
      <c r="G49" s="584"/>
      <c r="I49" s="150"/>
      <c r="J49" s="147"/>
      <c r="K49" s="402"/>
      <c r="L49" s="147"/>
      <c r="M49" s="148"/>
    </row>
    <row r="50" spans="2:13" ht="13.15" x14ac:dyDescent="0.25">
      <c r="B50" s="25" t="s">
        <v>24</v>
      </c>
      <c r="C50" s="147"/>
      <c r="D50" s="161">
        <f>J22</f>
        <v>52665.599999999999</v>
      </c>
      <c r="E50" s="166">
        <f>L39</f>
        <v>0.5</v>
      </c>
      <c r="F50" s="156">
        <f>D50*E50</f>
        <v>26332.799999999999</v>
      </c>
      <c r="G50" s="584"/>
      <c r="I50" s="150" t="s">
        <v>38</v>
      </c>
      <c r="J50" s="211">
        <f>'[3]Master Data '!F95</f>
        <v>4.2942366000000005</v>
      </c>
      <c r="K50" s="402"/>
      <c r="L50" s="211">
        <f>'[3]Master Data '!F96</f>
        <v>23.007033</v>
      </c>
      <c r="M50" s="148"/>
    </row>
    <row r="51" spans="2:13" ht="13.15" x14ac:dyDescent="0.25">
      <c r="B51" s="25" t="s">
        <v>25</v>
      </c>
      <c r="C51" s="147"/>
      <c r="D51" s="161">
        <f>L23</f>
        <v>32198.400000000001</v>
      </c>
      <c r="E51" s="166">
        <f>L40</f>
        <v>16.399999999999999</v>
      </c>
      <c r="F51" s="156">
        <f>D51*E51</f>
        <v>528053.76000000001</v>
      </c>
      <c r="G51" s="584"/>
      <c r="I51" s="150" t="s">
        <v>39</v>
      </c>
      <c r="J51" s="211">
        <f>'[3]Master Data '!F104</f>
        <v>5.1311335001954408</v>
      </c>
      <c r="K51" s="402"/>
      <c r="L51" s="211">
        <v>17.649999999999999</v>
      </c>
      <c r="M51" s="148"/>
    </row>
    <row r="52" spans="2:13" ht="13.15" x14ac:dyDescent="0.25">
      <c r="B52" s="47" t="s">
        <v>27</v>
      </c>
      <c r="C52" s="147"/>
      <c r="D52" s="161">
        <f>L24</f>
        <v>32198.400000000001</v>
      </c>
      <c r="E52" s="166">
        <f>L41</f>
        <v>2.523076923076923</v>
      </c>
      <c r="F52" s="156">
        <f>D52*E52</f>
        <v>81239.040000000008</v>
      </c>
      <c r="G52" s="584"/>
      <c r="I52" s="150" t="s">
        <v>173</v>
      </c>
      <c r="J52" s="211">
        <f>0.58*(5.39%+1)*(2.04%+1)</f>
        <v>0.62373174479999993</v>
      </c>
      <c r="K52" s="402"/>
      <c r="L52" s="211"/>
      <c r="M52" s="148"/>
    </row>
    <row r="53" spans="2:13" ht="13.15" x14ac:dyDescent="0.25">
      <c r="B53" s="17" t="s">
        <v>28</v>
      </c>
      <c r="C53" s="147"/>
      <c r="D53" s="161"/>
      <c r="E53" s="166"/>
      <c r="F53" s="156"/>
      <c r="G53" s="584"/>
      <c r="I53" s="150" t="s">
        <v>174</v>
      </c>
      <c r="J53" s="147"/>
      <c r="K53" s="402"/>
      <c r="L53" s="211">
        <f>'[3]Group Home'!Q52</f>
        <v>-1.9951315068493152</v>
      </c>
      <c r="M53" s="593"/>
    </row>
    <row r="54" spans="2:13" ht="13.15" x14ac:dyDescent="0.25">
      <c r="B54" s="25" t="s">
        <v>29</v>
      </c>
      <c r="C54" s="147"/>
      <c r="D54" s="156">
        <f>L26</f>
        <v>32198.400000000001</v>
      </c>
      <c r="E54" s="157">
        <f>L43</f>
        <v>0.25</v>
      </c>
      <c r="F54" s="156">
        <f>D54*E54</f>
        <v>8049.6</v>
      </c>
      <c r="G54" s="584"/>
      <c r="I54" s="212" t="s">
        <v>40</v>
      </c>
      <c r="J54" s="176">
        <f>SUM(J50:J53)</f>
        <v>10.049101844995441</v>
      </c>
      <c r="K54" s="638"/>
      <c r="L54" s="176">
        <f>SUM(L50:L53)</f>
        <v>38.66190149315068</v>
      </c>
      <c r="M54" s="146"/>
    </row>
    <row r="55" spans="2:13" ht="13.15" x14ac:dyDescent="0.25">
      <c r="B55" s="167" t="s">
        <v>30</v>
      </c>
      <c r="C55" s="168"/>
      <c r="D55" s="168"/>
      <c r="E55" s="169">
        <f>SUM(E43:E54)</f>
        <v>23.273076923076921</v>
      </c>
      <c r="F55" s="309">
        <f>SUM(F43:F54)</f>
        <v>883120.33858717664</v>
      </c>
      <c r="G55" s="584"/>
      <c r="I55" s="150"/>
      <c r="J55" s="147"/>
      <c r="K55" s="490"/>
      <c r="L55" s="174"/>
      <c r="M55" s="148"/>
    </row>
    <row r="56" spans="2:13" ht="13.15" x14ac:dyDescent="0.25">
      <c r="B56" s="150"/>
      <c r="C56" s="147"/>
      <c r="D56" s="147"/>
      <c r="E56" s="147"/>
      <c r="F56" s="147"/>
      <c r="G56" s="584"/>
      <c r="I56" s="150" t="s">
        <v>47</v>
      </c>
      <c r="J56" s="147"/>
      <c r="K56" s="635">
        <f>'[3]Group Home'!Q55</f>
        <v>0.11849999999999999</v>
      </c>
      <c r="L56" s="209"/>
      <c r="M56" s="148"/>
    </row>
    <row r="57" spans="2:13" ht="13.15" x14ac:dyDescent="0.25">
      <c r="B57" s="143" t="s">
        <v>32</v>
      </c>
      <c r="C57" s="147"/>
      <c r="D57" s="147"/>
      <c r="E57" s="144" t="s">
        <v>33</v>
      </c>
      <c r="F57" s="147"/>
      <c r="G57" s="584"/>
      <c r="I57" s="150"/>
      <c r="J57" s="147"/>
      <c r="K57" s="402"/>
      <c r="L57" s="147"/>
      <c r="M57" s="148"/>
    </row>
    <row r="58" spans="2:13" ht="13.9" thickBot="1" x14ac:dyDescent="0.3">
      <c r="B58" s="150" t="s">
        <v>35</v>
      </c>
      <c r="C58" s="147"/>
      <c r="D58" s="171">
        <f>$K$46</f>
        <v>0.22309999999999999</v>
      </c>
      <c r="E58" s="147"/>
      <c r="F58" s="156">
        <f>D58*F55</f>
        <v>197024.14753879909</v>
      </c>
      <c r="G58" s="586"/>
      <c r="I58" s="215" t="str">
        <f>'[3]Master Data '!B126</f>
        <v>CAF (Rate review FY21)</v>
      </c>
      <c r="J58" s="216"/>
      <c r="K58" s="734">
        <f>'Salary Bench Chart'!C31</f>
        <v>1.78E-2</v>
      </c>
      <c r="L58" s="217"/>
      <c r="M58" s="219"/>
    </row>
    <row r="59" spans="2:13" ht="13.15" x14ac:dyDescent="0.25">
      <c r="B59" s="167" t="s">
        <v>36</v>
      </c>
      <c r="C59" s="168"/>
      <c r="D59" s="168"/>
      <c r="E59" s="172">
        <f>F59/F40</f>
        <v>246.6083301657479</v>
      </c>
      <c r="F59" s="309">
        <f>F58+F55</f>
        <v>1080144.4861259758</v>
      </c>
      <c r="G59" s="584"/>
      <c r="I59" s="102"/>
      <c r="J59" s="220"/>
    </row>
    <row r="60" spans="2:13" ht="13.15" x14ac:dyDescent="0.25">
      <c r="B60" s="150" t="str">
        <f>'[3]Master Data '!B128</f>
        <v>PFMLA Trust Contribution</v>
      </c>
      <c r="C60" s="588">
        <f>K47</f>
        <v>3.7000000000000002E-3</v>
      </c>
      <c r="D60" s="147"/>
      <c r="E60" s="147"/>
      <c r="F60" s="174">
        <f>F55*C60</f>
        <v>3267.5452527725538</v>
      </c>
      <c r="G60" s="586"/>
      <c r="I60" s="102"/>
    </row>
    <row r="61" spans="2:13" ht="13.15" x14ac:dyDescent="0.25">
      <c r="B61" s="150" t="s">
        <v>38</v>
      </c>
      <c r="C61" s="147"/>
      <c r="D61" s="147"/>
      <c r="E61" s="174">
        <v>22.81</v>
      </c>
      <c r="F61" s="311">
        <f>E61*F40</f>
        <v>99907.799999999988</v>
      </c>
      <c r="G61" s="586"/>
    </row>
    <row r="62" spans="2:13" ht="13.15" x14ac:dyDescent="0.25">
      <c r="B62" s="150" t="s">
        <v>39</v>
      </c>
      <c r="C62" s="147"/>
      <c r="D62" s="147"/>
      <c r="E62" s="174">
        <v>17.649999999999999</v>
      </c>
      <c r="F62" s="311">
        <f>E62*F40</f>
        <v>77307</v>
      </c>
      <c r="G62" s="586"/>
      <c r="I62" s="102"/>
    </row>
    <row r="63" spans="2:13" ht="13.15" x14ac:dyDescent="0.25">
      <c r="B63" s="150" t="s">
        <v>174</v>
      </c>
      <c r="C63" s="147"/>
      <c r="D63" s="147"/>
      <c r="E63" s="174">
        <f>$L$53</f>
        <v>-1.9951315068493152</v>
      </c>
      <c r="F63" s="311">
        <f>E63*F40</f>
        <v>-8738.6760000000013</v>
      </c>
      <c r="G63" s="584"/>
    </row>
    <row r="64" spans="2:13" ht="13.15" x14ac:dyDescent="0.25">
      <c r="B64" s="150"/>
      <c r="C64" s="147"/>
      <c r="D64" s="147"/>
      <c r="E64" s="176">
        <f>SUM(E61:E63)</f>
        <v>38.464868493150675</v>
      </c>
      <c r="F64" s="147"/>
      <c r="G64" s="584"/>
      <c r="I64" s="221"/>
    </row>
    <row r="65" spans="2:19" ht="13.15" x14ac:dyDescent="0.25">
      <c r="B65" s="150"/>
      <c r="C65" s="147"/>
      <c r="D65" s="147"/>
      <c r="E65" s="147"/>
      <c r="F65" s="147"/>
      <c r="G65" s="586"/>
    </row>
    <row r="66" spans="2:19" ht="13.15" x14ac:dyDescent="0.25">
      <c r="B66" s="167" t="s">
        <v>40</v>
      </c>
      <c r="C66" s="168"/>
      <c r="D66" s="168"/>
      <c r="E66" s="168"/>
      <c r="F66" s="309">
        <f>SUM(F59:F63)</f>
        <v>1251888.1553787484</v>
      </c>
      <c r="G66" s="584"/>
    </row>
    <row r="67" spans="2:19" ht="13.15" x14ac:dyDescent="0.25">
      <c r="B67" s="150"/>
      <c r="C67" s="147"/>
      <c r="D67" s="147"/>
      <c r="E67" s="147"/>
      <c r="F67" s="147"/>
      <c r="G67" s="586"/>
      <c r="I67" s="102"/>
    </row>
    <row r="68" spans="2:19" ht="13.15" x14ac:dyDescent="0.25">
      <c r="B68" s="150" t="s">
        <v>47</v>
      </c>
      <c r="C68" s="147"/>
      <c r="D68" s="171">
        <f>$K$56</f>
        <v>0.11849999999999999</v>
      </c>
      <c r="E68" s="147"/>
      <c r="F68" s="156">
        <f>D68*F66</f>
        <v>148348.74641238168</v>
      </c>
      <c r="G68" s="584"/>
      <c r="I68" s="359"/>
    </row>
    <row r="69" spans="2:19" ht="13.15" x14ac:dyDescent="0.25">
      <c r="B69" s="150"/>
      <c r="C69" s="147"/>
      <c r="D69" s="147"/>
      <c r="E69" s="147"/>
      <c r="F69" s="147"/>
      <c r="G69" s="586"/>
      <c r="I69" s="515"/>
    </row>
    <row r="70" spans="2:19" ht="13.9" thickBot="1" x14ac:dyDescent="0.3">
      <c r="B70" s="182" t="s">
        <v>49</v>
      </c>
      <c r="C70" s="183"/>
      <c r="D70" s="183"/>
      <c r="E70" s="183"/>
      <c r="F70" s="315">
        <f>SUM(F66:F68)</f>
        <v>1400236.9017911302</v>
      </c>
      <c r="G70" s="584"/>
      <c r="I70" s="102"/>
    </row>
    <row r="71" spans="2:19" ht="13.9" thickTop="1" x14ac:dyDescent="0.25">
      <c r="B71" s="150"/>
      <c r="C71" s="147"/>
      <c r="D71" s="147"/>
      <c r="E71" s="147"/>
      <c r="F71" s="147"/>
      <c r="G71" s="584"/>
      <c r="I71" s="102"/>
    </row>
    <row r="72" spans="2:19" ht="13.15" x14ac:dyDescent="0.25">
      <c r="B72" s="150" t="s">
        <v>132</v>
      </c>
      <c r="C72" s="147"/>
      <c r="D72" s="171">
        <f>K58</f>
        <v>1.78E-2</v>
      </c>
      <c r="E72" s="147"/>
      <c r="F72" s="316">
        <f>(F70*D72)-(F55*D72)+F70</f>
        <v>1409441.5766161606</v>
      </c>
      <c r="G72" s="584"/>
    </row>
    <row r="73" spans="2:19" ht="13.15" x14ac:dyDescent="0.25">
      <c r="B73" s="150"/>
      <c r="C73" s="147"/>
      <c r="D73" s="147"/>
      <c r="E73" s="147"/>
      <c r="F73" s="147"/>
      <c r="G73" s="584"/>
      <c r="I73" s="595"/>
    </row>
    <row r="74" spans="2:19" ht="13.15" x14ac:dyDescent="0.25">
      <c r="B74" s="150"/>
      <c r="C74" s="147"/>
      <c r="D74" s="147"/>
      <c r="E74" s="147"/>
      <c r="F74" s="318" t="s">
        <v>119</v>
      </c>
      <c r="G74" s="584"/>
    </row>
    <row r="75" spans="2:19" x14ac:dyDescent="0.2">
      <c r="B75" s="150"/>
      <c r="C75" s="147"/>
      <c r="D75" s="147"/>
      <c r="E75" s="188"/>
      <c r="F75" s="188">
        <f>F72/F40</f>
        <v>321.79031429592709</v>
      </c>
      <c r="G75" s="584"/>
      <c r="I75" s="595"/>
    </row>
    <row r="76" spans="2:19" ht="13.5" thickBot="1" x14ac:dyDescent="0.25">
      <c r="B76" s="190"/>
      <c r="C76" s="149"/>
      <c r="D76" s="191"/>
      <c r="E76" s="192"/>
      <c r="F76" s="192"/>
      <c r="G76" s="565">
        <f>F75*(1+D76)</f>
        <v>321.79031429592709</v>
      </c>
      <c r="I76" s="719"/>
      <c r="J76" s="719"/>
      <c r="K76" s="719"/>
      <c r="L76" s="719"/>
      <c r="M76" s="719"/>
      <c r="N76" s="719"/>
      <c r="O76" s="719"/>
      <c r="P76" s="719"/>
      <c r="Q76" s="719"/>
      <c r="R76" s="719"/>
      <c r="S76" s="719"/>
    </row>
    <row r="77" spans="2:19" ht="13.5" thickBot="1" x14ac:dyDescent="0.25">
      <c r="B77" s="564" t="s">
        <v>50</v>
      </c>
      <c r="C77" s="479">
        <v>0.9</v>
      </c>
      <c r="D77" s="480"/>
      <c r="E77" s="284"/>
      <c r="F77" s="284"/>
      <c r="G77" s="196"/>
      <c r="I77" s="728" t="s">
        <v>212</v>
      </c>
      <c r="J77" s="719"/>
      <c r="K77" s="719"/>
      <c r="L77" s="719"/>
      <c r="M77" s="719"/>
      <c r="N77" s="719"/>
      <c r="O77" s="719"/>
      <c r="P77" s="719"/>
      <c r="Q77" s="719"/>
      <c r="R77" s="719"/>
      <c r="S77" s="719"/>
    </row>
    <row r="78" spans="2:19" ht="13.5" thickBot="1" x14ac:dyDescent="0.25">
      <c r="B78" s="199"/>
      <c r="C78" s="200"/>
      <c r="D78" s="201"/>
      <c r="E78" s="79"/>
      <c r="F78" s="79"/>
      <c r="G78" s="203">
        <f>G76/C77</f>
        <v>357.54479366214122</v>
      </c>
      <c r="I78" s="719"/>
      <c r="J78" s="719"/>
      <c r="K78" s="719"/>
      <c r="L78" s="719"/>
      <c r="M78" s="719"/>
      <c r="N78" s="719"/>
      <c r="O78" s="719"/>
      <c r="P78" s="719"/>
      <c r="Q78" s="719"/>
      <c r="R78" s="719"/>
      <c r="S78" s="719"/>
    </row>
    <row r="79" spans="2:19" x14ac:dyDescent="0.2">
      <c r="B79" s="149"/>
      <c r="C79" s="204"/>
      <c r="D79" s="149"/>
      <c r="E79" s="89"/>
      <c r="F79" s="89"/>
      <c r="G79" s="202"/>
      <c r="I79" s="729" t="s">
        <v>213</v>
      </c>
      <c r="J79" s="730" t="s">
        <v>214</v>
      </c>
      <c r="K79" s="730" t="s">
        <v>215</v>
      </c>
      <c r="L79" s="730" t="s">
        <v>216</v>
      </c>
      <c r="M79" s="730" t="s">
        <v>217</v>
      </c>
      <c r="N79" s="730" t="s">
        <v>218</v>
      </c>
      <c r="O79" s="730"/>
      <c r="P79" s="730" t="s">
        <v>219</v>
      </c>
      <c r="Q79" s="730"/>
      <c r="R79" s="731" t="s">
        <v>220</v>
      </c>
      <c r="S79" s="719"/>
    </row>
    <row r="80" spans="2:19" x14ac:dyDescent="0.2">
      <c r="B80" s="149"/>
      <c r="C80" s="149"/>
      <c r="D80" s="149"/>
      <c r="E80" s="596"/>
      <c r="F80" s="202"/>
      <c r="G80" s="202"/>
      <c r="I80" s="732" t="s">
        <v>221</v>
      </c>
      <c r="J80" s="721">
        <v>1</v>
      </c>
      <c r="K80" s="721">
        <v>12</v>
      </c>
      <c r="L80" s="721"/>
      <c r="M80" s="721"/>
      <c r="N80" s="721"/>
      <c r="O80" s="721"/>
      <c r="P80" s="721">
        <v>30</v>
      </c>
      <c r="Q80" s="721"/>
      <c r="R80" s="721">
        <f>P80</f>
        <v>30</v>
      </c>
      <c r="S80" s="724"/>
    </row>
    <row r="81" spans="2:19" x14ac:dyDescent="0.2">
      <c r="B81" s="149"/>
      <c r="C81" s="149"/>
      <c r="D81" s="149"/>
      <c r="E81" s="596"/>
      <c r="F81" s="202"/>
      <c r="G81" s="197"/>
      <c r="I81" s="732" t="s">
        <v>222</v>
      </c>
      <c r="J81" s="722">
        <v>100</v>
      </c>
      <c r="K81" s="722">
        <f>F77</f>
        <v>0</v>
      </c>
      <c r="L81" s="722">
        <f>F121</f>
        <v>0</v>
      </c>
      <c r="M81" s="722">
        <f>'[3]Group Home'!E130</f>
        <v>186.61920723986356</v>
      </c>
      <c r="N81" s="722">
        <f>'[3]Group Home'!E167</f>
        <v>101.56425989410288</v>
      </c>
      <c r="O81" s="723"/>
      <c r="P81" s="722">
        <f>F35</f>
        <v>0</v>
      </c>
      <c r="Q81" s="723"/>
      <c r="R81" s="723"/>
      <c r="S81" s="724"/>
    </row>
    <row r="82" spans="2:19" x14ac:dyDescent="0.2">
      <c r="B82" s="147"/>
      <c r="C82" s="147"/>
      <c r="D82" s="147"/>
      <c r="E82" s="597"/>
      <c r="F82" s="174"/>
      <c r="G82" s="174"/>
      <c r="I82" s="732" t="s">
        <v>223</v>
      </c>
      <c r="J82" s="723">
        <f>J81*J80</f>
        <v>100</v>
      </c>
      <c r="K82" s="723">
        <f>K80*K81</f>
        <v>0</v>
      </c>
      <c r="L82" s="723">
        <f>L80*L81</f>
        <v>0</v>
      </c>
      <c r="M82" s="723">
        <f>M80*M81</f>
        <v>0</v>
      </c>
      <c r="N82" s="723">
        <f>N80*N81</f>
        <v>0</v>
      </c>
      <c r="O82" s="723"/>
      <c r="P82" s="723">
        <f>P81*P80</f>
        <v>0</v>
      </c>
      <c r="Q82" s="723"/>
      <c r="R82" s="723">
        <f>SUM(J82:P82)</f>
        <v>100</v>
      </c>
      <c r="S82" s="724"/>
    </row>
    <row r="83" spans="2:19" ht="13.5" thickBot="1" x14ac:dyDescent="0.25">
      <c r="I83" s="724"/>
      <c r="J83" s="721"/>
      <c r="K83" s="721"/>
      <c r="L83" s="721"/>
      <c r="M83" s="721"/>
      <c r="N83" s="721"/>
      <c r="O83" s="721"/>
      <c r="P83" s="724"/>
      <c r="Q83" s="724"/>
      <c r="R83" s="724"/>
      <c r="S83" s="724"/>
    </row>
    <row r="84" spans="2:19" x14ac:dyDescent="0.2">
      <c r="B84" s="581"/>
      <c r="C84" s="582"/>
      <c r="D84" s="582"/>
      <c r="E84" s="582"/>
      <c r="F84" s="582"/>
      <c r="G84" s="783" t="s">
        <v>210</v>
      </c>
      <c r="I84" s="724"/>
      <c r="J84" s="721"/>
      <c r="K84" s="721"/>
      <c r="L84" s="721"/>
      <c r="M84" s="724"/>
      <c r="N84" s="721"/>
      <c r="O84" s="724"/>
      <c r="P84" s="725" t="s">
        <v>224</v>
      </c>
      <c r="Q84" s="724"/>
      <c r="R84" s="723">
        <f>R82/R80</f>
        <v>3.3333333333333335</v>
      </c>
      <c r="S84" s="724"/>
    </row>
    <row r="85" spans="2:19" ht="13.5" thickBot="1" x14ac:dyDescent="0.25">
      <c r="B85" s="798" t="s">
        <v>234</v>
      </c>
      <c r="C85" s="799"/>
      <c r="D85" s="799"/>
      <c r="E85" s="799"/>
      <c r="F85" s="799"/>
      <c r="G85" s="784"/>
      <c r="I85" s="724"/>
      <c r="J85" s="721"/>
      <c r="K85" s="721"/>
      <c r="L85" s="721"/>
      <c r="M85" s="724"/>
      <c r="N85" s="721"/>
      <c r="O85" s="724"/>
      <c r="P85" s="725" t="s">
        <v>225</v>
      </c>
      <c r="Q85" s="724"/>
      <c r="R85" s="723">
        <f>R82*365</f>
        <v>36500</v>
      </c>
      <c r="S85" s="724"/>
    </row>
    <row r="86" spans="2:19" x14ac:dyDescent="0.2">
      <c r="B86" s="143" t="s">
        <v>4</v>
      </c>
      <c r="C86" s="6">
        <f>M$30</f>
        <v>12</v>
      </c>
      <c r="D86" s="144"/>
      <c r="E86" s="144" t="s">
        <v>5</v>
      </c>
      <c r="F86" s="300">
        <f>C86*365</f>
        <v>4380</v>
      </c>
      <c r="G86" s="583"/>
      <c r="I86" s="724"/>
      <c r="J86" s="721"/>
      <c r="K86" s="721"/>
      <c r="L86" s="721"/>
      <c r="M86" s="724"/>
      <c r="N86" s="721"/>
      <c r="O86" s="724"/>
      <c r="P86" s="725" t="s">
        <v>226</v>
      </c>
      <c r="Q86" s="724"/>
      <c r="R86" s="723">
        <f>R84*365</f>
        <v>1216.6666666666667</v>
      </c>
      <c r="S86" s="724"/>
    </row>
    <row r="87" spans="2:19" x14ac:dyDescent="0.2">
      <c r="B87" s="150"/>
      <c r="C87" s="147"/>
      <c r="D87" s="147"/>
      <c r="E87" s="147"/>
      <c r="F87" s="147"/>
      <c r="G87" s="584"/>
      <c r="I87" s="724"/>
      <c r="J87" s="724"/>
      <c r="K87" s="724"/>
      <c r="L87" s="724"/>
      <c r="M87" s="724"/>
      <c r="N87" s="724"/>
      <c r="O87" s="724"/>
      <c r="P87" s="724"/>
      <c r="Q87" s="724"/>
      <c r="R87" s="724"/>
      <c r="S87" s="724"/>
    </row>
    <row r="88" spans="2:19" x14ac:dyDescent="0.2">
      <c r="B88" s="152"/>
      <c r="C88" s="153"/>
      <c r="D88" s="154" t="s">
        <v>10</v>
      </c>
      <c r="E88" s="154" t="s">
        <v>11</v>
      </c>
      <c r="F88" s="154" t="s">
        <v>12</v>
      </c>
      <c r="G88" s="584"/>
      <c r="I88" s="724"/>
      <c r="J88" s="724"/>
      <c r="K88" s="724"/>
      <c r="L88" s="724"/>
      <c r="M88" s="724"/>
      <c r="N88" s="724"/>
      <c r="O88" s="724"/>
      <c r="P88" s="724"/>
      <c r="Q88" s="724"/>
      <c r="R88" s="724"/>
      <c r="S88" s="724"/>
    </row>
    <row r="89" spans="2:19" x14ac:dyDescent="0.2">
      <c r="B89" s="28" t="s">
        <v>14</v>
      </c>
      <c r="C89" s="147"/>
      <c r="D89" s="156">
        <f>L14</f>
        <v>57593.3511</v>
      </c>
      <c r="E89" s="157">
        <f>M31</f>
        <v>1.75</v>
      </c>
      <c r="F89" s="156">
        <f>D89*E89</f>
        <v>100788.36442500001</v>
      </c>
      <c r="G89" s="584"/>
      <c r="I89" s="724"/>
      <c r="J89" s="724"/>
      <c r="K89" s="724"/>
      <c r="L89" s="724"/>
      <c r="M89" s="724"/>
      <c r="N89" s="724"/>
      <c r="O89" s="724"/>
      <c r="P89" s="724"/>
      <c r="Q89" s="724"/>
      <c r="R89" s="724"/>
      <c r="S89" s="724"/>
    </row>
    <row r="90" spans="2:19" x14ac:dyDescent="0.2">
      <c r="B90" s="17" t="s">
        <v>16</v>
      </c>
      <c r="C90" s="147"/>
      <c r="D90" s="156"/>
      <c r="E90" s="157"/>
      <c r="F90" s="156"/>
      <c r="G90" s="584"/>
      <c r="I90" s="724"/>
      <c r="J90" s="724"/>
      <c r="K90" s="724"/>
      <c r="L90" s="724"/>
      <c r="M90" s="724"/>
      <c r="N90" s="724"/>
      <c r="O90" s="724"/>
      <c r="P90" s="726" t="s">
        <v>227</v>
      </c>
      <c r="Q90" s="724"/>
      <c r="R90" s="726" t="s">
        <v>228</v>
      </c>
      <c r="S90" s="724"/>
    </row>
    <row r="91" spans="2:19" x14ac:dyDescent="0.2">
      <c r="B91" s="25" t="s">
        <v>18</v>
      </c>
      <c r="C91" s="147"/>
      <c r="D91" s="156">
        <f>L17</f>
        <v>86861</v>
      </c>
      <c r="E91" s="157">
        <f>M34</f>
        <v>0.4</v>
      </c>
      <c r="F91" s="156">
        <f>D91*E91</f>
        <v>34744.400000000001</v>
      </c>
      <c r="G91" s="584"/>
      <c r="I91" s="724"/>
      <c r="J91" s="724" t="s">
        <v>229</v>
      </c>
      <c r="K91" s="724"/>
      <c r="L91" s="724"/>
      <c r="M91" s="724"/>
      <c r="N91" s="724"/>
      <c r="O91" s="724"/>
      <c r="P91" s="727">
        <v>208.59</v>
      </c>
      <c r="Q91" s="724"/>
      <c r="R91" s="727">
        <v>231.39</v>
      </c>
      <c r="S91" s="724"/>
    </row>
    <row r="92" spans="2:19" x14ac:dyDescent="0.2">
      <c r="B92" s="25" t="s">
        <v>31</v>
      </c>
      <c r="C92" s="147"/>
      <c r="D92" s="161">
        <f>L19</f>
        <v>60923</v>
      </c>
      <c r="E92" s="157">
        <f>M36</f>
        <v>0.5</v>
      </c>
      <c r="F92" s="156">
        <f>D92*E92</f>
        <v>30461.5</v>
      </c>
      <c r="G92" s="584"/>
      <c r="I92" s="724"/>
      <c r="J92" s="724" t="s">
        <v>230</v>
      </c>
      <c r="K92" s="724"/>
      <c r="L92" s="724"/>
      <c r="M92" s="724"/>
      <c r="N92" s="724"/>
      <c r="O92" s="724"/>
      <c r="P92" s="727">
        <v>193.18</v>
      </c>
      <c r="Q92" s="724"/>
      <c r="R92" s="727">
        <v>214.28</v>
      </c>
      <c r="S92" s="724"/>
    </row>
    <row r="93" spans="2:19" x14ac:dyDescent="0.2">
      <c r="B93" s="17" t="s">
        <v>20</v>
      </c>
      <c r="C93" s="147"/>
      <c r="D93" s="156"/>
      <c r="E93" s="157"/>
      <c r="F93" s="156"/>
      <c r="G93" s="584"/>
      <c r="I93" s="724"/>
      <c r="J93" s="724" t="s">
        <v>231</v>
      </c>
      <c r="K93" s="724"/>
      <c r="L93" s="724"/>
      <c r="M93" s="724"/>
      <c r="N93" s="724"/>
      <c r="O93" s="724"/>
      <c r="P93" s="727">
        <v>170.23</v>
      </c>
      <c r="Q93" s="724"/>
      <c r="R93" s="727">
        <v>189.48</v>
      </c>
      <c r="S93" s="724"/>
    </row>
    <row r="94" spans="2:19" x14ac:dyDescent="0.2">
      <c r="B94" s="25" t="s">
        <v>24</v>
      </c>
      <c r="C94" s="147"/>
      <c r="D94" s="161">
        <f>J22</f>
        <v>52665.599999999999</v>
      </c>
      <c r="E94" s="157">
        <f>M39</f>
        <v>1</v>
      </c>
      <c r="F94" s="156">
        <f>D94*E94</f>
        <v>52665.599999999999</v>
      </c>
      <c r="G94" s="584"/>
      <c r="H94" s="174"/>
      <c r="I94" s="724"/>
      <c r="J94" s="724" t="s">
        <v>232</v>
      </c>
      <c r="K94" s="724"/>
      <c r="L94" s="724"/>
      <c r="M94" s="724"/>
      <c r="N94" s="724"/>
      <c r="O94" s="724"/>
      <c r="P94" s="727">
        <v>139.82</v>
      </c>
      <c r="Q94" s="724"/>
      <c r="R94" s="727">
        <v>155.69</v>
      </c>
      <c r="S94" s="724"/>
    </row>
    <row r="95" spans="2:19" x14ac:dyDescent="0.2">
      <c r="B95" s="25" t="s">
        <v>25</v>
      </c>
      <c r="C95" s="147"/>
      <c r="D95" s="156">
        <f>L23</f>
        <v>32198.400000000001</v>
      </c>
      <c r="E95" s="157">
        <f>M40</f>
        <v>13</v>
      </c>
      <c r="F95" s="156">
        <f>D95*E95</f>
        <v>418579.20000000001</v>
      </c>
      <c r="G95" s="584"/>
      <c r="H95" s="174"/>
      <c r="I95" s="724"/>
      <c r="J95" s="724"/>
      <c r="K95" s="724"/>
      <c r="L95" s="724"/>
      <c r="M95" s="724"/>
      <c r="N95" s="724"/>
      <c r="O95" s="724"/>
      <c r="P95" s="727"/>
      <c r="Q95" s="724"/>
      <c r="R95" s="727"/>
      <c r="S95" s="724"/>
    </row>
    <row r="96" spans="2:19" x14ac:dyDescent="0.2">
      <c r="B96" s="47" t="s">
        <v>27</v>
      </c>
      <c r="C96" s="147"/>
      <c r="D96" s="156">
        <f>L24</f>
        <v>32198.400000000001</v>
      </c>
      <c r="E96" s="157">
        <f>M41</f>
        <v>2</v>
      </c>
      <c r="F96" s="156">
        <f>D96*E96</f>
        <v>64396.800000000003</v>
      </c>
      <c r="G96" s="584"/>
      <c r="H96" s="174"/>
      <c r="I96" s="724"/>
      <c r="J96" s="724"/>
      <c r="K96" s="724"/>
      <c r="L96" s="724"/>
      <c r="M96" s="724"/>
      <c r="N96" s="724"/>
      <c r="O96" s="724"/>
      <c r="P96" s="727"/>
      <c r="Q96" s="724"/>
      <c r="R96" s="727"/>
      <c r="S96" s="724"/>
    </row>
    <row r="97" spans="2:19" x14ac:dyDescent="0.2">
      <c r="B97" s="17" t="s">
        <v>28</v>
      </c>
      <c r="C97" s="147"/>
      <c r="D97" s="156"/>
      <c r="E97" s="157"/>
      <c r="F97" s="156"/>
      <c r="G97" s="584"/>
      <c r="H97" s="147"/>
      <c r="I97" s="724"/>
      <c r="J97" s="724" t="s">
        <v>233</v>
      </c>
      <c r="K97" s="724"/>
      <c r="L97" s="724"/>
      <c r="M97" s="724"/>
      <c r="N97" s="724"/>
      <c r="O97" s="724"/>
      <c r="P97" s="727">
        <v>223.88</v>
      </c>
      <c r="Q97" s="724"/>
      <c r="R97" s="727">
        <v>248.53</v>
      </c>
      <c r="S97" s="724"/>
    </row>
    <row r="98" spans="2:19" ht="13.15" customHeight="1" x14ac:dyDescent="0.2">
      <c r="B98" s="25" t="s">
        <v>29</v>
      </c>
      <c r="C98" s="147"/>
      <c r="D98" s="156">
        <f>L26</f>
        <v>32198.400000000001</v>
      </c>
      <c r="E98" s="157">
        <f>M43</f>
        <v>0.25</v>
      </c>
      <c r="F98" s="156">
        <f>D98*E98</f>
        <v>8049.6</v>
      </c>
      <c r="G98" s="584"/>
      <c r="H98" s="147"/>
      <c r="I98" s="724"/>
      <c r="J98" s="724"/>
      <c r="K98" s="724"/>
      <c r="L98" s="724"/>
      <c r="M98" s="724"/>
      <c r="N98" s="724"/>
      <c r="O98" s="724"/>
      <c r="P98" s="724"/>
      <c r="Q98" s="724"/>
      <c r="R98" s="724"/>
      <c r="S98" s="724"/>
    </row>
    <row r="99" spans="2:19" x14ac:dyDescent="0.2">
      <c r="B99" s="167" t="s">
        <v>30</v>
      </c>
      <c r="C99" s="168"/>
      <c r="D99" s="168"/>
      <c r="E99" s="169">
        <f>SUM(E89:E98)</f>
        <v>18.899999999999999</v>
      </c>
      <c r="F99" s="309">
        <f>SUM(F89:F98)</f>
        <v>709685.46442500001</v>
      </c>
      <c r="G99" s="584"/>
      <c r="I99" s="719"/>
      <c r="J99" s="719"/>
      <c r="K99" s="719"/>
      <c r="L99" s="719"/>
      <c r="M99" s="719"/>
      <c r="N99" s="719"/>
      <c r="O99" s="719"/>
      <c r="P99" s="719"/>
      <c r="Q99" s="719"/>
      <c r="R99" s="719"/>
      <c r="S99" s="719"/>
    </row>
    <row r="100" spans="2:19" x14ac:dyDescent="0.2">
      <c r="B100" s="150"/>
      <c r="C100" s="147"/>
      <c r="D100" s="147"/>
      <c r="E100" s="147"/>
      <c r="F100" s="147"/>
      <c r="G100" s="584"/>
    </row>
    <row r="101" spans="2:19" x14ac:dyDescent="0.2">
      <c r="B101" s="143" t="s">
        <v>32</v>
      </c>
      <c r="C101" s="147"/>
      <c r="D101" s="147"/>
      <c r="E101" s="144" t="s">
        <v>33</v>
      </c>
      <c r="F101" s="147"/>
      <c r="G101" s="586"/>
    </row>
    <row r="102" spans="2:19" x14ac:dyDescent="0.2">
      <c r="B102" s="150" t="s">
        <v>35</v>
      </c>
      <c r="C102" s="147"/>
      <c r="D102" s="171">
        <f>$K$46</f>
        <v>0.22309999999999999</v>
      </c>
      <c r="E102" s="147"/>
      <c r="F102" s="156">
        <f>D102*F99</f>
        <v>158330.8271132175</v>
      </c>
      <c r="G102" s="584"/>
    </row>
    <row r="103" spans="2:19" x14ac:dyDescent="0.2">
      <c r="B103" s="167" t="s">
        <v>36</v>
      </c>
      <c r="C103" s="168"/>
      <c r="D103" s="168"/>
      <c r="E103" s="172">
        <f>F103/F86</f>
        <v>198.17723551100858</v>
      </c>
      <c r="F103" s="309">
        <f>F102+F99</f>
        <v>868016.29153821757</v>
      </c>
      <c r="G103" s="586"/>
    </row>
    <row r="104" spans="2:19" x14ac:dyDescent="0.2">
      <c r="B104" s="150" t="str">
        <f>'[3]Master Data '!B128</f>
        <v>PFMLA Trust Contribution</v>
      </c>
      <c r="C104" s="150">
        <f>'[3]Master Data '!D128</f>
        <v>3.7000000000000002E-3</v>
      </c>
      <c r="D104" s="147"/>
      <c r="E104" s="147"/>
      <c r="F104" s="174">
        <f>F99*C104</f>
        <v>2625.8362183725003</v>
      </c>
      <c r="G104" s="586"/>
    </row>
    <row r="105" spans="2:19" x14ac:dyDescent="0.2">
      <c r="B105" s="150" t="s">
        <v>38</v>
      </c>
      <c r="C105" s="147"/>
      <c r="D105" s="147"/>
      <c r="E105" s="174">
        <v>22.811</v>
      </c>
      <c r="F105" s="311">
        <f>E105*F86</f>
        <v>99912.18</v>
      </c>
      <c r="G105" s="586"/>
    </row>
    <row r="106" spans="2:19" x14ac:dyDescent="0.2">
      <c r="B106" s="150" t="s">
        <v>39</v>
      </c>
      <c r="C106" s="147"/>
      <c r="D106" s="147"/>
      <c r="E106" s="174">
        <f>$L$51</f>
        <v>17.649999999999999</v>
      </c>
      <c r="F106" s="311">
        <f>E106*F86</f>
        <v>77307</v>
      </c>
      <c r="G106" s="584"/>
    </row>
    <row r="107" spans="2:19" x14ac:dyDescent="0.2">
      <c r="B107" s="150" t="s">
        <v>174</v>
      </c>
      <c r="C107" s="147"/>
      <c r="D107" s="147"/>
      <c r="E107" s="174">
        <f>$L$53</f>
        <v>-1.9951315068493152</v>
      </c>
      <c r="F107" s="311">
        <f>E107*F86</f>
        <v>-8738.6760000000013</v>
      </c>
      <c r="G107" s="584"/>
    </row>
    <row r="108" spans="2:19" x14ac:dyDescent="0.2">
      <c r="B108" s="150"/>
      <c r="C108" s="147"/>
      <c r="D108" s="147"/>
      <c r="E108" s="176">
        <f>SUM(E105:E107)</f>
        <v>38.46586849315068</v>
      </c>
      <c r="F108" s="147"/>
      <c r="G108" s="586"/>
    </row>
    <row r="109" spans="2:19" x14ac:dyDescent="0.2">
      <c r="B109" s="150"/>
      <c r="C109" s="147"/>
      <c r="D109" s="147"/>
      <c r="E109" s="147"/>
      <c r="F109" s="147"/>
      <c r="G109" s="584"/>
    </row>
    <row r="110" spans="2:19" x14ac:dyDescent="0.2">
      <c r="B110" s="167" t="s">
        <v>40</v>
      </c>
      <c r="C110" s="168"/>
      <c r="D110" s="168"/>
      <c r="E110" s="168"/>
      <c r="F110" s="309">
        <f>SUM(F103:F107)</f>
        <v>1039122.63175659</v>
      </c>
      <c r="G110" s="586"/>
    </row>
    <row r="111" spans="2:19" x14ac:dyDescent="0.2">
      <c r="B111" s="150"/>
      <c r="C111" s="147"/>
      <c r="D111" s="147"/>
      <c r="E111" s="147"/>
      <c r="F111" s="147"/>
      <c r="G111" s="584"/>
    </row>
    <row r="112" spans="2:19" x14ac:dyDescent="0.2">
      <c r="B112" s="150" t="s">
        <v>47</v>
      </c>
      <c r="C112" s="147"/>
      <c r="D112" s="171">
        <f>$K$56</f>
        <v>0.11849999999999999</v>
      </c>
      <c r="E112" s="147"/>
      <c r="F112" s="156">
        <f>D112*F110</f>
        <v>123136.03186315591</v>
      </c>
      <c r="G112" s="586"/>
    </row>
    <row r="113" spans="2:7" x14ac:dyDescent="0.2">
      <c r="B113" s="150"/>
      <c r="C113" s="147"/>
      <c r="D113" s="147"/>
      <c r="E113" s="147"/>
      <c r="F113" s="147"/>
      <c r="G113" s="584"/>
    </row>
    <row r="114" spans="2:7" ht="13.5" thickBot="1" x14ac:dyDescent="0.25">
      <c r="B114" s="182" t="s">
        <v>49</v>
      </c>
      <c r="C114" s="183"/>
      <c r="D114" s="183"/>
      <c r="E114" s="183"/>
      <c r="F114" s="315">
        <f>SUM(F110:F112)</f>
        <v>1162258.663619746</v>
      </c>
      <c r="G114" s="584"/>
    </row>
    <row r="115" spans="2:7" ht="13.5" thickTop="1" x14ac:dyDescent="0.2">
      <c r="B115" s="150"/>
      <c r="C115" s="147"/>
      <c r="D115" s="147"/>
      <c r="E115" s="147"/>
      <c r="F115" s="147"/>
      <c r="G115" s="584"/>
    </row>
    <row r="116" spans="2:7" x14ac:dyDescent="0.2">
      <c r="B116" s="150" t="str">
        <f>B72</f>
        <v>CAF:</v>
      </c>
      <c r="C116" s="147"/>
      <c r="D116" s="171">
        <f>D72</f>
        <v>1.78E-2</v>
      </c>
      <c r="E116" s="147"/>
      <c r="F116" s="316">
        <f>(F114*D116)-(F99*D116)+F114</f>
        <v>1170314.4665654125</v>
      </c>
      <c r="G116" s="584"/>
    </row>
    <row r="117" spans="2:7" x14ac:dyDescent="0.2">
      <c r="B117" s="150"/>
      <c r="C117" s="147"/>
      <c r="D117" s="147"/>
      <c r="E117" s="147"/>
      <c r="F117" s="147"/>
      <c r="G117" s="584"/>
    </row>
    <row r="118" spans="2:7" x14ac:dyDescent="0.2">
      <c r="B118" s="150"/>
      <c r="C118" s="147"/>
      <c r="D118" s="147"/>
      <c r="E118" s="147"/>
      <c r="F118" s="318" t="s">
        <v>119</v>
      </c>
      <c r="G118" s="584"/>
    </row>
    <row r="119" spans="2:7" x14ac:dyDescent="0.2">
      <c r="B119" s="150"/>
      <c r="C119" s="147"/>
      <c r="D119" s="147"/>
      <c r="E119" s="188"/>
      <c r="F119" s="188"/>
      <c r="G119" s="584"/>
    </row>
    <row r="120" spans="2:7" ht="13.5" thickBot="1" x14ac:dyDescent="0.25">
      <c r="B120" s="190"/>
      <c r="C120" s="149"/>
      <c r="D120" s="191"/>
      <c r="E120" s="192"/>
      <c r="F120" s="192"/>
      <c r="G120" s="565">
        <f>F116/F86</f>
        <v>267.19508369073344</v>
      </c>
    </row>
    <row r="121" spans="2:7" ht="13.5" thickBot="1" x14ac:dyDescent="0.25">
      <c r="B121" s="566" t="s">
        <v>50</v>
      </c>
      <c r="C121" s="567">
        <v>0.9</v>
      </c>
      <c r="D121" s="78"/>
      <c r="E121" s="79"/>
      <c r="F121" s="568"/>
      <c r="G121" s="569"/>
    </row>
    <row r="122" spans="2:7" ht="13.5" thickBot="1" x14ac:dyDescent="0.25">
      <c r="B122" s="199"/>
      <c r="C122" s="200"/>
      <c r="D122" s="201"/>
      <c r="E122" s="79"/>
      <c r="F122" s="79"/>
      <c r="G122" s="203">
        <f>G120/C121</f>
        <v>296.88342632303716</v>
      </c>
    </row>
    <row r="123" spans="2:7" x14ac:dyDescent="0.2">
      <c r="B123" s="149"/>
      <c r="C123" s="204"/>
      <c r="D123" s="149"/>
      <c r="E123" s="89"/>
      <c r="F123" s="89"/>
      <c r="G123" s="202"/>
    </row>
    <row r="124" spans="2:7" x14ac:dyDescent="0.2">
      <c r="B124" s="149"/>
      <c r="C124" s="149"/>
      <c r="D124" s="149"/>
      <c r="E124" s="596"/>
      <c r="F124" s="202"/>
      <c r="G124" s="202"/>
    </row>
    <row r="125" spans="2:7" x14ac:dyDescent="0.2">
      <c r="B125" s="149"/>
      <c r="C125" s="149"/>
      <c r="D125" s="149"/>
      <c r="E125" s="149"/>
      <c r="F125" s="149"/>
      <c r="G125" s="197"/>
    </row>
    <row r="136" spans="2:8" s="149" customFormat="1" x14ac:dyDescent="0.2">
      <c r="B136" s="142"/>
      <c r="C136" s="142"/>
      <c r="D136" s="142"/>
      <c r="E136" s="142"/>
      <c r="F136" s="142"/>
      <c r="G136" s="142"/>
    </row>
    <row r="137" spans="2:8" s="149" customFormat="1" x14ac:dyDescent="0.2">
      <c r="B137" s="142"/>
      <c r="C137" s="142"/>
      <c r="D137" s="142"/>
      <c r="E137" s="142"/>
      <c r="F137" s="142"/>
      <c r="G137" s="142"/>
    </row>
    <row r="138" spans="2:8" s="149" customFormat="1" x14ac:dyDescent="0.2">
      <c r="B138" s="142"/>
      <c r="C138" s="142"/>
      <c r="D138" s="142"/>
      <c r="E138" s="142"/>
      <c r="F138" s="142"/>
      <c r="G138" s="142"/>
      <c r="H138" s="202"/>
    </row>
    <row r="139" spans="2:8" s="149" customFormat="1" x14ac:dyDescent="0.2">
      <c r="B139" s="142"/>
      <c r="C139" s="142"/>
      <c r="D139" s="142"/>
      <c r="E139" s="142"/>
      <c r="F139" s="142"/>
      <c r="G139" s="142"/>
    </row>
  </sheetData>
  <mergeCells count="11">
    <mergeCell ref="G84:G85"/>
    <mergeCell ref="B85:F85"/>
    <mergeCell ref="I12:K12"/>
    <mergeCell ref="I28:K28"/>
    <mergeCell ref="I45:K45"/>
    <mergeCell ref="I1:L1"/>
    <mergeCell ref="J3:K3"/>
    <mergeCell ref="G1:G2"/>
    <mergeCell ref="B2:F2"/>
    <mergeCell ref="G38:G39"/>
    <mergeCell ref="B39:F39"/>
  </mergeCells>
  <pageMargins left="0.7" right="0.7" top="0.75" bottom="0.75" header="0.3" footer="0.3"/>
  <pageSetup fitToHeight="0" orientation="portrait" r:id="rId1"/>
  <rowBreaks count="2" manualBreakCount="2">
    <brk id="37" min="1" max="6" man="1"/>
    <brk id="83" min="1" max="6" man="1"/>
  </rowBreaks>
  <ignoredErrors>
    <ignoredError sqref="J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opLeftCell="B1" zoomScale="85" zoomScaleNormal="85" workbookViewId="0">
      <selection activeCell="M29" sqref="M29"/>
    </sheetView>
  </sheetViews>
  <sheetFormatPr defaultColWidth="9.140625" defaultRowHeight="12.75" x14ac:dyDescent="0.2"/>
  <cols>
    <col min="1" max="1" width="31.85546875" style="3" customWidth="1"/>
    <col min="2" max="2" width="7.7109375" style="3" customWidth="1"/>
    <col min="3" max="3" width="12.85546875" style="3" customWidth="1"/>
    <col min="4" max="4" width="10.85546875" style="3" customWidth="1"/>
    <col min="5" max="5" width="13.140625" style="3" bestFit="1" customWidth="1"/>
    <col min="6" max="6" width="13.140625" style="90" customWidth="1"/>
    <col min="7" max="7" width="9.140625" style="3"/>
    <col min="8" max="8" width="31.85546875" style="3" bestFit="1" customWidth="1"/>
    <col min="9" max="9" width="9.5703125" style="3" customWidth="1"/>
    <col min="10" max="10" width="12.28515625" style="3" customWidth="1"/>
    <col min="11" max="11" width="13" style="3" customWidth="1"/>
    <col min="12" max="12" width="11.7109375" style="3" bestFit="1" customWidth="1"/>
    <col min="13" max="13" width="12" style="3" bestFit="1" customWidth="1"/>
    <col min="14" max="16384" width="9.140625" style="3"/>
  </cols>
  <sheetData>
    <row r="1" spans="1:13" ht="13.9" thickBot="1" x14ac:dyDescent="0.3">
      <c r="H1" s="759" t="s">
        <v>2</v>
      </c>
      <c r="I1" s="759"/>
      <c r="J1" s="759"/>
      <c r="K1" s="759"/>
    </row>
    <row r="2" spans="1:13" ht="13.9" thickBot="1" x14ac:dyDescent="0.3"/>
    <row r="3" spans="1:13" ht="13.15" x14ac:dyDescent="0.25">
      <c r="H3" s="13" t="s">
        <v>6</v>
      </c>
      <c r="I3" s="760" t="s">
        <v>7</v>
      </c>
      <c r="J3" s="760"/>
      <c r="K3" s="14"/>
      <c r="L3" s="15"/>
      <c r="M3" s="15"/>
    </row>
    <row r="4" spans="1:13" ht="13.15" x14ac:dyDescent="0.25">
      <c r="H4" s="17"/>
      <c r="I4" s="18" t="s">
        <v>8</v>
      </c>
      <c r="J4" s="19" t="s">
        <v>9</v>
      </c>
      <c r="K4" s="20"/>
      <c r="L4" s="15"/>
      <c r="M4" s="15"/>
    </row>
    <row r="5" spans="1:13" ht="13.15" x14ac:dyDescent="0.25">
      <c r="H5" s="25" t="s">
        <v>13</v>
      </c>
      <c r="I5" s="26">
        <v>15</v>
      </c>
      <c r="J5" s="27">
        <f>I5*8</f>
        <v>120</v>
      </c>
      <c r="K5" s="20"/>
      <c r="L5" s="15"/>
      <c r="M5" s="15"/>
    </row>
    <row r="6" spans="1:13" ht="13.9" thickBot="1" x14ac:dyDescent="0.3">
      <c r="F6" s="109"/>
      <c r="H6" s="25" t="s">
        <v>15</v>
      </c>
      <c r="I6" s="26">
        <v>8</v>
      </c>
      <c r="J6" s="27">
        <f>I6*8</f>
        <v>64</v>
      </c>
      <c r="K6" s="20"/>
      <c r="L6" s="15"/>
      <c r="M6" s="15"/>
    </row>
    <row r="7" spans="1:13" ht="13.9" customHeight="1" thickBot="1" x14ac:dyDescent="0.3">
      <c r="A7" s="824" t="s">
        <v>238</v>
      </c>
      <c r="B7" s="825"/>
      <c r="C7" s="825"/>
      <c r="D7" s="825"/>
      <c r="E7" s="826"/>
      <c r="F7" s="250"/>
      <c r="H7" s="25" t="s">
        <v>17</v>
      </c>
      <c r="I7" s="26">
        <v>10</v>
      </c>
      <c r="J7" s="27">
        <f>I7*8</f>
        <v>80</v>
      </c>
      <c r="K7" s="20"/>
      <c r="L7" s="15"/>
      <c r="M7" s="15"/>
    </row>
    <row r="8" spans="1:13" ht="13.15" x14ac:dyDescent="0.25">
      <c r="A8" s="5" t="s">
        <v>204</v>
      </c>
      <c r="B8" s="6">
        <f>J$25</f>
        <v>3</v>
      </c>
      <c r="C8" s="7"/>
      <c r="D8" s="7" t="s">
        <v>205</v>
      </c>
      <c r="E8" s="8">
        <f>B8*365</f>
        <v>1095</v>
      </c>
      <c r="F8" s="12"/>
      <c r="H8" s="32" t="s">
        <v>19</v>
      </c>
      <c r="I8" s="33">
        <v>5</v>
      </c>
      <c r="J8" s="34">
        <f>I8*8</f>
        <v>40</v>
      </c>
      <c r="K8" s="35"/>
      <c r="L8" s="15"/>
      <c r="M8" s="15"/>
    </row>
    <row r="9" spans="1:13" ht="13.15" x14ac:dyDescent="0.25">
      <c r="A9" s="16"/>
      <c r="B9" s="10"/>
      <c r="C9" s="10"/>
      <c r="D9" s="10"/>
      <c r="E9" s="11"/>
      <c r="F9" s="12"/>
      <c r="H9" s="25"/>
      <c r="I9" s="36" t="s">
        <v>21</v>
      </c>
      <c r="J9" s="27">
        <f>SUM(J5:J8)</f>
        <v>304</v>
      </c>
      <c r="K9" s="37"/>
      <c r="L9" s="15"/>
      <c r="M9" s="15"/>
    </row>
    <row r="10" spans="1:13" ht="13.9" thickBot="1" x14ac:dyDescent="0.3">
      <c r="A10" s="21"/>
      <c r="B10" s="22"/>
      <c r="C10" s="23" t="s">
        <v>10</v>
      </c>
      <c r="D10" s="23" t="s">
        <v>11</v>
      </c>
      <c r="E10" s="24" t="s">
        <v>12</v>
      </c>
      <c r="F10" s="12"/>
      <c r="H10" s="38"/>
      <c r="I10" s="39" t="s">
        <v>23</v>
      </c>
      <c r="J10" s="40">
        <f>J9/(52*40)</f>
        <v>0.14615384615384616</v>
      </c>
      <c r="K10" s="41">
        <f>J10/2</f>
        <v>7.3076923076923081E-2</v>
      </c>
    </row>
    <row r="11" spans="1:13" ht="13.9" thickBot="1" x14ac:dyDescent="0.3">
      <c r="A11" s="28" t="s">
        <v>14</v>
      </c>
      <c r="B11" s="10"/>
      <c r="C11" s="29">
        <f>J$13</f>
        <v>57593.3511</v>
      </c>
      <c r="D11" s="30">
        <f>J$26</f>
        <v>0.25</v>
      </c>
      <c r="E11" s="31">
        <f>C11*D11</f>
        <v>14398.337775</v>
      </c>
      <c r="F11" s="12"/>
    </row>
    <row r="12" spans="1:13" ht="13.15" x14ac:dyDescent="0.25">
      <c r="A12" s="17" t="s">
        <v>16</v>
      </c>
      <c r="B12" s="10"/>
      <c r="C12" s="29"/>
      <c r="D12" s="30"/>
      <c r="E12" s="31"/>
      <c r="F12" s="12"/>
      <c r="H12" s="43"/>
      <c r="I12" s="44"/>
      <c r="J12" s="45" t="s">
        <v>26</v>
      </c>
      <c r="K12" s="46"/>
    </row>
    <row r="13" spans="1:13" ht="13.15" x14ac:dyDescent="0.25">
      <c r="A13" s="25" t="s">
        <v>111</v>
      </c>
      <c r="B13" s="10"/>
      <c r="C13" s="42">
        <f>J15</f>
        <v>52665.599999999999</v>
      </c>
      <c r="D13" s="30">
        <f>J28</f>
        <v>0.25</v>
      </c>
      <c r="E13" s="31">
        <f>C13*D13</f>
        <v>13166.4</v>
      </c>
      <c r="F13" s="12"/>
      <c r="H13" s="346" t="s">
        <v>14</v>
      </c>
      <c r="I13" s="12"/>
      <c r="J13" s="42">
        <f>'[3]Group Home (rebased)'!P13</f>
        <v>57593.3511</v>
      </c>
      <c r="K13" s="559"/>
    </row>
    <row r="14" spans="1:13" ht="13.15" x14ac:dyDescent="0.25">
      <c r="A14" s="17" t="s">
        <v>20</v>
      </c>
      <c r="B14" s="10"/>
      <c r="C14" s="29"/>
      <c r="D14" s="30"/>
      <c r="E14" s="31"/>
      <c r="F14" s="12"/>
      <c r="H14" s="346" t="s">
        <v>16</v>
      </c>
      <c r="I14" s="12"/>
      <c r="J14" s="42"/>
      <c r="K14" s="559"/>
    </row>
    <row r="15" spans="1:13" ht="13.15" x14ac:dyDescent="0.25">
      <c r="A15" s="25" t="s">
        <v>25</v>
      </c>
      <c r="B15" s="10"/>
      <c r="C15" s="29">
        <f>J18</f>
        <v>32198.400000000001</v>
      </c>
      <c r="D15" s="30">
        <f>J31</f>
        <v>0.25</v>
      </c>
      <c r="E15" s="31">
        <f>C15*D15</f>
        <v>8049.6</v>
      </c>
      <c r="F15" s="12"/>
      <c r="H15" s="348" t="s">
        <v>244</v>
      </c>
      <c r="I15" s="12"/>
      <c r="J15" s="42">
        <f>'Salary Bench Chart'!C12</f>
        <v>52665.599999999999</v>
      </c>
      <c r="K15" s="560"/>
    </row>
    <row r="16" spans="1:13" ht="13.15" x14ac:dyDescent="0.25">
      <c r="A16" s="47" t="s">
        <v>27</v>
      </c>
      <c r="B16" s="10"/>
      <c r="C16" s="29">
        <f>J19</f>
        <v>32198.400000000001</v>
      </c>
      <c r="D16" s="30">
        <f>J32</f>
        <v>3.653846153846154E-2</v>
      </c>
      <c r="E16" s="31">
        <f>C16*D16</f>
        <v>1176.48</v>
      </c>
      <c r="F16" s="12"/>
      <c r="H16" s="346" t="s">
        <v>20</v>
      </c>
      <c r="I16" s="12"/>
      <c r="J16" s="42"/>
      <c r="K16" s="560"/>
    </row>
    <row r="17" spans="1:11" ht="13.15" x14ac:dyDescent="0.25">
      <c r="A17" s="17" t="s">
        <v>28</v>
      </c>
      <c r="B17" s="10"/>
      <c r="C17" s="29"/>
      <c r="D17" s="30"/>
      <c r="E17" s="31"/>
      <c r="F17" s="12"/>
      <c r="H17" s="348" t="s">
        <v>114</v>
      </c>
      <c r="I17" s="12"/>
      <c r="J17" s="42">
        <f>'Salary Bench Chart'!C10</f>
        <v>43971.200000000004</v>
      </c>
      <c r="K17" s="560"/>
    </row>
    <row r="18" spans="1:11" ht="13.15" x14ac:dyDescent="0.25">
      <c r="A18" s="25" t="s">
        <v>29</v>
      </c>
      <c r="B18" s="10"/>
      <c r="C18" s="29">
        <f>J21</f>
        <v>32198.400000000001</v>
      </c>
      <c r="D18" s="30">
        <f>J34</f>
        <v>7.4999999999999997E-2</v>
      </c>
      <c r="E18" s="31">
        <f>C18*D18</f>
        <v>2414.88</v>
      </c>
      <c r="F18" s="12"/>
      <c r="H18" s="348" t="s">
        <v>25</v>
      </c>
      <c r="I18" s="12"/>
      <c r="J18" s="42">
        <f>'Salary Bench Chart'!C4</f>
        <v>32198.400000000001</v>
      </c>
      <c r="K18" s="560"/>
    </row>
    <row r="19" spans="1:11" ht="13.15" x14ac:dyDescent="0.25">
      <c r="A19" s="49" t="s">
        <v>30</v>
      </c>
      <c r="B19" s="50"/>
      <c r="C19" s="50"/>
      <c r="D19" s="51">
        <f>SUM(D11:D18)</f>
        <v>0.86153846153846148</v>
      </c>
      <c r="E19" s="52">
        <f>SUM(E11:E18)</f>
        <v>39205.697775000001</v>
      </c>
      <c r="F19" s="12"/>
      <c r="H19" s="362" t="s">
        <v>27</v>
      </c>
      <c r="I19" s="12"/>
      <c r="J19" s="42">
        <f>'Salary Bench Chart'!C4</f>
        <v>32198.400000000001</v>
      </c>
      <c r="K19" s="560"/>
    </row>
    <row r="20" spans="1:11" ht="13.15" x14ac:dyDescent="0.25">
      <c r="A20" s="16"/>
      <c r="B20" s="10"/>
      <c r="C20" s="10"/>
      <c r="D20" s="10"/>
      <c r="E20" s="11"/>
      <c r="F20" s="12"/>
      <c r="H20" s="346" t="s">
        <v>28</v>
      </c>
      <c r="I20" s="12"/>
      <c r="J20" s="42"/>
      <c r="K20" s="560"/>
    </row>
    <row r="21" spans="1:11" ht="13.15" x14ac:dyDescent="0.25">
      <c r="A21" s="5" t="s">
        <v>32</v>
      </c>
      <c r="B21" s="10"/>
      <c r="C21" s="10"/>
      <c r="D21" s="7" t="s">
        <v>33</v>
      </c>
      <c r="E21" s="11"/>
      <c r="F21" s="12"/>
      <c r="H21" s="348" t="s">
        <v>29</v>
      </c>
      <c r="I21" s="12"/>
      <c r="J21" s="42">
        <f>'Salary Bench Chart'!C4</f>
        <v>32198.400000000001</v>
      </c>
      <c r="K21" s="560"/>
    </row>
    <row r="22" spans="1:11" ht="13.15" x14ac:dyDescent="0.25">
      <c r="A22" s="16" t="s">
        <v>35</v>
      </c>
      <c r="B22" s="10"/>
      <c r="C22" s="53">
        <f>$J$37</f>
        <v>0.22309999999999999</v>
      </c>
      <c r="D22" s="10"/>
      <c r="E22" s="31">
        <f>C22*E19</f>
        <v>8746.7911736024998</v>
      </c>
      <c r="F22" s="12"/>
      <c r="H22" s="348"/>
      <c r="I22" s="90"/>
      <c r="J22" s="42"/>
      <c r="K22" s="363"/>
    </row>
    <row r="23" spans="1:11" ht="13.15" x14ac:dyDescent="0.25">
      <c r="A23" s="49" t="s">
        <v>36</v>
      </c>
      <c r="B23" s="50"/>
      <c r="C23" s="50"/>
      <c r="D23" s="54">
        <f>E23/E8</f>
        <v>43.792227350321916</v>
      </c>
      <c r="E23" s="52">
        <f>E22+E19</f>
        <v>47952.488948602499</v>
      </c>
      <c r="F23" s="12"/>
      <c r="H23" s="72"/>
      <c r="I23" s="90"/>
      <c r="J23" s="735" t="s">
        <v>239</v>
      </c>
      <c r="K23" s="363"/>
    </row>
    <row r="24" spans="1:11" ht="13.15" x14ac:dyDescent="0.25">
      <c r="A24" s="16"/>
      <c r="B24" s="10"/>
      <c r="C24" s="10"/>
      <c r="D24" s="10"/>
      <c r="E24" s="11"/>
      <c r="F24" s="12"/>
      <c r="H24" s="72" t="s">
        <v>42</v>
      </c>
      <c r="I24" s="383"/>
      <c r="J24" s="365" t="s">
        <v>115</v>
      </c>
      <c r="K24" s="366" t="s">
        <v>116</v>
      </c>
    </row>
    <row r="25" spans="1:11" ht="13.15" x14ac:dyDescent="0.25">
      <c r="A25" s="16" t="s">
        <v>208</v>
      </c>
      <c r="B25" s="10"/>
      <c r="C25" s="29">
        <f>J39</f>
        <v>1075.3995600000001</v>
      </c>
      <c r="D25" s="10"/>
      <c r="E25" s="31">
        <f>C25*B8</f>
        <v>3226.1986800000004</v>
      </c>
      <c r="F25" s="12"/>
      <c r="H25" s="72" t="s">
        <v>48</v>
      </c>
      <c r="I25" s="378"/>
      <c r="J25" s="367">
        <f>'[10]Rates v4'!$C$42</f>
        <v>3</v>
      </c>
      <c r="K25" s="368">
        <f>'[10]Rates v4'!$G$42</f>
        <v>6</v>
      </c>
    </row>
    <row r="26" spans="1:11" ht="13.15" x14ac:dyDescent="0.25">
      <c r="A26" s="16" t="s">
        <v>173</v>
      </c>
      <c r="B26" s="10"/>
      <c r="C26" s="29">
        <f>J40</f>
        <v>2013.14797632</v>
      </c>
      <c r="D26" s="10"/>
      <c r="E26" s="31">
        <f>C26*B8</f>
        <v>6039.4439289599995</v>
      </c>
      <c r="F26" s="12"/>
      <c r="H26" s="346" t="s">
        <v>14</v>
      </c>
      <c r="I26" s="736"/>
      <c r="J26" s="472">
        <f>'[10]Rates v4'!$C$43</f>
        <v>0.25</v>
      </c>
      <c r="K26" s="473">
        <f>'[10]Rates v4'!$G$43</f>
        <v>0.25</v>
      </c>
    </row>
    <row r="27" spans="1:11" ht="13.15" x14ac:dyDescent="0.25">
      <c r="A27" s="16" t="str">
        <f>'[3]Master Data '!B128</f>
        <v>PFMLA Trust Contribution</v>
      </c>
      <c r="B27" s="580">
        <f>J38</f>
        <v>3.7000000000000002E-3</v>
      </c>
      <c r="C27" s="10"/>
      <c r="D27" s="10"/>
      <c r="E27" s="55">
        <f>E19*B27</f>
        <v>145.06108176750001</v>
      </c>
      <c r="F27" s="12"/>
      <c r="H27" s="346" t="s">
        <v>16</v>
      </c>
      <c r="I27" s="736"/>
      <c r="J27" s="472"/>
      <c r="K27" s="473"/>
    </row>
    <row r="28" spans="1:11" ht="13.15" x14ac:dyDescent="0.25">
      <c r="A28" s="16" t="s">
        <v>39</v>
      </c>
      <c r="B28" s="10"/>
      <c r="C28" s="10"/>
      <c r="D28" s="56">
        <f>$J$42</f>
        <v>9.3022061940000018</v>
      </c>
      <c r="E28" s="57">
        <f>D28*E8</f>
        <v>10185.915782430002</v>
      </c>
      <c r="F28" s="12"/>
      <c r="H28" s="348" t="s">
        <v>31</v>
      </c>
      <c r="I28" s="736"/>
      <c r="J28" s="472">
        <f>'[10]Rates v4'!$C$45</f>
        <v>0.25</v>
      </c>
      <c r="K28" s="473"/>
    </row>
    <row r="29" spans="1:11" ht="13.15" x14ac:dyDescent="0.25">
      <c r="A29" s="16"/>
      <c r="B29" s="10"/>
      <c r="C29" s="10"/>
      <c r="D29" s="10"/>
      <c r="E29" s="11"/>
      <c r="F29" s="12"/>
      <c r="H29" s="346" t="s">
        <v>20</v>
      </c>
      <c r="I29" s="736"/>
      <c r="J29" s="472"/>
      <c r="K29" s="473"/>
    </row>
    <row r="30" spans="1:11" ht="13.15" x14ac:dyDescent="0.25">
      <c r="A30" s="49" t="s">
        <v>40</v>
      </c>
      <c r="B30" s="50"/>
      <c r="C30" s="50"/>
      <c r="D30" s="50"/>
      <c r="E30" s="52">
        <f>SUM(E23:E28)</f>
        <v>67549.10842176</v>
      </c>
      <c r="F30" s="12"/>
      <c r="H30" s="348" t="s">
        <v>37</v>
      </c>
      <c r="I30" s="736"/>
      <c r="J30" s="472"/>
      <c r="K30" s="473">
        <f>'[10]Rates v4'!$G$47</f>
        <v>0.6</v>
      </c>
    </row>
    <row r="31" spans="1:11" ht="13.15" x14ac:dyDescent="0.25">
      <c r="A31" s="598"/>
      <c r="B31" s="95"/>
      <c r="C31" s="95"/>
      <c r="D31" s="95"/>
      <c r="E31" s="9"/>
      <c r="F31" s="12"/>
      <c r="H31" s="348" t="s">
        <v>25</v>
      </c>
      <c r="I31" s="736"/>
      <c r="J31" s="472">
        <f>'[10]Rates v4'!$C$48</f>
        <v>0.25</v>
      </c>
      <c r="K31" s="473"/>
    </row>
    <row r="32" spans="1:11" ht="13.15" x14ac:dyDescent="0.25">
      <c r="A32" s="16" t="s">
        <v>47</v>
      </c>
      <c r="B32" s="10"/>
      <c r="C32" s="53">
        <f>$J$45</f>
        <v>0.11849999999999999</v>
      </c>
      <c r="D32" s="10"/>
      <c r="E32" s="31">
        <f>C32*E30</f>
        <v>8004.5693479785596</v>
      </c>
      <c r="F32" s="12"/>
      <c r="H32" s="362" t="s">
        <v>27</v>
      </c>
      <c r="I32" s="87"/>
      <c r="J32" s="87">
        <f>J31*J10</f>
        <v>3.653846153846154E-2</v>
      </c>
      <c r="K32" s="88"/>
    </row>
    <row r="33" spans="1:12" ht="13.15" x14ac:dyDescent="0.25">
      <c r="A33" s="16"/>
      <c r="B33" s="10"/>
      <c r="C33" s="10"/>
      <c r="D33" s="10"/>
      <c r="E33" s="11"/>
      <c r="F33" s="12"/>
      <c r="H33" s="346" t="s">
        <v>28</v>
      </c>
      <c r="I33" s="736"/>
      <c r="J33" s="472"/>
      <c r="K33" s="473"/>
    </row>
    <row r="34" spans="1:12" ht="13.9" thickBot="1" x14ac:dyDescent="0.3">
      <c r="A34" s="64" t="s">
        <v>49</v>
      </c>
      <c r="B34" s="65"/>
      <c r="C34" s="65"/>
      <c r="D34" s="65"/>
      <c r="E34" s="66">
        <f>SUM(E30:E32)</f>
        <v>75553.677769738555</v>
      </c>
      <c r="F34" s="12"/>
      <c r="H34" s="348" t="s">
        <v>29</v>
      </c>
      <c r="I34" s="736"/>
      <c r="J34" s="472">
        <f>(J25/'[3]Group Home'!R30)*'[3]Group Home'!R44</f>
        <v>7.4999999999999997E-2</v>
      </c>
      <c r="K34" s="473">
        <f>(K25/'[3]Group Home'!S30)*'[3]Group Home'!S44</f>
        <v>0.125</v>
      </c>
      <c r="L34" s="3" t="s">
        <v>240</v>
      </c>
    </row>
    <row r="35" spans="1:12" ht="14.45" thickTop="1" thickBot="1" x14ac:dyDescent="0.3">
      <c r="A35" s="16" t="str">
        <f>H47</f>
        <v>CAF (Rate review FY21)</v>
      </c>
      <c r="B35" s="272">
        <f>J47</f>
        <v>1.78E-2</v>
      </c>
      <c r="C35" s="10"/>
      <c r="D35" s="10"/>
      <c r="E35" s="599">
        <f>(E34*B35)-(E19*B35)</f>
        <v>646.99404390634629</v>
      </c>
      <c r="F35" s="12"/>
      <c r="H35" s="72"/>
      <c r="I35" s="12"/>
      <c r="J35" s="12"/>
      <c r="K35" s="363"/>
    </row>
    <row r="36" spans="1:12" ht="13.9" thickTop="1" x14ac:dyDescent="0.25">
      <c r="A36" s="16"/>
      <c r="B36" s="10"/>
      <c r="C36" s="67"/>
      <c r="D36" s="10"/>
      <c r="E36" s="68">
        <f>E35+E34</f>
        <v>76200.671813644905</v>
      </c>
      <c r="F36" s="12"/>
      <c r="H36" s="72"/>
      <c r="I36" s="12"/>
      <c r="J36" s="364" t="s">
        <v>53</v>
      </c>
      <c r="K36" s="574"/>
    </row>
    <row r="37" spans="1:12" ht="13.15" x14ac:dyDescent="0.25">
      <c r="A37" s="16"/>
      <c r="B37" s="10"/>
      <c r="C37" s="10"/>
      <c r="D37" s="10"/>
      <c r="E37" s="11"/>
      <c r="F37" s="12"/>
      <c r="H37" s="72" t="s">
        <v>35</v>
      </c>
      <c r="I37" s="12"/>
      <c r="J37" s="380">
        <f>'[3]Master Data '!D140</f>
        <v>0.22309999999999999</v>
      </c>
      <c r="K37" s="628"/>
    </row>
    <row r="38" spans="1:12" ht="13.15" x14ac:dyDescent="0.25">
      <c r="A38" s="16"/>
      <c r="B38" s="10"/>
      <c r="C38" s="10"/>
      <c r="D38" s="10"/>
      <c r="E38" s="69" t="s">
        <v>119</v>
      </c>
      <c r="F38" s="369"/>
      <c r="H38" s="72" t="s">
        <v>184</v>
      </c>
      <c r="I38" s="12"/>
      <c r="J38" s="737">
        <f>'Salary Bench Chart'!C32</f>
        <v>3.7000000000000002E-3</v>
      </c>
      <c r="K38" s="629"/>
    </row>
    <row r="39" spans="1:12" ht="13.9" thickBot="1" x14ac:dyDescent="0.3">
      <c r="A39" s="16" t="s">
        <v>133</v>
      </c>
      <c r="B39" s="12"/>
      <c r="C39" s="12"/>
      <c r="D39" s="74"/>
      <c r="E39" s="75">
        <f>E36/E8</f>
        <v>69.589654624333249</v>
      </c>
      <c r="F39" s="86"/>
      <c r="H39" s="72" t="s">
        <v>241</v>
      </c>
      <c r="I39" s="12"/>
      <c r="J39" s="647">
        <f>1000*(5.39%+1)*(2.04%+1)</f>
        <v>1075.3995600000001</v>
      </c>
      <c r="K39" s="738"/>
    </row>
    <row r="40" spans="1:12" ht="13.9" thickBot="1" x14ac:dyDescent="0.3">
      <c r="A40" s="385"/>
      <c r="B40" s="386"/>
      <c r="C40" s="601"/>
      <c r="D40" s="602"/>
      <c r="E40" s="603">
        <f>E39*(1+C40)</f>
        <v>69.589654624333249</v>
      </c>
      <c r="F40" s="474"/>
      <c r="H40" s="72" t="s">
        <v>242</v>
      </c>
      <c r="I40" s="12"/>
      <c r="J40" s="647">
        <f>(90*52*0.4)*(5.39%+1)*(2.04%+1)</f>
        <v>2013.14797632</v>
      </c>
      <c r="K40" s="739"/>
    </row>
    <row r="41" spans="1:12" ht="13.9" thickBot="1" x14ac:dyDescent="0.3">
      <c r="A41" s="82"/>
      <c r="B41" s="83"/>
      <c r="C41" s="84"/>
      <c r="D41" s="604"/>
      <c r="E41" s="605">
        <f>E40*(C41+1)</f>
        <v>69.589654624333249</v>
      </c>
      <c r="F41" s="474"/>
      <c r="H41" s="72"/>
      <c r="I41" s="12"/>
      <c r="J41" s="12"/>
      <c r="K41" s="363"/>
    </row>
    <row r="42" spans="1:12" x14ac:dyDescent="0.2">
      <c r="H42" s="72" t="s">
        <v>39</v>
      </c>
      <c r="I42" s="12"/>
      <c r="J42" s="381">
        <f>8.65*(5.39%+1)*(2.04%+1)</f>
        <v>9.3022061940000018</v>
      </c>
      <c r="K42" s="740"/>
    </row>
    <row r="43" spans="1:12" ht="13.15" customHeight="1" thickBot="1" x14ac:dyDescent="0.25">
      <c r="F43" s="109"/>
      <c r="H43" s="382" t="s">
        <v>40</v>
      </c>
      <c r="I43" s="383"/>
      <c r="J43" s="384">
        <f>SUM(J42:J42)</f>
        <v>9.3022061940000018</v>
      </c>
      <c r="K43" s="631"/>
    </row>
    <row r="44" spans="1:12" ht="13.9" customHeight="1" thickBot="1" x14ac:dyDescent="0.25">
      <c r="A44" s="824" t="s">
        <v>243</v>
      </c>
      <c r="B44" s="825"/>
      <c r="C44" s="825"/>
      <c r="D44" s="825"/>
      <c r="E44" s="826"/>
      <c r="F44" s="250"/>
      <c r="H44" s="72"/>
      <c r="I44" s="12"/>
      <c r="J44" s="86"/>
      <c r="K44" s="738"/>
    </row>
    <row r="45" spans="1:12" x14ac:dyDescent="0.2">
      <c r="A45" s="5" t="s">
        <v>204</v>
      </c>
      <c r="B45" s="6">
        <f>K$25</f>
        <v>6</v>
      </c>
      <c r="C45" s="7"/>
      <c r="D45" s="7" t="s">
        <v>205</v>
      </c>
      <c r="E45" s="8">
        <f>B45*365</f>
        <v>2190</v>
      </c>
      <c r="F45" s="12"/>
      <c r="H45" s="16" t="s">
        <v>47</v>
      </c>
      <c r="I45" s="10"/>
      <c r="J45" s="92">
        <f>'[3]Group Home'!Q55</f>
        <v>0.11849999999999999</v>
      </c>
      <c r="K45" s="600"/>
    </row>
    <row r="46" spans="1:12" x14ac:dyDescent="0.2">
      <c r="A46" s="16"/>
      <c r="B46" s="10"/>
      <c r="C46" s="10"/>
      <c r="D46" s="10"/>
      <c r="E46" s="11"/>
      <c r="F46" s="12"/>
      <c r="H46" s="16"/>
      <c r="I46" s="10"/>
      <c r="J46" s="10"/>
      <c r="K46" s="11"/>
    </row>
    <row r="47" spans="1:12" ht="13.5" thickBot="1" x14ac:dyDescent="0.25">
      <c r="A47" s="21"/>
      <c r="B47" s="22"/>
      <c r="C47" s="23" t="s">
        <v>10</v>
      </c>
      <c r="D47" s="23" t="s">
        <v>11</v>
      </c>
      <c r="E47" s="24" t="s">
        <v>12</v>
      </c>
      <c r="F47" s="12"/>
      <c r="H47" s="97" t="str">
        <f>'[3]Master Data '!B126</f>
        <v>CAF (Rate review FY21)</v>
      </c>
      <c r="I47" s="98"/>
      <c r="J47" s="741">
        <f>'[3]Master Data '!D126</f>
        <v>1.78E-2</v>
      </c>
      <c r="K47" s="579"/>
    </row>
    <row r="48" spans="1:12" x14ac:dyDescent="0.2">
      <c r="A48" s="28" t="s">
        <v>14</v>
      </c>
      <c r="B48" s="10"/>
      <c r="C48" s="29">
        <f>J13</f>
        <v>57593.3511</v>
      </c>
      <c r="D48" s="30">
        <f>K26</f>
        <v>0.25</v>
      </c>
      <c r="E48" s="31">
        <f>C48*D48</f>
        <v>14398.337775</v>
      </c>
      <c r="F48" s="12"/>
      <c r="H48" s="100"/>
      <c r="I48" s="101"/>
    </row>
    <row r="49" spans="1:8" ht="25.9" customHeight="1" x14ac:dyDescent="0.2">
      <c r="A49" s="17" t="s">
        <v>20</v>
      </c>
      <c r="B49" s="10"/>
      <c r="C49" s="29"/>
      <c r="D49" s="30"/>
      <c r="E49" s="31"/>
      <c r="F49" s="606"/>
      <c r="H49" s="15"/>
    </row>
    <row r="50" spans="1:8" x14ac:dyDescent="0.2">
      <c r="A50" s="25" t="s">
        <v>114</v>
      </c>
      <c r="B50" s="10"/>
      <c r="C50" s="29">
        <f>J17</f>
        <v>43971.200000000004</v>
      </c>
      <c r="D50" s="30">
        <f>K30</f>
        <v>0.6</v>
      </c>
      <c r="E50" s="31">
        <f>C50*D50</f>
        <v>26382.720000000001</v>
      </c>
      <c r="F50" s="12"/>
    </row>
    <row r="51" spans="1:8" x14ac:dyDescent="0.2">
      <c r="A51" s="17" t="s">
        <v>28</v>
      </c>
      <c r="B51" s="10"/>
      <c r="C51" s="29"/>
      <c r="D51" s="30"/>
      <c r="E51" s="31"/>
      <c r="F51" s="12"/>
      <c r="H51" s="102"/>
    </row>
    <row r="52" spans="1:8" x14ac:dyDescent="0.2">
      <c r="A52" s="25" t="s">
        <v>29</v>
      </c>
      <c r="B52" s="10"/>
      <c r="C52" s="29">
        <f>J21</f>
        <v>32198.400000000001</v>
      </c>
      <c r="D52" s="30">
        <f>K34</f>
        <v>0.125</v>
      </c>
      <c r="E52" s="31">
        <f>C52*D52</f>
        <v>4024.8</v>
      </c>
      <c r="F52" s="12"/>
    </row>
    <row r="53" spans="1:8" x14ac:dyDescent="0.2">
      <c r="A53" s="49" t="s">
        <v>30</v>
      </c>
      <c r="B53" s="50"/>
      <c r="C53" s="50"/>
      <c r="D53" s="51">
        <f>SUM(D48:D52)</f>
        <v>0.97499999999999998</v>
      </c>
      <c r="E53" s="52">
        <f>SUM(E48:E52)</f>
        <v>44805.857775000004</v>
      </c>
      <c r="F53" s="12"/>
      <c r="H53" s="103"/>
    </row>
    <row r="54" spans="1:8" x14ac:dyDescent="0.2">
      <c r="A54" s="16"/>
      <c r="B54" s="10"/>
      <c r="C54" s="10"/>
      <c r="D54" s="10"/>
      <c r="E54" s="11"/>
      <c r="F54" s="12"/>
    </row>
    <row r="55" spans="1:8" x14ac:dyDescent="0.2">
      <c r="A55" s="5" t="s">
        <v>32</v>
      </c>
      <c r="B55" s="10"/>
      <c r="C55" s="10"/>
      <c r="D55" s="7" t="s">
        <v>33</v>
      </c>
      <c r="E55" s="11"/>
      <c r="F55" s="12"/>
      <c r="H55" s="104"/>
    </row>
    <row r="56" spans="1:8" x14ac:dyDescent="0.2">
      <c r="A56" s="16" t="s">
        <v>35</v>
      </c>
      <c r="B56" s="10"/>
      <c r="C56" s="53">
        <f>$J$37</f>
        <v>0.22309999999999999</v>
      </c>
      <c r="D56" s="10"/>
      <c r="E56" s="31">
        <f>C56*E53</f>
        <v>9996.1868696025012</v>
      </c>
      <c r="F56" s="12"/>
      <c r="H56" s="104"/>
    </row>
    <row r="57" spans="1:8" x14ac:dyDescent="0.2">
      <c r="A57" s="49" t="s">
        <v>36</v>
      </c>
      <c r="B57" s="50"/>
      <c r="C57" s="50"/>
      <c r="D57" s="54">
        <f>E57/E45</f>
        <v>25.023764677900687</v>
      </c>
      <c r="E57" s="52">
        <f>E56+E53</f>
        <v>54802.044644602502</v>
      </c>
      <c r="F57" s="12"/>
      <c r="H57" s="563"/>
    </row>
    <row r="58" spans="1:8" x14ac:dyDescent="0.2">
      <c r="A58" s="16"/>
      <c r="B58" s="10"/>
      <c r="C58" s="10"/>
      <c r="D58" s="10"/>
      <c r="E58" s="11"/>
      <c r="F58" s="12"/>
    </row>
    <row r="59" spans="1:8" x14ac:dyDescent="0.2">
      <c r="A59" s="16" t="s">
        <v>208</v>
      </c>
      <c r="B59" s="10"/>
      <c r="C59" s="29">
        <f>J39</f>
        <v>1075.3995600000001</v>
      </c>
      <c r="D59" s="10"/>
      <c r="E59" s="31">
        <f>C59*B45</f>
        <v>6452.3973600000008</v>
      </c>
      <c r="F59" s="12"/>
    </row>
    <row r="60" spans="1:8" x14ac:dyDescent="0.2">
      <c r="A60" s="16" t="s">
        <v>173</v>
      </c>
      <c r="B60" s="10"/>
      <c r="C60" s="29">
        <f>J40</f>
        <v>2013.14797632</v>
      </c>
      <c r="D60" s="10"/>
      <c r="E60" s="31">
        <f>C60*B45</f>
        <v>12078.887857919999</v>
      </c>
      <c r="F60" s="12"/>
    </row>
    <row r="61" spans="1:8" x14ac:dyDescent="0.2">
      <c r="A61" s="16" t="str">
        <f>'[3]Master Data '!B128</f>
        <v>PFMLA Trust Contribution</v>
      </c>
      <c r="B61" s="266">
        <f>J38</f>
        <v>3.7000000000000002E-3</v>
      </c>
      <c r="C61" s="10"/>
      <c r="D61" s="10"/>
      <c r="E61" s="55">
        <f>E53*B61</f>
        <v>165.78167376750002</v>
      </c>
      <c r="F61" s="12"/>
      <c r="H61" s="102"/>
    </row>
    <row r="62" spans="1:8" x14ac:dyDescent="0.2">
      <c r="A62" s="16" t="s">
        <v>39</v>
      </c>
      <c r="B62" s="10"/>
      <c r="C62" s="10"/>
      <c r="D62" s="56">
        <f>$J$42</f>
        <v>9.3022061940000018</v>
      </c>
      <c r="E62" s="57">
        <f>D62*E45</f>
        <v>20371.831564860004</v>
      </c>
      <c r="F62" s="12"/>
    </row>
    <row r="63" spans="1:8" x14ac:dyDescent="0.2">
      <c r="A63" s="16"/>
      <c r="B63" s="10"/>
      <c r="C63" s="10"/>
      <c r="D63" s="10"/>
      <c r="E63" s="11"/>
      <c r="F63" s="12"/>
    </row>
    <row r="64" spans="1:8" x14ac:dyDescent="0.2">
      <c r="A64" s="49" t="s">
        <v>40</v>
      </c>
      <c r="B64" s="50"/>
      <c r="C64" s="50"/>
      <c r="D64" s="50"/>
      <c r="E64" s="52">
        <f>SUM(E57:E62)</f>
        <v>93870.943101150013</v>
      </c>
      <c r="F64" s="12"/>
    </row>
    <row r="65" spans="1:6" x14ac:dyDescent="0.2">
      <c r="A65" s="598"/>
      <c r="B65" s="95"/>
      <c r="C65" s="95"/>
      <c r="D65" s="95"/>
      <c r="E65" s="9"/>
      <c r="F65" s="12"/>
    </row>
    <row r="66" spans="1:6" x14ac:dyDescent="0.2">
      <c r="A66" s="16" t="s">
        <v>47</v>
      </c>
      <c r="B66" s="10"/>
      <c r="C66" s="53">
        <f>$J$45</f>
        <v>0.11849999999999999</v>
      </c>
      <c r="D66" s="10"/>
      <c r="E66" s="31">
        <f>C66*E64</f>
        <v>11123.706757486276</v>
      </c>
      <c r="F66" s="12"/>
    </row>
    <row r="67" spans="1:6" x14ac:dyDescent="0.2">
      <c r="A67" s="16"/>
      <c r="B67" s="10"/>
      <c r="C67" s="10"/>
      <c r="D67" s="10"/>
      <c r="E67" s="11"/>
      <c r="F67" s="12"/>
    </row>
    <row r="68" spans="1:6" ht="13.5" thickBot="1" x14ac:dyDescent="0.25">
      <c r="A68" s="64" t="s">
        <v>49</v>
      </c>
      <c r="B68" s="65"/>
      <c r="C68" s="65"/>
      <c r="D68" s="65"/>
      <c r="E68" s="66">
        <f>SUM(E64:E66)</f>
        <v>104994.64985863629</v>
      </c>
      <c r="F68" s="12"/>
    </row>
    <row r="69" spans="1:6" ht="14.25" thickTop="1" thickBot="1" x14ac:dyDescent="0.25">
      <c r="A69" s="16" t="str">
        <f>H47</f>
        <v>CAF (Rate review FY21)</v>
      </c>
      <c r="B69" s="272">
        <f>J47</f>
        <v>1.78E-2</v>
      </c>
      <c r="C69" s="10"/>
      <c r="D69" s="10"/>
      <c r="E69" s="607">
        <f>(E68*B69)-(E53*B69)</f>
        <v>1071.3604990887259</v>
      </c>
      <c r="F69" s="12"/>
    </row>
    <row r="70" spans="1:6" ht="13.5" thickTop="1" x14ac:dyDescent="0.2">
      <c r="A70" s="16"/>
      <c r="B70" s="10"/>
      <c r="C70" s="67"/>
      <c r="D70" s="10"/>
      <c r="E70" s="68">
        <f>E69+E68</f>
        <v>106066.01035772501</v>
      </c>
      <c r="F70" s="12"/>
    </row>
    <row r="71" spans="1:6" x14ac:dyDescent="0.2">
      <c r="A71" s="16"/>
      <c r="B71" s="10"/>
      <c r="C71" s="10"/>
      <c r="D71" s="10"/>
      <c r="E71" s="11"/>
      <c r="F71" s="12"/>
    </row>
    <row r="72" spans="1:6" x14ac:dyDescent="0.2">
      <c r="A72" s="16"/>
      <c r="B72" s="10"/>
      <c r="C72" s="10"/>
      <c r="D72" s="10"/>
      <c r="E72" s="69" t="s">
        <v>119</v>
      </c>
      <c r="F72" s="12"/>
    </row>
    <row r="73" spans="1:6" ht="13.5" thickBot="1" x14ac:dyDescent="0.25">
      <c r="A73" s="16" t="s">
        <v>133</v>
      </c>
      <c r="B73" s="12"/>
      <c r="C73" s="12"/>
      <c r="D73" s="74"/>
      <c r="E73" s="75">
        <f>E70/E45</f>
        <v>48.431968199874433</v>
      </c>
      <c r="F73" s="12"/>
    </row>
    <row r="74" spans="1:6" ht="13.5" thickBot="1" x14ac:dyDescent="0.25">
      <c r="A74" s="385"/>
      <c r="B74" s="386"/>
      <c r="C74" s="601"/>
      <c r="D74" s="602"/>
      <c r="E74" s="603">
        <f>E73*(1+C74)</f>
        <v>48.431968199874433</v>
      </c>
      <c r="F74" s="74"/>
    </row>
    <row r="75" spans="1:6" ht="13.5" thickBot="1" x14ac:dyDescent="0.25">
      <c r="A75" s="82"/>
      <c r="B75" s="83"/>
      <c r="C75" s="84"/>
      <c r="D75" s="604"/>
      <c r="E75" s="605">
        <f>E74*(C75+1)</f>
        <v>48.431968199874433</v>
      </c>
    </row>
  </sheetData>
  <mergeCells count="4">
    <mergeCell ref="H1:K1"/>
    <mergeCell ref="I3:J3"/>
    <mergeCell ref="A7:E7"/>
    <mergeCell ref="A44:E44"/>
  </mergeCells>
  <pageMargins left="0.7" right="0.7" top="0.75" bottom="0.75" header="0.3" footer="0.3"/>
  <pageSetup fitToHeight="0" orientation="landscape" r:id="rId1"/>
  <rowBreaks count="1" manualBreakCount="1">
    <brk id="42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opLeftCell="A5" zoomScale="80" zoomScaleNormal="80" workbookViewId="0">
      <selection activeCell="E98" sqref="E98"/>
    </sheetView>
  </sheetViews>
  <sheetFormatPr defaultColWidth="9.140625" defaultRowHeight="12.75" x14ac:dyDescent="0.2"/>
  <cols>
    <col min="1" max="1" width="31.85546875" style="3" customWidth="1"/>
    <col min="2" max="2" width="10.28515625" style="3" customWidth="1"/>
    <col min="3" max="3" width="12.85546875" style="3" customWidth="1"/>
    <col min="4" max="4" width="10.85546875" style="3" customWidth="1"/>
    <col min="5" max="5" width="13.140625" style="3" bestFit="1" customWidth="1"/>
    <col min="6" max="6" width="9.140625" style="3"/>
    <col min="7" max="7" width="31.85546875" style="3" bestFit="1" customWidth="1"/>
    <col min="8" max="10" width="10.140625" style="3" customWidth="1"/>
    <col min="11" max="11" width="5" style="3" customWidth="1"/>
    <col min="12" max="16384" width="9.140625" style="3"/>
  </cols>
  <sheetData>
    <row r="1" spans="1:12" ht="13.9" thickBot="1" x14ac:dyDescent="0.3">
      <c r="A1" s="827" t="s">
        <v>245</v>
      </c>
      <c r="B1" s="827"/>
      <c r="C1" s="827"/>
      <c r="D1" s="827"/>
      <c r="E1" s="827"/>
      <c r="G1" s="759" t="s">
        <v>2</v>
      </c>
      <c r="H1" s="759"/>
      <c r="I1" s="759"/>
      <c r="J1" s="759"/>
    </row>
    <row r="2" spans="1:12" ht="13.9" thickBot="1" x14ac:dyDescent="0.3">
      <c r="A2" s="246" t="s">
        <v>4</v>
      </c>
      <c r="B2" s="247">
        <f>I$29</f>
        <v>20</v>
      </c>
      <c r="C2" s="246"/>
      <c r="D2" s="246" t="s">
        <v>5</v>
      </c>
      <c r="E2" s="248">
        <f>B2*365</f>
        <v>7300</v>
      </c>
    </row>
    <row r="3" spans="1:12" ht="13.15" x14ac:dyDescent="0.25">
      <c r="G3" s="13" t="s">
        <v>6</v>
      </c>
      <c r="H3" s="760" t="s">
        <v>7</v>
      </c>
      <c r="I3" s="760"/>
      <c r="J3" s="14"/>
      <c r="K3" s="15"/>
      <c r="L3" s="15"/>
    </row>
    <row r="4" spans="1:12" ht="13.15" x14ac:dyDescent="0.25">
      <c r="A4" s="22"/>
      <c r="B4" s="22"/>
      <c r="C4" s="23" t="s">
        <v>10</v>
      </c>
      <c r="D4" s="23" t="s">
        <v>11</v>
      </c>
      <c r="E4" s="23" t="s">
        <v>12</v>
      </c>
      <c r="G4" s="17"/>
      <c r="H4" s="18" t="s">
        <v>8</v>
      </c>
      <c r="I4" s="19" t="s">
        <v>9</v>
      </c>
      <c r="J4" s="20"/>
      <c r="K4" s="15"/>
      <c r="L4" s="15"/>
    </row>
    <row r="5" spans="1:12" ht="13.15" x14ac:dyDescent="0.25">
      <c r="A5" s="251" t="s">
        <v>14</v>
      </c>
      <c r="C5" s="252">
        <f>I$13</f>
        <v>57593.3511</v>
      </c>
      <c r="D5" s="253">
        <f>I$30</f>
        <v>1</v>
      </c>
      <c r="E5" s="254">
        <f>C5*D5</f>
        <v>57593.3511</v>
      </c>
      <c r="G5" s="25" t="s">
        <v>13</v>
      </c>
      <c r="H5" s="26">
        <v>15</v>
      </c>
      <c r="I5" s="27">
        <f>H5*8</f>
        <v>120</v>
      </c>
      <c r="J5" s="20"/>
      <c r="K5" s="15"/>
      <c r="L5" s="15"/>
    </row>
    <row r="6" spans="1:12" ht="13.15" customHeight="1" x14ac:dyDescent="0.25">
      <c r="A6" s="256" t="s">
        <v>16</v>
      </c>
      <c r="C6" s="258"/>
      <c r="D6" s="354"/>
      <c r="E6" s="255"/>
      <c r="G6" s="348" t="s">
        <v>15</v>
      </c>
      <c r="H6" s="26">
        <v>8</v>
      </c>
      <c r="I6" s="27">
        <f>H6*8</f>
        <v>64</v>
      </c>
      <c r="J6" s="20"/>
      <c r="K6" s="15"/>
      <c r="L6" s="15"/>
    </row>
    <row r="7" spans="1:12" ht="13.15" x14ac:dyDescent="0.25">
      <c r="A7" s="257" t="s">
        <v>124</v>
      </c>
      <c r="C7" s="258">
        <f>I15</f>
        <v>220355.5668</v>
      </c>
      <c r="D7" s="354">
        <f>I32</f>
        <v>0.05</v>
      </c>
      <c r="E7" s="255">
        <f>C7*D7</f>
        <v>11017.778340000001</v>
      </c>
      <c r="G7" s="348" t="s">
        <v>17</v>
      </c>
      <c r="H7" s="26">
        <v>10</v>
      </c>
      <c r="I7" s="27">
        <f>H7*8</f>
        <v>80</v>
      </c>
      <c r="J7" s="20"/>
      <c r="K7" s="15"/>
      <c r="L7" s="15"/>
    </row>
    <row r="8" spans="1:12" ht="13.15" x14ac:dyDescent="0.25">
      <c r="A8" s="257" t="s">
        <v>18</v>
      </c>
      <c r="C8" s="258">
        <f>I16</f>
        <v>86860.800000000003</v>
      </c>
      <c r="D8" s="354">
        <f>I33</f>
        <v>0.1</v>
      </c>
      <c r="E8" s="255">
        <f>C8*D8</f>
        <v>8686.08</v>
      </c>
      <c r="G8" s="351" t="s">
        <v>19</v>
      </c>
      <c r="H8" s="33">
        <v>7</v>
      </c>
      <c r="I8" s="34">
        <f>H8*8</f>
        <v>56</v>
      </c>
      <c r="J8" s="35"/>
      <c r="K8" s="15"/>
      <c r="L8" s="15"/>
    </row>
    <row r="9" spans="1:12" ht="13.15" x14ac:dyDescent="0.25">
      <c r="A9" s="257" t="s">
        <v>265</v>
      </c>
      <c r="C9" s="258">
        <f>I18</f>
        <v>52665.599999999999</v>
      </c>
      <c r="D9" s="354">
        <f>I35</f>
        <v>1</v>
      </c>
      <c r="E9" s="255">
        <f>C9*D9</f>
        <v>52665.599999999999</v>
      </c>
      <c r="G9" s="348"/>
      <c r="H9" s="36" t="s">
        <v>21</v>
      </c>
      <c r="I9" s="27">
        <f>SUM(I5:I8)</f>
        <v>320</v>
      </c>
      <c r="J9" s="37"/>
      <c r="K9" s="15"/>
      <c r="L9" s="15"/>
    </row>
    <row r="10" spans="1:12" ht="13.9" thickBot="1" x14ac:dyDescent="0.3">
      <c r="A10" s="256" t="s">
        <v>20</v>
      </c>
      <c r="C10" s="258"/>
      <c r="D10" s="354"/>
      <c r="E10" s="255"/>
      <c r="G10" s="352"/>
      <c r="H10" s="39" t="s">
        <v>23</v>
      </c>
      <c r="I10" s="40">
        <f>I9/(52*40)</f>
        <v>0.15384615384615385</v>
      </c>
      <c r="J10" s="41"/>
    </row>
    <row r="11" spans="1:12" ht="13.9" thickBot="1" x14ac:dyDescent="0.3">
      <c r="A11" s="257" t="s">
        <v>34</v>
      </c>
      <c r="C11" s="258">
        <f>I20</f>
        <v>32198.400000000001</v>
      </c>
      <c r="D11" s="354">
        <f>I37</f>
        <v>1</v>
      </c>
      <c r="E11" s="255">
        <f>C11*D11</f>
        <v>32198.400000000001</v>
      </c>
      <c r="G11" s="90"/>
      <c r="H11" s="90"/>
      <c r="I11" s="90"/>
      <c r="J11" s="90"/>
    </row>
    <row r="12" spans="1:12" ht="13.15" x14ac:dyDescent="0.25">
      <c r="A12" s="257" t="s">
        <v>25</v>
      </c>
      <c r="C12" s="258">
        <f>I22</f>
        <v>32198.400000000001</v>
      </c>
      <c r="D12" s="354">
        <f>I39</f>
        <v>12</v>
      </c>
      <c r="E12" s="255">
        <f>C12*D12</f>
        <v>386380.80000000005</v>
      </c>
      <c r="G12" s="356"/>
      <c r="H12" s="357"/>
      <c r="I12" s="358" t="s">
        <v>26</v>
      </c>
      <c r="J12" s="573"/>
    </row>
    <row r="13" spans="1:12" ht="13.15" x14ac:dyDescent="0.25">
      <c r="A13" s="259" t="s">
        <v>27</v>
      </c>
      <c r="C13" s="258">
        <f>I23</f>
        <v>32198.400000000001</v>
      </c>
      <c r="D13" s="354">
        <f>I40</f>
        <v>1.8461538461538463</v>
      </c>
      <c r="E13" s="255">
        <f>C13*D13</f>
        <v>59443.200000000004</v>
      </c>
      <c r="G13" s="346" t="s">
        <v>14</v>
      </c>
      <c r="H13" s="12"/>
      <c r="I13" s="42">
        <f>'[3]Group Home (rebased)'!P13</f>
        <v>57593.3511</v>
      </c>
      <c r="J13" s="559"/>
    </row>
    <row r="14" spans="1:12" ht="13.15" x14ac:dyDescent="0.25">
      <c r="A14" s="256" t="s">
        <v>28</v>
      </c>
      <c r="C14" s="252"/>
      <c r="D14" s="253"/>
      <c r="E14" s="254"/>
      <c r="G14" s="346" t="s">
        <v>16</v>
      </c>
      <c r="H14" s="12"/>
      <c r="I14" s="42"/>
      <c r="J14" s="559"/>
    </row>
    <row r="15" spans="1:12" ht="13.15" x14ac:dyDescent="0.25">
      <c r="A15" s="257" t="s">
        <v>29</v>
      </c>
      <c r="C15" s="252">
        <f>I25</f>
        <v>32198.400000000001</v>
      </c>
      <c r="D15" s="253">
        <f>I42</f>
        <v>0.25</v>
      </c>
      <c r="E15" s="254">
        <f>C15*D15</f>
        <v>8049.6</v>
      </c>
      <c r="G15" s="348" t="s">
        <v>124</v>
      </c>
      <c r="H15" s="12"/>
      <c r="I15" s="42">
        <f>'[3]Master Data '!D17</f>
        <v>220355.5668</v>
      </c>
      <c r="J15" s="560"/>
    </row>
    <row r="16" spans="1:12" ht="13.15" x14ac:dyDescent="0.25">
      <c r="A16" s="50" t="s">
        <v>30</v>
      </c>
      <c r="B16" s="50"/>
      <c r="C16" s="50"/>
      <c r="D16" s="51">
        <f>SUM(D5:D15)</f>
        <v>17.246153846153845</v>
      </c>
      <c r="E16" s="264">
        <f>SUM(E5:E15)</f>
        <v>616034.80943999998</v>
      </c>
      <c r="G16" s="348" t="s">
        <v>18</v>
      </c>
      <c r="H16" s="12"/>
      <c r="I16" s="42">
        <f>'Salary Bench Chart'!C20</f>
        <v>86860.800000000003</v>
      </c>
      <c r="J16" s="560"/>
    </row>
    <row r="17" spans="1:13" ht="13.15" x14ac:dyDescent="0.25">
      <c r="G17" s="348" t="s">
        <v>125</v>
      </c>
      <c r="H17" s="12"/>
      <c r="I17" s="42">
        <f>'[3]Group Home (rebased)'!P17</f>
        <v>67962.386400000003</v>
      </c>
      <c r="J17" s="560"/>
    </row>
    <row r="18" spans="1:13" ht="13.15" x14ac:dyDescent="0.25">
      <c r="A18" s="246" t="s">
        <v>32</v>
      </c>
      <c r="D18" s="246" t="s">
        <v>33</v>
      </c>
      <c r="G18" s="348" t="s">
        <v>264</v>
      </c>
      <c r="H18" s="12"/>
      <c r="I18" s="42">
        <f>'Salary Bench Chart'!C12</f>
        <v>52665.599999999999</v>
      </c>
      <c r="J18" s="560"/>
    </row>
    <row r="19" spans="1:13" ht="13.15" x14ac:dyDescent="0.25">
      <c r="A19" s="3" t="s">
        <v>35</v>
      </c>
      <c r="C19" s="265">
        <f>$I$45</f>
        <v>0.22309999999999999</v>
      </c>
      <c r="E19" s="254">
        <f>C19*E16</f>
        <v>137437.36598606399</v>
      </c>
      <c r="G19" s="346" t="s">
        <v>20</v>
      </c>
      <c r="H19" s="12"/>
      <c r="I19" s="42"/>
      <c r="J19" s="560"/>
    </row>
    <row r="20" spans="1:13" ht="13.15" x14ac:dyDescent="0.25">
      <c r="A20" s="50" t="s">
        <v>36</v>
      </c>
      <c r="B20" s="50"/>
      <c r="C20" s="50"/>
      <c r="D20" s="54">
        <f>E20/E2</f>
        <v>103.21536649672109</v>
      </c>
      <c r="E20" s="264">
        <f>E19+E16</f>
        <v>753472.17542606394</v>
      </c>
      <c r="G20" s="348" t="s">
        <v>34</v>
      </c>
      <c r="H20" s="12"/>
      <c r="I20" s="42">
        <f>'Salary Bench Chart'!C4</f>
        <v>32198.400000000001</v>
      </c>
      <c r="J20" s="560"/>
    </row>
    <row r="21" spans="1:13" ht="13.15" x14ac:dyDescent="0.25">
      <c r="G21" s="348" t="s">
        <v>114</v>
      </c>
      <c r="H21" s="12"/>
      <c r="I21" s="42">
        <f>'Salary Bench Chart'!C10</f>
        <v>43971.200000000004</v>
      </c>
      <c r="J21" s="560"/>
    </row>
    <row r="22" spans="1:13" ht="13.15" x14ac:dyDescent="0.25">
      <c r="A22" s="3" t="s">
        <v>208</v>
      </c>
      <c r="C22" s="608">
        <f>$I$47</f>
        <v>1075.3995600000001</v>
      </c>
      <c r="E22" s="267">
        <f>C22*B2</f>
        <v>21507.9912</v>
      </c>
      <c r="G22" s="348" t="s">
        <v>25</v>
      </c>
      <c r="H22" s="12"/>
      <c r="I22" s="42">
        <f>'Salary Bench Chart'!C4</f>
        <v>32198.400000000001</v>
      </c>
      <c r="J22" s="560"/>
    </row>
    <row r="23" spans="1:13" ht="13.15" x14ac:dyDescent="0.25">
      <c r="A23" s="3" t="str">
        <f>'[3]Master Data '!B128</f>
        <v>PFMLA Trust Contribution</v>
      </c>
      <c r="B23" s="3">
        <f>'[3]Master Data '!D128</f>
        <v>3.7000000000000002E-3</v>
      </c>
      <c r="E23" s="91">
        <f>E16*B23</f>
        <v>2279.3287949280002</v>
      </c>
      <c r="G23" s="362" t="s">
        <v>27</v>
      </c>
      <c r="H23" s="12"/>
      <c r="I23" s="42">
        <f>'Salary Bench Chart'!C4</f>
        <v>32198.400000000001</v>
      </c>
      <c r="J23" s="560"/>
    </row>
    <row r="24" spans="1:13" ht="13.15" x14ac:dyDescent="0.25">
      <c r="A24" s="3" t="s">
        <v>250</v>
      </c>
      <c r="D24" s="91">
        <v>4.1500000000000004</v>
      </c>
      <c r="E24" s="267">
        <f>D24*(365*12)</f>
        <v>18177</v>
      </c>
      <c r="G24" s="346" t="s">
        <v>28</v>
      </c>
      <c r="H24" s="12"/>
      <c r="I24" s="42"/>
      <c r="J24" s="560"/>
    </row>
    <row r="25" spans="1:13" ht="13.15" x14ac:dyDescent="0.25">
      <c r="A25" s="3" t="s">
        <v>252</v>
      </c>
      <c r="D25" s="91">
        <f>J50</f>
        <v>22.6302378</v>
      </c>
      <c r="E25" s="267">
        <f>D25*(365*(4+4))</f>
        <v>66080.294376000005</v>
      </c>
      <c r="G25" s="25" t="s">
        <v>29</v>
      </c>
      <c r="H25" s="10"/>
      <c r="I25" s="42">
        <f>'Salary Bench Chart'!C4</f>
        <v>32198.400000000001</v>
      </c>
      <c r="J25" s="561"/>
    </row>
    <row r="26" spans="1:13" ht="13.15" x14ac:dyDescent="0.25">
      <c r="A26" s="3" t="s">
        <v>254</v>
      </c>
      <c r="D26" s="91">
        <f>I51</f>
        <v>9.5245289220366018</v>
      </c>
      <c r="E26" s="267">
        <f>D26*(365*12)</f>
        <v>41717.436678520316</v>
      </c>
      <c r="G26" s="25"/>
      <c r="H26" s="10"/>
      <c r="I26" s="42"/>
      <c r="J26" s="575"/>
    </row>
    <row r="27" spans="1:13" ht="13.15" x14ac:dyDescent="0.25">
      <c r="A27" s="10" t="s">
        <v>256</v>
      </c>
      <c r="D27" s="91">
        <f>J51</f>
        <v>17.9745645</v>
      </c>
      <c r="E27" s="267">
        <f>D27*(365*(4+4))</f>
        <v>52485.728340000001</v>
      </c>
      <c r="G27" s="16"/>
      <c r="H27" s="10"/>
      <c r="I27" s="59" t="s">
        <v>41</v>
      </c>
      <c r="J27" s="576"/>
    </row>
    <row r="28" spans="1:13" x14ac:dyDescent="0.2">
      <c r="D28" s="58">
        <f>SUM(D25:D27)</f>
        <v>50.129331222036598</v>
      </c>
      <c r="G28" s="16" t="s">
        <v>42</v>
      </c>
      <c r="H28" s="95"/>
      <c r="I28" s="60" t="s">
        <v>246</v>
      </c>
      <c r="J28" s="61" t="s">
        <v>247</v>
      </c>
      <c r="L28" s="609" t="s">
        <v>248</v>
      </c>
      <c r="M28" s="292"/>
    </row>
    <row r="29" spans="1:13" ht="13.15" x14ac:dyDescent="0.25">
      <c r="G29" s="16" t="s">
        <v>48</v>
      </c>
      <c r="H29" s="292"/>
      <c r="I29" s="62">
        <f>[11]TAY!$J$28</f>
        <v>20</v>
      </c>
      <c r="J29" s="63">
        <f>[11]TAY!$K$28</f>
        <v>11</v>
      </c>
      <c r="L29" s="610" t="s">
        <v>249</v>
      </c>
    </row>
    <row r="30" spans="1:13" ht="13.15" x14ac:dyDescent="0.25">
      <c r="A30" s="50" t="s">
        <v>40</v>
      </c>
      <c r="B30" s="50"/>
      <c r="C30" s="50"/>
      <c r="D30" s="50"/>
      <c r="E30" s="264">
        <f>SUM(E20:E27)</f>
        <v>955719.95481551229</v>
      </c>
      <c r="G30" s="17" t="s">
        <v>14</v>
      </c>
      <c r="I30" s="611">
        <f>[11]TAY!J30</f>
        <v>1</v>
      </c>
      <c r="J30" s="612">
        <f>[11]TAY!K30</f>
        <v>1.75</v>
      </c>
      <c r="L30" s="613" t="s">
        <v>251</v>
      </c>
    </row>
    <row r="31" spans="1:13" ht="13.15" x14ac:dyDescent="0.25">
      <c r="G31" s="17" t="s">
        <v>16</v>
      </c>
      <c r="I31" s="611"/>
      <c r="J31" s="612"/>
      <c r="L31" s="613" t="s">
        <v>253</v>
      </c>
    </row>
    <row r="32" spans="1:13" ht="13.15" x14ac:dyDescent="0.25">
      <c r="A32" s="3" t="s">
        <v>47</v>
      </c>
      <c r="C32" s="265">
        <f>$I$54</f>
        <v>0.11849999999999999</v>
      </c>
      <c r="E32" s="254">
        <f>C32*E30</f>
        <v>113252.81464563819</v>
      </c>
      <c r="G32" s="25" t="s">
        <v>124</v>
      </c>
      <c r="I32" s="611">
        <f>[11]TAY!J32</f>
        <v>0.05</v>
      </c>
      <c r="J32" s="612">
        <f>[11]TAY!K32</f>
        <v>0.05</v>
      </c>
      <c r="L32" s="613" t="s">
        <v>255</v>
      </c>
    </row>
    <row r="33" spans="1:12" ht="13.15" x14ac:dyDescent="0.25">
      <c r="G33" s="25" t="s">
        <v>18</v>
      </c>
      <c r="I33" s="611">
        <f>[11]TAY!J33</f>
        <v>0.1</v>
      </c>
      <c r="J33" s="612">
        <f>[11]TAY!K33</f>
        <v>0.25</v>
      </c>
      <c r="L33" s="613" t="s">
        <v>257</v>
      </c>
    </row>
    <row r="34" spans="1:12" ht="13.9" thickBot="1" x14ac:dyDescent="0.3">
      <c r="A34" s="268" t="s">
        <v>49</v>
      </c>
      <c r="B34" s="65"/>
      <c r="C34" s="65"/>
      <c r="D34" s="65"/>
      <c r="E34" s="269">
        <f>SUM(E30:E32)</f>
        <v>1068972.7694611505</v>
      </c>
      <c r="G34" s="25" t="s">
        <v>125</v>
      </c>
      <c r="I34" s="611"/>
      <c r="J34" s="612">
        <f>[11]TAY!K34</f>
        <v>0.5</v>
      </c>
      <c r="L34" s="613" t="s">
        <v>258</v>
      </c>
    </row>
    <row r="35" spans="1:12" ht="14.45" thickTop="1" thickBot="1" x14ac:dyDescent="0.3">
      <c r="A35" s="3" t="str">
        <f>G56</f>
        <v>CAF rate</v>
      </c>
      <c r="B35" s="344">
        <f>I56</f>
        <v>1.78E-2</v>
      </c>
      <c r="E35" s="615">
        <f>(E34*B35)-(E16*B35)</f>
        <v>8062.2956883764782</v>
      </c>
      <c r="G35" s="25" t="s">
        <v>31</v>
      </c>
      <c r="I35" s="611">
        <f>[11]TAY!J35</f>
        <v>1</v>
      </c>
      <c r="J35" s="612">
        <f>[11]TAY!K35</f>
        <v>1</v>
      </c>
      <c r="L35" s="3" t="s">
        <v>259</v>
      </c>
    </row>
    <row r="36" spans="1:12" ht="13.9" thickTop="1" x14ac:dyDescent="0.25">
      <c r="C36" s="270"/>
      <c r="E36" s="271">
        <f>E35+E34</f>
        <v>1077035.065149527</v>
      </c>
      <c r="G36" s="17" t="s">
        <v>20</v>
      </c>
      <c r="I36" s="611"/>
      <c r="J36" s="612"/>
    </row>
    <row r="37" spans="1:12" ht="13.15" x14ac:dyDescent="0.25">
      <c r="G37" s="25" t="s">
        <v>34</v>
      </c>
      <c r="I37" s="611">
        <f>[11]TAY!J37</f>
        <v>1</v>
      </c>
      <c r="J37" s="612">
        <f>[11]TAY!K37</f>
        <v>1</v>
      </c>
    </row>
    <row r="38" spans="1:12" ht="13.15" x14ac:dyDescent="0.25">
      <c r="E38" s="274" t="s">
        <v>119</v>
      </c>
      <c r="G38" s="25" t="s">
        <v>37</v>
      </c>
      <c r="H38" s="10"/>
      <c r="I38" s="611"/>
      <c r="J38" s="612">
        <f>[11]TAY!K38</f>
        <v>1</v>
      </c>
    </row>
    <row r="39" spans="1:12" ht="13.15" x14ac:dyDescent="0.25">
      <c r="A39" s="3" t="s">
        <v>133</v>
      </c>
      <c r="D39" s="276"/>
      <c r="E39" s="276">
        <f>E36/E2</f>
        <v>147.53905002048316</v>
      </c>
      <c r="G39" s="25" t="s">
        <v>25</v>
      </c>
      <c r="I39" s="611">
        <f>[11]TAY!J39</f>
        <v>12</v>
      </c>
      <c r="J39" s="612">
        <f>[11]TAY!K39</f>
        <v>13</v>
      </c>
    </row>
    <row r="40" spans="1:12" ht="13.9" x14ac:dyDescent="0.3">
      <c r="A40" s="72" t="s">
        <v>260</v>
      </c>
      <c r="B40" s="90"/>
      <c r="C40" s="370"/>
      <c r="D40" s="278"/>
      <c r="E40" s="278"/>
      <c r="G40" s="47" t="s">
        <v>27</v>
      </c>
      <c r="I40" s="614">
        <f>I39*I10</f>
        <v>1.8461538461538463</v>
      </c>
      <c r="J40" s="591">
        <f>J39*I10</f>
        <v>2</v>
      </c>
      <c r="K40" s="81"/>
    </row>
    <row r="41" spans="1:12" ht="13.9" thickBot="1" x14ac:dyDescent="0.3">
      <c r="A41" s="279" t="s">
        <v>50</v>
      </c>
      <c r="B41" s="280">
        <v>0.9</v>
      </c>
      <c r="C41" s="373"/>
      <c r="D41" s="374"/>
      <c r="E41" s="616">
        <f>E39/B41</f>
        <v>163.93227780053684</v>
      </c>
      <c r="G41" s="17" t="s">
        <v>28</v>
      </c>
      <c r="I41" s="611"/>
      <c r="J41" s="612"/>
    </row>
    <row r="42" spans="1:12" ht="13.9" thickBot="1" x14ac:dyDescent="0.3">
      <c r="A42" s="82"/>
      <c r="B42" s="83"/>
      <c r="C42" s="84"/>
      <c r="D42" s="79"/>
      <c r="E42" s="617">
        <f>E41</f>
        <v>163.93227780053684</v>
      </c>
      <c r="G42" s="25" t="s">
        <v>29</v>
      </c>
      <c r="I42" s="611">
        <f>[11]TAY!J42</f>
        <v>0.25</v>
      </c>
      <c r="J42" s="612">
        <f>[11]TAY!K42</f>
        <v>0.25</v>
      </c>
    </row>
    <row r="43" spans="1:12" ht="13.15" x14ac:dyDescent="0.25">
      <c r="A43" s="290"/>
      <c r="B43" s="291"/>
      <c r="C43" s="378"/>
      <c r="D43" s="379"/>
      <c r="E43" s="477"/>
      <c r="G43" s="16"/>
      <c r="H43" s="10"/>
      <c r="I43" s="10"/>
      <c r="J43" s="11"/>
    </row>
    <row r="44" spans="1:12" ht="13.15" x14ac:dyDescent="0.25">
      <c r="G44" s="16"/>
      <c r="H44" s="10"/>
      <c r="I44" s="59" t="s">
        <v>135</v>
      </c>
      <c r="J44" s="576"/>
    </row>
    <row r="45" spans="1:12" ht="13.15" x14ac:dyDescent="0.25">
      <c r="G45" s="16" t="s">
        <v>35</v>
      </c>
      <c r="H45" s="10"/>
      <c r="I45" s="380">
        <f>'Salary Bench Chart'!C30</f>
        <v>0.22309999999999999</v>
      </c>
      <c r="J45" s="600" t="s">
        <v>137</v>
      </c>
    </row>
    <row r="46" spans="1:12" ht="13.15" x14ac:dyDescent="0.25">
      <c r="G46" s="16" t="s">
        <v>184</v>
      </c>
      <c r="H46" s="10"/>
      <c r="I46" s="737">
        <f>'Salary Bench Chart'!C32</f>
        <v>3.7000000000000002E-3</v>
      </c>
      <c r="J46" s="577"/>
    </row>
    <row r="47" spans="1:12" ht="13.5" thickBot="1" x14ac:dyDescent="0.25">
      <c r="A47" s="828" t="s">
        <v>262</v>
      </c>
      <c r="B47" s="827"/>
      <c r="C47" s="827"/>
      <c r="D47" s="827"/>
      <c r="E47" s="827"/>
      <c r="G47" s="16" t="s">
        <v>208</v>
      </c>
      <c r="H47" s="10"/>
      <c r="I47" s="647">
        <f>'[3]FA - SO (rebased)'!J39</f>
        <v>1075.3995600000001</v>
      </c>
      <c r="J47" s="577"/>
    </row>
    <row r="48" spans="1:12" x14ac:dyDescent="0.2">
      <c r="A48" s="246" t="s">
        <v>4</v>
      </c>
      <c r="B48" s="247">
        <f>J29</f>
        <v>11</v>
      </c>
      <c r="C48" s="246"/>
      <c r="D48" s="246" t="s">
        <v>5</v>
      </c>
      <c r="E48" s="248">
        <f>B48*365</f>
        <v>4015</v>
      </c>
      <c r="G48" s="16"/>
      <c r="H48" s="10"/>
      <c r="I48" s="742"/>
      <c r="J48" s="577"/>
    </row>
    <row r="49" spans="1:11" x14ac:dyDescent="0.2">
      <c r="G49" s="16"/>
      <c r="H49" s="10"/>
      <c r="I49" s="743" t="s">
        <v>261</v>
      </c>
      <c r="J49" s="618" t="s">
        <v>207</v>
      </c>
    </row>
    <row r="50" spans="1:11" x14ac:dyDescent="0.2">
      <c r="A50" s="22"/>
      <c r="B50" s="22"/>
      <c r="C50" s="23" t="s">
        <v>10</v>
      </c>
      <c r="D50" s="23" t="s">
        <v>11</v>
      </c>
      <c r="E50" s="23" t="s">
        <v>12</v>
      </c>
      <c r="G50" s="16" t="s">
        <v>38</v>
      </c>
      <c r="H50" s="10"/>
      <c r="I50" s="381">
        <f>'[3]Master Data '!F92</f>
        <v>4.2491850000000007</v>
      </c>
      <c r="J50" s="619">
        <f>'[3]Group Home (rebased)'!P49</f>
        <v>22.6302378</v>
      </c>
      <c r="K50" s="620"/>
    </row>
    <row r="51" spans="1:11" ht="12.75" customHeight="1" x14ac:dyDescent="0.2">
      <c r="A51" s="251" t="s">
        <v>14</v>
      </c>
      <c r="C51" s="252">
        <f>I13</f>
        <v>57593.3511</v>
      </c>
      <c r="D51" s="253">
        <f>J30</f>
        <v>1.75</v>
      </c>
      <c r="E51" s="254">
        <f>C51*D51</f>
        <v>100788.36442500001</v>
      </c>
      <c r="G51" s="16" t="s">
        <v>39</v>
      </c>
      <c r="H51" s="10"/>
      <c r="I51" s="381">
        <f>'[3]Master Data '!F102</f>
        <v>9.5245289220366018</v>
      </c>
      <c r="J51" s="619">
        <f>'[3]Master Data '!F103</f>
        <v>17.9745645</v>
      </c>
      <c r="K51" s="620"/>
    </row>
    <row r="52" spans="1:11" ht="12.6" customHeight="1" x14ac:dyDescent="0.2">
      <c r="A52" s="256" t="s">
        <v>16</v>
      </c>
      <c r="C52" s="258"/>
      <c r="D52" s="354"/>
      <c r="E52" s="254"/>
      <c r="G52" s="94" t="s">
        <v>40</v>
      </c>
      <c r="H52" s="95"/>
      <c r="I52" s="384">
        <f>SUM(I50:I51)</f>
        <v>13.773713922036602</v>
      </c>
      <c r="J52" s="578">
        <f>SUM(J50:J51)</f>
        <v>40.604802300000003</v>
      </c>
    </row>
    <row r="53" spans="1:11" ht="24.95" customHeight="1" x14ac:dyDescent="0.2">
      <c r="A53" s="257" t="s">
        <v>124</v>
      </c>
      <c r="C53" s="258">
        <f>I15</f>
        <v>220355.5668</v>
      </c>
      <c r="D53" s="354">
        <f>J32</f>
        <v>0.05</v>
      </c>
      <c r="E53" s="254">
        <f>C53*D53</f>
        <v>11017.778340000001</v>
      </c>
      <c r="G53" s="16"/>
      <c r="H53" s="10"/>
      <c r="I53" s="12"/>
      <c r="J53" s="11"/>
    </row>
    <row r="54" spans="1:11" x14ac:dyDescent="0.2">
      <c r="A54" s="257" t="s">
        <v>18</v>
      </c>
      <c r="C54" s="258">
        <f>I16</f>
        <v>86860.800000000003</v>
      </c>
      <c r="D54" s="354">
        <f>J33</f>
        <v>0.25</v>
      </c>
      <c r="E54" s="254">
        <f>C54*D54</f>
        <v>21715.200000000001</v>
      </c>
      <c r="G54" s="16" t="s">
        <v>47</v>
      </c>
      <c r="H54" s="10"/>
      <c r="I54" s="380">
        <f>'[3]Group Home'!Q55</f>
        <v>0.11849999999999999</v>
      </c>
      <c r="J54" s="600"/>
    </row>
    <row r="55" spans="1:11" ht="12.75" customHeight="1" x14ac:dyDescent="0.2">
      <c r="A55" s="257" t="s">
        <v>125</v>
      </c>
      <c r="C55" s="258">
        <f>I17</f>
        <v>67962.386400000003</v>
      </c>
      <c r="D55" s="354">
        <f>J34</f>
        <v>0.5</v>
      </c>
      <c r="E55" s="254">
        <f>C55*D55</f>
        <v>33981.193200000002</v>
      </c>
      <c r="G55" s="16"/>
      <c r="H55" s="10"/>
      <c r="I55" s="12"/>
      <c r="J55" s="11"/>
    </row>
    <row r="56" spans="1:11" ht="13.5" thickBot="1" x14ac:dyDescent="0.25">
      <c r="A56" s="257" t="s">
        <v>265</v>
      </c>
      <c r="C56" s="258">
        <f>I18</f>
        <v>52665.599999999999</v>
      </c>
      <c r="D56" s="354">
        <f>J35</f>
        <v>1</v>
      </c>
      <c r="E56" s="254">
        <f>C56*D56</f>
        <v>52665.599999999999</v>
      </c>
      <c r="G56" s="97" t="s">
        <v>263</v>
      </c>
      <c r="H56" s="98"/>
      <c r="I56" s="741">
        <f>'Salary Bench Chart'!C31</f>
        <v>1.78E-2</v>
      </c>
      <c r="J56" s="579"/>
    </row>
    <row r="57" spans="1:11" x14ac:dyDescent="0.2">
      <c r="A57" s="256" t="s">
        <v>20</v>
      </c>
      <c r="C57" s="258"/>
      <c r="D57" s="354"/>
      <c r="E57" s="254"/>
      <c r="G57" s="100"/>
      <c r="H57" s="101"/>
    </row>
    <row r="58" spans="1:11" x14ac:dyDescent="0.2">
      <c r="A58" s="257" t="s">
        <v>34</v>
      </c>
      <c r="C58" s="258">
        <f>I20</f>
        <v>32198.400000000001</v>
      </c>
      <c r="D58" s="354">
        <f>J37</f>
        <v>1</v>
      </c>
      <c r="E58" s="254">
        <f>C58*D58</f>
        <v>32198.400000000001</v>
      </c>
      <c r="G58" s="15"/>
    </row>
    <row r="59" spans="1:11" x14ac:dyDescent="0.2">
      <c r="A59" s="257" t="s">
        <v>114</v>
      </c>
      <c r="C59" s="258">
        <f>I21</f>
        <v>43971.200000000004</v>
      </c>
      <c r="D59" s="354">
        <f>J38</f>
        <v>1</v>
      </c>
      <c r="E59" s="254">
        <f>C59*D59</f>
        <v>43971.200000000004</v>
      </c>
    </row>
    <row r="60" spans="1:11" x14ac:dyDescent="0.2">
      <c r="A60" s="257" t="s">
        <v>25</v>
      </c>
      <c r="C60" s="258">
        <f>I22</f>
        <v>32198.400000000001</v>
      </c>
      <c r="D60" s="354">
        <f>J39</f>
        <v>13</v>
      </c>
      <c r="E60" s="254">
        <f>C60*D60</f>
        <v>418579.20000000001</v>
      </c>
      <c r="G60" s="102"/>
    </row>
    <row r="61" spans="1:11" x14ac:dyDescent="0.2">
      <c r="A61" s="259" t="s">
        <v>27</v>
      </c>
      <c r="C61" s="258">
        <f>I23</f>
        <v>32198.400000000001</v>
      </c>
      <c r="D61" s="354">
        <f>J40</f>
        <v>2</v>
      </c>
      <c r="E61" s="254">
        <f>C61*D61</f>
        <v>64396.800000000003</v>
      </c>
    </row>
    <row r="62" spans="1:11" x14ac:dyDescent="0.2">
      <c r="A62" s="256" t="s">
        <v>28</v>
      </c>
      <c r="C62" s="258"/>
      <c r="D62" s="354"/>
      <c r="E62" s="254"/>
      <c r="G62" s="103"/>
    </row>
    <row r="63" spans="1:11" x14ac:dyDescent="0.2">
      <c r="A63" s="257" t="s">
        <v>29</v>
      </c>
      <c r="C63" s="258">
        <f>I25</f>
        <v>32198.400000000001</v>
      </c>
      <c r="D63" s="354">
        <f>J42</f>
        <v>0.25</v>
      </c>
      <c r="E63" s="254">
        <f>C63*D63</f>
        <v>8049.6</v>
      </c>
    </row>
    <row r="64" spans="1:11" x14ac:dyDescent="0.2">
      <c r="A64" s="50" t="s">
        <v>30</v>
      </c>
      <c r="B64" s="50"/>
      <c r="C64" s="50"/>
      <c r="D64" s="51">
        <f>SUM(D51:D63)</f>
        <v>20.8</v>
      </c>
      <c r="E64" s="264">
        <f>SUM(E51:E63)</f>
        <v>787363.33596499998</v>
      </c>
    </row>
    <row r="65" spans="1:7" x14ac:dyDescent="0.2">
      <c r="G65" s="15"/>
    </row>
    <row r="66" spans="1:7" x14ac:dyDescent="0.2">
      <c r="A66" s="246" t="s">
        <v>32</v>
      </c>
      <c r="D66" s="246" t="s">
        <v>33</v>
      </c>
      <c r="G66" s="298"/>
    </row>
    <row r="67" spans="1:7" x14ac:dyDescent="0.2">
      <c r="A67" s="3" t="s">
        <v>35</v>
      </c>
      <c r="C67" s="265">
        <f>I45</f>
        <v>0.22309999999999999</v>
      </c>
      <c r="E67" s="254">
        <f>C67*E64</f>
        <v>175660.76025379149</v>
      </c>
      <c r="G67" s="104"/>
    </row>
    <row r="68" spans="1:7" x14ac:dyDescent="0.2">
      <c r="A68" s="50" t="s">
        <v>36</v>
      </c>
      <c r="B68" s="50"/>
      <c r="C68" s="50"/>
      <c r="D68" s="54">
        <f>E68/E48</f>
        <v>239.85656194739514</v>
      </c>
      <c r="E68" s="264">
        <f>E67+E64</f>
        <v>963024.09621879144</v>
      </c>
      <c r="G68" s="620"/>
    </row>
    <row r="69" spans="1:7" x14ac:dyDescent="0.2">
      <c r="G69" s="104"/>
    </row>
    <row r="70" spans="1:7" x14ac:dyDescent="0.2">
      <c r="A70" s="3" t="s">
        <v>208</v>
      </c>
      <c r="C70" s="608">
        <f>$I$47</f>
        <v>1075.3995600000001</v>
      </c>
      <c r="E70" s="267">
        <f>C70*B48</f>
        <v>11829.39516</v>
      </c>
      <c r="G70" s="104"/>
    </row>
    <row r="71" spans="1:7" x14ac:dyDescent="0.2">
      <c r="A71" s="3" t="str">
        <f>'[3]Master Data '!B128</f>
        <v>PFMLA Trust Contribution</v>
      </c>
      <c r="B71" s="344">
        <f>I46</f>
        <v>3.7000000000000002E-3</v>
      </c>
      <c r="E71" s="91">
        <f>E64*B71</f>
        <v>2913.2443430705002</v>
      </c>
    </row>
    <row r="72" spans="1:7" x14ac:dyDescent="0.2">
      <c r="A72" s="3" t="s">
        <v>252</v>
      </c>
      <c r="D72" s="91">
        <f>J50</f>
        <v>22.6302378</v>
      </c>
      <c r="E72" s="267">
        <f>D72*E48</f>
        <v>90860.404767</v>
      </c>
    </row>
    <row r="73" spans="1:7" x14ac:dyDescent="0.2">
      <c r="A73" s="10" t="s">
        <v>256</v>
      </c>
      <c r="D73" s="91">
        <f>J51</f>
        <v>17.9745645</v>
      </c>
      <c r="E73" s="267">
        <f>D73*E48</f>
        <v>72167.876467499998</v>
      </c>
    </row>
    <row r="74" spans="1:7" x14ac:dyDescent="0.2">
      <c r="D74" s="58">
        <f>SUM(D72:D73)</f>
        <v>40.604802300000003</v>
      </c>
    </row>
    <row r="76" spans="1:7" x14ac:dyDescent="0.2">
      <c r="A76" s="50" t="s">
        <v>40</v>
      </c>
      <c r="B76" s="50"/>
      <c r="C76" s="50"/>
      <c r="D76" s="50"/>
      <c r="E76" s="264">
        <f>SUM(E68:E73)</f>
        <v>1140795.0169563619</v>
      </c>
    </row>
    <row r="78" spans="1:7" x14ac:dyDescent="0.2">
      <c r="A78" s="3" t="s">
        <v>47</v>
      </c>
      <c r="C78" s="265">
        <f>$I$54</f>
        <v>0.11849999999999999</v>
      </c>
      <c r="E78" s="254">
        <f>C78*E76</f>
        <v>135184.20950932888</v>
      </c>
    </row>
    <row r="80" spans="1:7" ht="13.5" thickBot="1" x14ac:dyDescent="0.25">
      <c r="A80" s="268" t="s">
        <v>49</v>
      </c>
      <c r="B80" s="65"/>
      <c r="C80" s="65"/>
      <c r="D80" s="65"/>
      <c r="E80" s="269">
        <f>SUM(E76:E78)</f>
        <v>1275979.2264656909</v>
      </c>
    </row>
    <row r="81" spans="1:5" ht="14.25" thickTop="1" thickBot="1" x14ac:dyDescent="0.25">
      <c r="A81" s="3" t="str">
        <f>G56</f>
        <v>CAF rate</v>
      </c>
      <c r="B81" s="344">
        <f>I56</f>
        <v>1.78E-2</v>
      </c>
      <c r="E81" s="615">
        <f>(E80*B81)-(E64*B81)</f>
        <v>8697.3628509122973</v>
      </c>
    </row>
    <row r="82" spans="1:5" ht="13.5" thickTop="1" x14ac:dyDescent="0.2">
      <c r="C82" s="270"/>
      <c r="E82" s="271">
        <f>E81+E80</f>
        <v>1284676.5893166033</v>
      </c>
    </row>
    <row r="84" spans="1:5" x14ac:dyDescent="0.2">
      <c r="E84" s="274" t="s">
        <v>119</v>
      </c>
    </row>
    <row r="85" spans="1:5" x14ac:dyDescent="0.2">
      <c r="A85" s="3" t="s">
        <v>133</v>
      </c>
      <c r="D85" s="276"/>
      <c r="E85" s="276">
        <f>E82/E48</f>
        <v>319.96926259442171</v>
      </c>
    </row>
    <row r="86" spans="1:5" ht="13.5" thickBot="1" x14ac:dyDescent="0.25">
      <c r="A86" s="385" t="s">
        <v>260</v>
      </c>
      <c r="B86" s="90"/>
      <c r="C86" s="370"/>
      <c r="D86" s="278"/>
      <c r="E86" s="278"/>
    </row>
    <row r="87" spans="1:5" ht="13.5" thickBot="1" x14ac:dyDescent="0.25">
      <c r="A87" s="279" t="s">
        <v>50</v>
      </c>
      <c r="B87" s="280">
        <v>0.9</v>
      </c>
      <c r="C87" s="373"/>
      <c r="D87" s="374"/>
      <c r="E87" s="621">
        <f>E85/B87</f>
        <v>355.52140288269078</v>
      </c>
    </row>
    <row r="88" spans="1:5" ht="13.5" thickBot="1" x14ac:dyDescent="0.25">
      <c r="A88" s="82"/>
      <c r="B88" s="83"/>
      <c r="C88" s="84"/>
      <c r="D88" s="79"/>
      <c r="E88" s="617">
        <f>E87</f>
        <v>355.52140288269078</v>
      </c>
    </row>
    <row r="89" spans="1:5" x14ac:dyDescent="0.2">
      <c r="A89" s="290"/>
      <c r="B89" s="291"/>
      <c r="C89" s="292"/>
      <c r="D89" s="293"/>
      <c r="E89" s="294"/>
    </row>
  </sheetData>
  <mergeCells count="4">
    <mergeCell ref="G1:J1"/>
    <mergeCell ref="H3:I3"/>
    <mergeCell ref="A1:E1"/>
    <mergeCell ref="A47:E47"/>
  </mergeCells>
  <pageMargins left="0.7" right="0.7" top="0.75" bottom="0.75" header="0.3" footer="0.3"/>
  <pageSetup fitToHeight="0" orientation="portrait" r:id="rId1"/>
  <rowBreaks count="1" manualBreakCount="1">
    <brk id="52" max="5" man="1"/>
  </rowBreaks>
  <ignoredErrors>
    <ignoredError sqref="I2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16" zoomScale="85" zoomScaleNormal="85" workbookViewId="0">
      <selection activeCell="O27" sqref="O27"/>
    </sheetView>
  </sheetViews>
  <sheetFormatPr defaultColWidth="9.140625" defaultRowHeight="12.75" x14ac:dyDescent="0.2"/>
  <cols>
    <col min="1" max="1" width="31.85546875" style="205" customWidth="1"/>
    <col min="2" max="2" width="8.7109375" style="205" customWidth="1"/>
    <col min="3" max="3" width="12.85546875" style="205" customWidth="1"/>
    <col min="4" max="4" width="10.85546875" style="205" customWidth="1"/>
    <col min="5" max="5" width="13.140625" style="205" customWidth="1"/>
    <col min="6" max="6" width="9.140625" style="205"/>
    <col min="7" max="7" width="31.85546875" style="205" bestFit="1" customWidth="1"/>
    <col min="8" max="10" width="10.140625" style="205" customWidth="1"/>
    <col min="11" max="11" width="5" style="205" customWidth="1"/>
    <col min="12" max="16384" width="9.140625" style="205"/>
  </cols>
  <sheetData>
    <row r="1" spans="1:12" ht="13.9" thickBot="1" x14ac:dyDescent="0.3">
      <c r="G1" s="771" t="s">
        <v>2</v>
      </c>
      <c r="H1" s="771"/>
      <c r="I1" s="771"/>
      <c r="J1" s="771"/>
    </row>
    <row r="2" spans="1:12" ht="13.9" thickBot="1" x14ac:dyDescent="0.3"/>
    <row r="3" spans="1:12" ht="13.15" x14ac:dyDescent="0.25">
      <c r="G3" s="345" t="s">
        <v>6</v>
      </c>
      <c r="H3" s="760" t="s">
        <v>7</v>
      </c>
      <c r="I3" s="760"/>
      <c r="J3" s="14"/>
      <c r="K3" s="387"/>
      <c r="L3" s="387"/>
    </row>
    <row r="4" spans="1:12" ht="13.15" x14ac:dyDescent="0.25">
      <c r="A4" s="387"/>
      <c r="B4" s="387"/>
      <c r="C4" s="387"/>
      <c r="D4" s="387"/>
      <c r="E4" s="387"/>
      <c r="G4" s="346"/>
      <c r="H4" s="4" t="s">
        <v>8</v>
      </c>
      <c r="I4" s="347" t="s">
        <v>9</v>
      </c>
      <c r="J4" s="151"/>
      <c r="K4" s="387"/>
      <c r="L4" s="387"/>
    </row>
    <row r="5" spans="1:12" ht="13.15" x14ac:dyDescent="0.25">
      <c r="G5" s="348" t="s">
        <v>13</v>
      </c>
      <c r="H5" s="27">
        <v>15</v>
      </c>
      <c r="I5" s="27">
        <f>H5*8</f>
        <v>120</v>
      </c>
      <c r="J5" s="151"/>
      <c r="K5" s="387"/>
      <c r="L5" s="387"/>
    </row>
    <row r="6" spans="1:12" ht="13.15" customHeight="1" x14ac:dyDescent="0.25">
      <c r="G6" s="348" t="s">
        <v>15</v>
      </c>
      <c r="H6" s="27">
        <v>8</v>
      </c>
      <c r="I6" s="27">
        <f>H6*8</f>
        <v>64</v>
      </c>
      <c r="J6" s="151"/>
      <c r="K6" s="387"/>
      <c r="L6" s="387"/>
    </row>
    <row r="7" spans="1:12" ht="13.9" customHeight="1" thickBot="1" x14ac:dyDescent="0.3">
      <c r="A7" s="799" t="s">
        <v>266</v>
      </c>
      <c r="B7" s="799"/>
      <c r="C7" s="799"/>
      <c r="D7" s="799"/>
      <c r="E7" s="799"/>
      <c r="G7" s="348" t="s">
        <v>17</v>
      </c>
      <c r="H7" s="27">
        <v>10</v>
      </c>
      <c r="I7" s="27">
        <f>H7*8</f>
        <v>80</v>
      </c>
      <c r="J7" s="151"/>
      <c r="K7" s="387"/>
      <c r="L7" s="387"/>
    </row>
    <row r="8" spans="1:12" ht="13.15" x14ac:dyDescent="0.25">
      <c r="A8" s="390" t="s">
        <v>4</v>
      </c>
      <c r="B8" s="349">
        <f>I$23</f>
        <v>1</v>
      </c>
      <c r="C8" s="390"/>
      <c r="D8" s="390" t="s">
        <v>5</v>
      </c>
      <c r="E8" s="301">
        <f>B8*365</f>
        <v>365</v>
      </c>
      <c r="G8" s="351" t="s">
        <v>19</v>
      </c>
      <c r="H8" s="34">
        <v>7</v>
      </c>
      <c r="I8" s="34">
        <f>H8*8</f>
        <v>56</v>
      </c>
      <c r="J8" s="159"/>
      <c r="K8" s="387"/>
      <c r="L8" s="387"/>
    </row>
    <row r="9" spans="1:12" ht="13.15" x14ac:dyDescent="0.25">
      <c r="G9" s="348"/>
      <c r="H9" s="36" t="s">
        <v>21</v>
      </c>
      <c r="I9" s="27">
        <f>SUM(I5:I8)</f>
        <v>320</v>
      </c>
      <c r="J9" s="160"/>
      <c r="K9" s="387"/>
      <c r="L9" s="387"/>
    </row>
    <row r="10" spans="1:12" ht="13.9" thickBot="1" x14ac:dyDescent="0.3">
      <c r="A10" s="394"/>
      <c r="B10" s="394"/>
      <c r="C10" s="395" t="s">
        <v>10</v>
      </c>
      <c r="D10" s="395" t="s">
        <v>11</v>
      </c>
      <c r="E10" s="395" t="s">
        <v>12</v>
      </c>
      <c r="G10" s="352"/>
      <c r="H10" s="39" t="s">
        <v>23</v>
      </c>
      <c r="I10" s="40">
        <f>I9/(52*40)</f>
        <v>0.15384615384615385</v>
      </c>
      <c r="J10" s="41"/>
    </row>
    <row r="11" spans="1:12" ht="13.9" thickBot="1" x14ac:dyDescent="0.3">
      <c r="A11" s="353" t="s">
        <v>14</v>
      </c>
      <c r="C11" s="303">
        <f>I13</f>
        <v>57593.3511</v>
      </c>
      <c r="D11" s="396">
        <f>I24</f>
        <v>8.3333333333333329E-2</v>
      </c>
      <c r="E11" s="303">
        <f>C11*D11</f>
        <v>4799.445925</v>
      </c>
      <c r="K11" s="448"/>
    </row>
    <row r="12" spans="1:12" ht="13.15" x14ac:dyDescent="0.25">
      <c r="A12" s="355" t="s">
        <v>16</v>
      </c>
      <c r="C12" s="303"/>
      <c r="D12" s="396"/>
      <c r="E12" s="303"/>
      <c r="G12" s="398"/>
      <c r="H12" s="399"/>
      <c r="I12" s="400" t="s">
        <v>112</v>
      </c>
      <c r="J12" s="632"/>
    </row>
    <row r="13" spans="1:12" ht="13.15" x14ac:dyDescent="0.25">
      <c r="A13" s="359" t="s">
        <v>18</v>
      </c>
      <c r="C13" s="303">
        <f>I15</f>
        <v>86860.800000000003</v>
      </c>
      <c r="D13" s="396">
        <f>I26</f>
        <v>6.6666666666666666E-2</v>
      </c>
      <c r="E13" s="303">
        <f>C13*D13</f>
        <v>5790.72</v>
      </c>
      <c r="G13" s="346" t="s">
        <v>14</v>
      </c>
      <c r="H13" s="149"/>
      <c r="I13" s="161">
        <f>'[3]Group Home (rebased)'!P13</f>
        <v>57593.3511</v>
      </c>
      <c r="J13" s="488"/>
    </row>
    <row r="14" spans="1:12" ht="13.15" x14ac:dyDescent="0.25">
      <c r="A14" s="359" t="s">
        <v>146</v>
      </c>
      <c r="C14" s="303">
        <f>I16</f>
        <v>195380</v>
      </c>
      <c r="D14" s="396">
        <f>I27</f>
        <v>7.0000000000000001E-3</v>
      </c>
      <c r="E14" s="303">
        <f>C14*D14</f>
        <v>1367.66</v>
      </c>
      <c r="G14" s="346" t="s">
        <v>16</v>
      </c>
      <c r="H14" s="149"/>
      <c r="I14" s="161"/>
      <c r="J14" s="488"/>
    </row>
    <row r="15" spans="1:12" ht="13.15" x14ac:dyDescent="0.25">
      <c r="A15" s="355" t="s">
        <v>20</v>
      </c>
      <c r="C15" s="303"/>
      <c r="D15" s="396"/>
      <c r="E15" s="303"/>
      <c r="G15" s="348" t="s">
        <v>267</v>
      </c>
      <c r="H15" s="149"/>
      <c r="I15" s="161">
        <f>'Salary Bench Chart'!C20</f>
        <v>86860.800000000003</v>
      </c>
      <c r="J15" s="585"/>
    </row>
    <row r="16" spans="1:12" ht="13.15" x14ac:dyDescent="0.25">
      <c r="A16" s="355" t="s">
        <v>268</v>
      </c>
      <c r="C16" s="303">
        <f>I18</f>
        <v>52665.599999999999</v>
      </c>
      <c r="D16" s="396">
        <f>I29</f>
        <v>0.08</v>
      </c>
      <c r="E16" s="303">
        <f>C16*D16</f>
        <v>4213.2479999999996</v>
      </c>
      <c r="G16" s="360" t="s">
        <v>269</v>
      </c>
      <c r="H16" s="149"/>
      <c r="I16" s="161">
        <v>195380</v>
      </c>
      <c r="J16" s="585"/>
    </row>
    <row r="17" spans="1:12" ht="13.15" x14ac:dyDescent="0.25">
      <c r="A17" s="359" t="s">
        <v>25</v>
      </c>
      <c r="C17" s="303">
        <f>I19</f>
        <v>32198.400000000001</v>
      </c>
      <c r="D17" s="396">
        <f>I30</f>
        <v>4.2</v>
      </c>
      <c r="E17" s="303">
        <f>C17*D17</f>
        <v>135233.28</v>
      </c>
      <c r="G17" s="346" t="s">
        <v>20</v>
      </c>
      <c r="H17" s="149"/>
      <c r="I17" s="161"/>
      <c r="J17" s="585"/>
    </row>
    <row r="18" spans="1:12" ht="13.15" x14ac:dyDescent="0.25">
      <c r="A18" s="361" t="s">
        <v>27</v>
      </c>
      <c r="C18" s="303">
        <f>I20</f>
        <v>32198.400000000001</v>
      </c>
      <c r="D18" s="396">
        <f>I31</f>
        <v>0.64615384615384619</v>
      </c>
      <c r="E18" s="303">
        <f>C18*D18</f>
        <v>20805.120000000003</v>
      </c>
      <c r="G18" s="348" t="s">
        <v>24</v>
      </c>
      <c r="H18" s="149"/>
      <c r="I18" s="161">
        <f>'Salary Bench Chart'!C12</f>
        <v>52665.599999999999</v>
      </c>
      <c r="J18" s="585"/>
    </row>
    <row r="19" spans="1:12" ht="13.15" x14ac:dyDescent="0.25">
      <c r="A19" s="404" t="s">
        <v>30</v>
      </c>
      <c r="B19" s="404"/>
      <c r="C19" s="404"/>
      <c r="D19" s="405">
        <f>SUM(D11:D18)</f>
        <v>5.0831538461538468</v>
      </c>
      <c r="E19" s="406">
        <f>SUM(E11:E18)</f>
        <v>172209.473925</v>
      </c>
      <c r="G19" s="348" t="s">
        <v>25</v>
      </c>
      <c r="H19" s="149"/>
      <c r="I19" s="161">
        <f>'Salary Bench Chart'!C4</f>
        <v>32198.400000000001</v>
      </c>
      <c r="J19" s="585"/>
    </row>
    <row r="20" spans="1:12" ht="13.15" x14ac:dyDescent="0.25">
      <c r="G20" s="362" t="s">
        <v>27</v>
      </c>
      <c r="H20" s="149"/>
      <c r="I20" s="161">
        <f>'Salary Bench Chart'!C4</f>
        <v>32198.400000000001</v>
      </c>
      <c r="J20" s="585"/>
    </row>
    <row r="21" spans="1:12" ht="13.15" x14ac:dyDescent="0.25">
      <c r="A21" s="390" t="s">
        <v>32</v>
      </c>
      <c r="D21" s="390" t="s">
        <v>33</v>
      </c>
      <c r="G21" s="348"/>
      <c r="H21" s="149"/>
      <c r="I21" s="161"/>
      <c r="J21" s="488"/>
    </row>
    <row r="22" spans="1:12" x14ac:dyDescent="0.2">
      <c r="A22" s="205" t="s">
        <v>35</v>
      </c>
      <c r="C22" s="410">
        <f>$I$34</f>
        <v>0.22309999999999999</v>
      </c>
      <c r="E22" s="303">
        <f>C22*E19</f>
        <v>38419.933632667497</v>
      </c>
      <c r="G22" s="190"/>
      <c r="H22" s="149"/>
      <c r="I22" s="411" t="s">
        <v>274</v>
      </c>
      <c r="J22" s="464"/>
    </row>
    <row r="23" spans="1:12" ht="13.15" x14ac:dyDescent="0.25">
      <c r="A23" s="404" t="s">
        <v>36</v>
      </c>
      <c r="B23" s="404"/>
      <c r="C23" s="404"/>
      <c r="D23" s="413">
        <f>E23/E8</f>
        <v>577.06687002100682</v>
      </c>
      <c r="E23" s="406">
        <f>E22+E19</f>
        <v>210629.40755766749</v>
      </c>
      <c r="G23" s="190" t="s">
        <v>48</v>
      </c>
      <c r="H23" s="433"/>
      <c r="I23" s="633">
        <f>[11]Sullivan!$J$22</f>
        <v>1</v>
      </c>
      <c r="J23" s="416"/>
    </row>
    <row r="24" spans="1:12" ht="13.15" x14ac:dyDescent="0.25">
      <c r="G24" s="346" t="s">
        <v>14</v>
      </c>
      <c r="I24" s="627">
        <f>'[3]Group Home'!S31/'[3]Group Home'!S30</f>
        <v>8.3333333333333329E-2</v>
      </c>
      <c r="J24" s="88"/>
    </row>
    <row r="25" spans="1:12" ht="13.15" x14ac:dyDescent="0.25">
      <c r="A25" s="205" t="str">
        <f>'[3]Master Data '!B128</f>
        <v>PFMLA Trust Contribution</v>
      </c>
      <c r="B25" s="410">
        <f>I35</f>
        <v>3.7000000000000002E-3</v>
      </c>
      <c r="E25" s="326">
        <f>E19*B25</f>
        <v>637.17505352249998</v>
      </c>
      <c r="G25" s="346" t="s">
        <v>16</v>
      </c>
      <c r="I25" s="627"/>
      <c r="J25" s="88"/>
    </row>
    <row r="26" spans="1:12" ht="13.15" x14ac:dyDescent="0.25">
      <c r="A26" s="205" t="s">
        <v>38</v>
      </c>
      <c r="D26" s="326">
        <f>$I$36</f>
        <v>22.6302378</v>
      </c>
      <c r="E26" s="333">
        <f>D26*E8</f>
        <v>8260.0367970000007</v>
      </c>
      <c r="G26" s="348" t="s">
        <v>267</v>
      </c>
      <c r="I26" s="627">
        <f>[11]Sullivan!$J$26</f>
        <v>6.6666666666666666E-2</v>
      </c>
      <c r="J26" s="88"/>
    </row>
    <row r="27" spans="1:12" ht="13.15" x14ac:dyDescent="0.25">
      <c r="A27" s="149" t="s">
        <v>39</v>
      </c>
      <c r="D27" s="326">
        <f>$I$37</f>
        <v>17.654</v>
      </c>
      <c r="E27" s="333">
        <f>D27*E8</f>
        <v>6443.71</v>
      </c>
      <c r="G27" s="360" t="s">
        <v>269</v>
      </c>
      <c r="I27" s="634">
        <f>[11]Sullivan!$J$27</f>
        <v>7.0000000000000001E-3</v>
      </c>
      <c r="J27" s="88"/>
      <c r="L27" s="390"/>
    </row>
    <row r="28" spans="1:12" ht="13.15" x14ac:dyDescent="0.25">
      <c r="D28" s="420">
        <f>SUM(D26:D27)</f>
        <v>40.2842378</v>
      </c>
      <c r="G28" s="346" t="s">
        <v>20</v>
      </c>
      <c r="I28" s="627"/>
      <c r="J28" s="88"/>
    </row>
    <row r="29" spans="1:12" ht="13.15" x14ac:dyDescent="0.25">
      <c r="G29" s="348" t="s">
        <v>270</v>
      </c>
      <c r="I29" s="627">
        <v>0.08</v>
      </c>
      <c r="J29" s="88"/>
    </row>
    <row r="30" spans="1:12" ht="13.15" x14ac:dyDescent="0.25">
      <c r="A30" s="404" t="s">
        <v>40</v>
      </c>
      <c r="B30" s="404"/>
      <c r="C30" s="404"/>
      <c r="D30" s="404"/>
      <c r="E30" s="406">
        <f>SUM(E23:E27)</f>
        <v>225970.32940818998</v>
      </c>
      <c r="G30" s="348" t="s">
        <v>271</v>
      </c>
      <c r="I30" s="627">
        <v>4.2</v>
      </c>
      <c r="J30" s="88"/>
    </row>
    <row r="31" spans="1:12" ht="13.15" x14ac:dyDescent="0.25">
      <c r="G31" s="362" t="s">
        <v>272</v>
      </c>
      <c r="I31" s="627">
        <f>I30*I10</f>
        <v>0.64615384615384619</v>
      </c>
      <c r="J31" s="88"/>
    </row>
    <row r="32" spans="1:12" ht="13.15" x14ac:dyDescent="0.25">
      <c r="A32" s="205" t="s">
        <v>47</v>
      </c>
      <c r="C32" s="410">
        <f>$I$40</f>
        <v>0.11849999999999999</v>
      </c>
      <c r="E32" s="303">
        <f>C32*E30</f>
        <v>26777.484034870511</v>
      </c>
      <c r="G32" s="190"/>
      <c r="H32" s="149"/>
      <c r="I32" s="149"/>
      <c r="J32" s="402"/>
    </row>
    <row r="33" spans="1:11" ht="13.15" x14ac:dyDescent="0.25">
      <c r="G33" s="190"/>
      <c r="H33" s="149"/>
      <c r="I33" s="411" t="s">
        <v>113</v>
      </c>
      <c r="J33" s="464"/>
    </row>
    <row r="34" spans="1:11" ht="13.9" thickBot="1" x14ac:dyDescent="0.3">
      <c r="A34" s="422" t="s">
        <v>49</v>
      </c>
      <c r="B34" s="423"/>
      <c r="C34" s="423"/>
      <c r="D34" s="423"/>
      <c r="E34" s="424">
        <f>SUM(E30:E32)</f>
        <v>252747.8134430605</v>
      </c>
      <c r="G34" s="190" t="s">
        <v>35</v>
      </c>
      <c r="H34" s="149"/>
      <c r="I34" s="435">
        <f>'Salary Bench Chart'!C30</f>
        <v>0.22309999999999999</v>
      </c>
      <c r="J34" s="635"/>
    </row>
    <row r="35" spans="1:11" ht="14.45" thickTop="1" thickBot="1" x14ac:dyDescent="0.3">
      <c r="A35" s="205" t="str">
        <f>G42</f>
        <v>CAF (FY19)</v>
      </c>
      <c r="B35" s="410">
        <f>I42</f>
        <v>1.78E-2</v>
      </c>
      <c r="E35" s="636">
        <f>(E34*B35)-(E19*B35)</f>
        <v>1433.5824434214769</v>
      </c>
      <c r="G35" s="190" t="s">
        <v>275</v>
      </c>
      <c r="H35" s="149"/>
      <c r="I35" s="191">
        <f>'Salary Bench Chart'!C32</f>
        <v>3.7000000000000002E-3</v>
      </c>
      <c r="J35" s="402"/>
    </row>
    <row r="36" spans="1:11" ht="13.9" thickTop="1" x14ac:dyDescent="0.25">
      <c r="C36" s="410"/>
      <c r="E36" s="317">
        <f>E35+E34</f>
        <v>254181.39588648197</v>
      </c>
      <c r="G36" s="190" t="s">
        <v>38</v>
      </c>
      <c r="H36" s="149"/>
      <c r="I36" s="438">
        <f>'[3]Group Home (rebased)'!P49</f>
        <v>22.6302378</v>
      </c>
      <c r="J36" s="637"/>
    </row>
    <row r="37" spans="1:11" ht="13.15" x14ac:dyDescent="0.25">
      <c r="G37" s="190" t="s">
        <v>39</v>
      </c>
      <c r="H37" s="149"/>
      <c r="I37" s="438">
        <f>'[3]Group Home (rebased)'!P50</f>
        <v>17.654</v>
      </c>
      <c r="J37" s="637"/>
    </row>
    <row r="38" spans="1:11" ht="13.15" x14ac:dyDescent="0.25">
      <c r="E38" s="319" t="s">
        <v>59</v>
      </c>
      <c r="G38" s="439" t="s">
        <v>40</v>
      </c>
      <c r="H38" s="440"/>
      <c r="I38" s="441">
        <f>SUM(I36:I37)</f>
        <v>40.2842378</v>
      </c>
      <c r="J38" s="638"/>
    </row>
    <row r="39" spans="1:11" ht="13.9" thickBot="1" x14ac:dyDescent="0.3">
      <c r="A39" s="205" t="s">
        <v>133</v>
      </c>
      <c r="D39" s="321"/>
      <c r="E39" s="321">
        <f>E36/E8</f>
        <v>696.38738599036162</v>
      </c>
      <c r="G39" s="190"/>
      <c r="H39" s="149"/>
      <c r="I39" s="149"/>
      <c r="J39" s="402"/>
    </row>
    <row r="40" spans="1:11" ht="13.9" thickBot="1" x14ac:dyDescent="0.3">
      <c r="A40" s="190"/>
      <c r="C40" s="410"/>
      <c r="D40" s="321"/>
      <c r="E40" s="639">
        <f>E39*(1+C3640)+0.22</f>
        <v>696.60738599036165</v>
      </c>
      <c r="G40" s="190" t="s">
        <v>47</v>
      </c>
      <c r="H40" s="149"/>
      <c r="I40" s="435">
        <f>'[3]Group Home'!Q55</f>
        <v>0.11849999999999999</v>
      </c>
      <c r="J40" s="635"/>
    </row>
    <row r="41" spans="1:11" ht="13.9" thickBot="1" x14ac:dyDescent="0.3">
      <c r="A41" s="199"/>
      <c r="B41" s="200"/>
      <c r="C41" s="201"/>
      <c r="D41" s="79"/>
      <c r="E41" s="617">
        <f>E40*(C41+1)</f>
        <v>696.60738599036165</v>
      </c>
      <c r="G41" s="190"/>
      <c r="H41" s="149"/>
      <c r="I41" s="149"/>
      <c r="J41" s="402"/>
    </row>
    <row r="42" spans="1:11" ht="13.5" thickBot="1" x14ac:dyDescent="0.25">
      <c r="A42" s="375"/>
      <c r="B42" s="107"/>
      <c r="C42" s="108"/>
      <c r="D42" s="89"/>
      <c r="E42" s="89"/>
      <c r="G42" s="443" t="s">
        <v>273</v>
      </c>
      <c r="H42" s="444"/>
      <c r="I42" s="445">
        <f>'Salary Bench Chart'!C31</f>
        <v>1.78E-2</v>
      </c>
      <c r="J42" s="640"/>
      <c r="K42" s="494"/>
    </row>
    <row r="43" spans="1:11" x14ac:dyDescent="0.2">
      <c r="A43" s="431"/>
      <c r="B43" s="432"/>
      <c r="C43" s="433"/>
      <c r="D43" s="379"/>
      <c r="E43" s="379"/>
      <c r="G43" s="387"/>
      <c r="H43" s="447"/>
    </row>
    <row r="44" spans="1:11" x14ac:dyDescent="0.2">
      <c r="G44" s="387"/>
    </row>
    <row r="46" spans="1:11" x14ac:dyDescent="0.2">
      <c r="G46" s="387"/>
    </row>
    <row r="48" spans="1:11" x14ac:dyDescent="0.2">
      <c r="G48" s="448"/>
    </row>
    <row r="50" spans="7:7" x14ac:dyDescent="0.2">
      <c r="G50" s="387"/>
    </row>
    <row r="51" spans="7:7" x14ac:dyDescent="0.2">
      <c r="G51" s="387"/>
    </row>
    <row r="59" spans="7:7" x14ac:dyDescent="0.2">
      <c r="G59" s="387"/>
    </row>
  </sheetData>
  <mergeCells count="3">
    <mergeCell ref="G1:J1"/>
    <mergeCell ref="H3:I3"/>
    <mergeCell ref="A7:E7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CIRT </vt:lpstr>
      <vt:lpstr>IRTP </vt:lpstr>
      <vt:lpstr>Teen Parent</vt:lpstr>
      <vt:lpstr>Group Home</vt:lpstr>
      <vt:lpstr>STARR </vt:lpstr>
      <vt:lpstr>Continuum </vt:lpstr>
      <vt:lpstr>FA - SO </vt:lpstr>
      <vt:lpstr>SpecPgm-TAY</vt:lpstr>
      <vt:lpstr>SpecPgm-1t1 SL </vt:lpstr>
      <vt:lpstr>SpecPgm-1t2 GH </vt:lpstr>
      <vt:lpstr>Inten GH w exp. Nurs </vt:lpstr>
      <vt:lpstr>SpecPgm-Med.Com N.GH </vt:lpstr>
      <vt:lpstr>SpecPgm-TransIFC</vt:lpstr>
      <vt:lpstr>Salary Bench Chart</vt:lpstr>
      <vt:lpstr>'CIRT '!Print_Area</vt:lpstr>
      <vt:lpstr>'Continuum '!Print_Area</vt:lpstr>
      <vt:lpstr>'FA - SO '!Print_Area</vt:lpstr>
      <vt:lpstr>'Group Home'!Print_Area</vt:lpstr>
      <vt:lpstr>'Inten GH w exp. Nurs '!Print_Area</vt:lpstr>
      <vt:lpstr>'IRTP '!Print_Area</vt:lpstr>
      <vt:lpstr>'Salary Bench Chart'!Print_Area</vt:lpstr>
      <vt:lpstr>'SpecPgm-1t1 SL '!Print_Area</vt:lpstr>
      <vt:lpstr>'SpecPgm-1t2 GH '!Print_Area</vt:lpstr>
      <vt:lpstr>'SpecPgm-Med.Com N.GH '!Print_Area</vt:lpstr>
      <vt:lpstr>'SpecPgm-TAY'!Print_Area</vt:lpstr>
      <vt:lpstr>'SpecPgm-TransIFC'!Print_Area</vt:lpstr>
      <vt:lpstr>'STARR '!Print_Area</vt:lpstr>
      <vt:lpstr>'Teen Parent'!Print_Area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Kara Stanford</cp:lastModifiedBy>
  <cp:lastPrinted>2020-03-24T18:31:40Z</cp:lastPrinted>
  <dcterms:created xsi:type="dcterms:W3CDTF">2019-12-05T14:15:35Z</dcterms:created>
  <dcterms:modified xsi:type="dcterms:W3CDTF">2020-03-26T11:24:41Z</dcterms:modified>
</cp:coreProperties>
</file>